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/>
  <mc:AlternateContent xmlns:mc="http://schemas.openxmlformats.org/markup-compatibility/2006">
    <mc:Choice Requires="x15">
      <x15ac:absPath xmlns:x15ac="http://schemas.microsoft.com/office/spreadsheetml/2010/11/ac" url="/Users/brosado/Google Drive/PhD/Disciplinas/2S2020/IT304S/IT304S/Primeira Parte/Análise Demanda_Consumo (Bárbara e Lucas)/"/>
    </mc:Choice>
  </mc:AlternateContent>
  <xr:revisionPtr revIDLastSave="0" documentId="13_ncr:1_{98CC92FB-B879-5B48-B8B3-F3F3556D6262}" xr6:coauthVersionLast="46" xr6:coauthVersionMax="46" xr10:uidLastSave="{00000000-0000-0000-0000-000000000000}"/>
  <bookViews>
    <workbookView xWindow="25600" yWindow="-2300" windowWidth="38400" windowHeight="21600" activeTab="4" xr2:uid="{00000000-000D-0000-FFFF-FFFF00000000}"/>
  </bookViews>
  <sheets>
    <sheet name="Dashboard" sheetId="4" r:id="rId1"/>
    <sheet name="Análise demanda" sheetId="5" r:id="rId2"/>
    <sheet name="Perfil Universidade" sheetId="6" r:id="rId3"/>
    <sheet name="Dados UC's" sheetId="2" r:id="rId4"/>
    <sheet name="Demanda Contratada" sheetId="9" r:id="rId5"/>
    <sheet name="Dados temp. e precip." sheetId="7" r:id="rId6"/>
  </sheets>
  <definedNames>
    <definedName name="SegmentaçãodeDados_ANO">#N/A</definedName>
    <definedName name="SegmentaçãodeDados_MÊS">#N/A</definedName>
  </definedNames>
  <calcPr calcId="191029"/>
  <pivotCaches>
    <pivotCache cacheId="0" r:id="rId7"/>
    <pivotCache cacheId="1" r:id="rId8"/>
    <pivotCache cacheId="2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goDyj61DZkGIRgai3TTXMODjGjfw=="/>
    </ext>
  </extLst>
</workbook>
</file>

<file path=xl/calcChain.xml><?xml version="1.0" encoding="utf-8"?>
<calcChain xmlns="http://schemas.openxmlformats.org/spreadsheetml/2006/main">
  <c r="AS66" i="2" l="1"/>
  <c r="AR66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67" i="2"/>
  <c r="AS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67" i="2"/>
  <c r="AR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H5" i="4"/>
  <c r="K57" i="2"/>
  <c r="K34" i="2"/>
  <c r="L22" i="2"/>
  <c r="K22" i="2"/>
  <c r="L20" i="2"/>
  <c r="K20" i="2"/>
  <c r="AH33" i="2"/>
  <c r="K51" i="2" l="1"/>
  <c r="K52" i="2" l="1"/>
  <c r="AG57" i="2" s="1"/>
  <c r="AI57" i="2" s="1"/>
  <c r="K23" i="2"/>
  <c r="L23" i="2"/>
  <c r="AH23" i="2" s="1"/>
  <c r="AJ23" i="2" s="1"/>
  <c r="AG2" i="2"/>
  <c r="AI2" i="2" s="1"/>
  <c r="AG3" i="2"/>
  <c r="AI3" i="2" s="1"/>
  <c r="AG4" i="2"/>
  <c r="AI4" i="2" s="1"/>
  <c r="AG5" i="2"/>
  <c r="AI5" i="2" s="1"/>
  <c r="AG6" i="2"/>
  <c r="AI6" i="2" s="1"/>
  <c r="AG7" i="2"/>
  <c r="AG8" i="2"/>
  <c r="AG9" i="2"/>
  <c r="AI9" i="2" s="1"/>
  <c r="AG10" i="2"/>
  <c r="AI10" i="2" s="1"/>
  <c r="AG11" i="2"/>
  <c r="AI11" i="2" s="1"/>
  <c r="AG12" i="2"/>
  <c r="AI12" i="2" s="1"/>
  <c r="AG13" i="2"/>
  <c r="AI13" i="2" s="1"/>
  <c r="AG14" i="2"/>
  <c r="AI14" i="2" s="1"/>
  <c r="AG15" i="2"/>
  <c r="AG16" i="2"/>
  <c r="AG17" i="2"/>
  <c r="AI17" i="2" s="1"/>
  <c r="AG18" i="2"/>
  <c r="AI18" i="2" s="1"/>
  <c r="AG19" i="2"/>
  <c r="AI19" i="2" s="1"/>
  <c r="AG20" i="2"/>
  <c r="AI20" i="2" s="1"/>
  <c r="AG21" i="2"/>
  <c r="AI21" i="2" s="1"/>
  <c r="AG22" i="2"/>
  <c r="AI22" i="2" s="1"/>
  <c r="AG24" i="2"/>
  <c r="AG25" i="2"/>
  <c r="AI25" i="2" s="1"/>
  <c r="AG26" i="2"/>
  <c r="AI26" i="2" s="1"/>
  <c r="AG27" i="2"/>
  <c r="AI27" i="2" s="1"/>
  <c r="AG28" i="2"/>
  <c r="AG29" i="2"/>
  <c r="AI29" i="2" s="1"/>
  <c r="AG30" i="2"/>
  <c r="AI30" i="2" s="1"/>
  <c r="AG31" i="2"/>
  <c r="AI31" i="2" s="1"/>
  <c r="AG32" i="2"/>
  <c r="AI32" i="2" s="1"/>
  <c r="AG33" i="2"/>
  <c r="AP33" i="2" s="1"/>
  <c r="AQ33" i="2" s="1"/>
  <c r="AG34" i="2"/>
  <c r="AI34" i="2" s="1"/>
  <c r="AG35" i="2"/>
  <c r="AI35" i="2" s="1"/>
  <c r="AG36" i="2"/>
  <c r="AG37" i="2"/>
  <c r="AI37" i="2" s="1"/>
  <c r="AG38" i="2"/>
  <c r="AI38" i="2" s="1"/>
  <c r="AG39" i="2"/>
  <c r="AI39" i="2" s="1"/>
  <c r="AG40" i="2"/>
  <c r="AG41" i="2"/>
  <c r="AI41" i="2" s="1"/>
  <c r="AG42" i="2"/>
  <c r="AI42" i="2" s="1"/>
  <c r="AG43" i="2"/>
  <c r="AI43" i="2" s="1"/>
  <c r="AG44" i="2"/>
  <c r="AG45" i="2"/>
  <c r="AI45" i="2" s="1"/>
  <c r="AG46" i="2"/>
  <c r="AI46" i="2" s="1"/>
  <c r="AG47" i="2"/>
  <c r="AI47" i="2" s="1"/>
  <c r="AG48" i="2"/>
  <c r="AI48" i="2" s="1"/>
  <c r="AG49" i="2"/>
  <c r="AI49" i="2" s="1"/>
  <c r="AG50" i="2"/>
  <c r="AI50" i="2" s="1"/>
  <c r="AG51" i="2"/>
  <c r="AI51" i="2" s="1"/>
  <c r="AG52" i="2"/>
  <c r="AI52" i="2" s="1"/>
  <c r="AG53" i="2"/>
  <c r="AI53" i="2" s="1"/>
  <c r="AG54" i="2"/>
  <c r="AI54" i="2" s="1"/>
  <c r="AG55" i="2"/>
  <c r="AI55" i="2" s="1"/>
  <c r="AG56" i="2"/>
  <c r="AI56" i="2" s="1"/>
  <c r="AG58" i="2"/>
  <c r="AI58" i="2" s="1"/>
  <c r="AG59" i="2"/>
  <c r="AI59" i="2" s="1"/>
  <c r="AG60" i="2"/>
  <c r="AI60" i="2" s="1"/>
  <c r="AG61" i="2"/>
  <c r="AI61" i="2" s="1"/>
  <c r="AG62" i="2"/>
  <c r="AI62" i="2" s="1"/>
  <c r="AG63" i="2"/>
  <c r="AI63" i="2" s="1"/>
  <c r="AG64" i="2"/>
  <c r="AI64" i="2" s="1"/>
  <c r="AG65" i="2"/>
  <c r="AI65" i="2" s="1"/>
  <c r="AG66" i="2"/>
  <c r="AI66" i="2" s="1"/>
  <c r="AG67" i="2"/>
  <c r="AI67" i="2" s="1"/>
  <c r="AG68" i="2"/>
  <c r="AI68" i="2" s="1"/>
  <c r="AG69" i="2"/>
  <c r="AI69" i="2" s="1"/>
  <c r="AG70" i="2"/>
  <c r="AI70" i="2" s="1"/>
  <c r="AG71" i="2"/>
  <c r="AI71" i="2" s="1"/>
  <c r="AG72" i="2"/>
  <c r="AI72" i="2" s="1"/>
  <c r="AG73" i="2"/>
  <c r="AI73" i="2" s="1"/>
  <c r="AG74" i="2"/>
  <c r="AI74" i="2" s="1"/>
  <c r="AG75" i="2"/>
  <c r="AI75" i="2" s="1"/>
  <c r="AG76" i="2"/>
  <c r="AI76" i="2" s="1"/>
  <c r="AG77" i="2"/>
  <c r="AI77" i="2" s="1"/>
  <c r="AG78" i="2"/>
  <c r="AG79" i="2"/>
  <c r="AI79" i="2" s="1"/>
  <c r="AG80" i="2"/>
  <c r="AI80" i="2" s="1"/>
  <c r="AG81" i="2"/>
  <c r="AI81" i="2" s="1"/>
  <c r="AG82" i="2"/>
  <c r="AI82" i="2" s="1"/>
  <c r="AG83" i="2"/>
  <c r="AI83" i="2" s="1"/>
  <c r="AG84" i="2"/>
  <c r="AI84" i="2" s="1"/>
  <c r="AG85" i="2"/>
  <c r="AI85" i="2" s="1"/>
  <c r="AG86" i="2"/>
  <c r="AI86" i="2" s="1"/>
  <c r="AG87" i="2"/>
  <c r="AI87" i="2" s="1"/>
  <c r="AG88" i="2"/>
  <c r="AI88" i="2" s="1"/>
  <c r="AG89" i="2"/>
  <c r="AI89" i="2" s="1"/>
  <c r="AG90" i="2"/>
  <c r="AI90" i="2" s="1"/>
  <c r="AG91" i="2"/>
  <c r="AI91" i="2" s="1"/>
  <c r="AG92" i="2"/>
  <c r="AI92" i="2" s="1"/>
  <c r="AG93" i="2"/>
  <c r="AI93" i="2" s="1"/>
  <c r="AG94" i="2"/>
  <c r="AI94" i="2" s="1"/>
  <c r="AG95" i="2"/>
  <c r="AI95" i="2" s="1"/>
  <c r="AG96" i="2"/>
  <c r="AI96" i="2" s="1"/>
  <c r="AG97" i="2"/>
  <c r="AI97" i="2" s="1"/>
  <c r="AG98" i="2"/>
  <c r="AI98" i="2" s="1"/>
  <c r="AG99" i="2"/>
  <c r="AI99" i="2" s="1"/>
  <c r="AG100" i="2"/>
  <c r="AI100" i="2" s="1"/>
  <c r="AG101" i="2"/>
  <c r="AI101" i="2" s="1"/>
  <c r="AG102" i="2"/>
  <c r="AI102" i="2" s="1"/>
  <c r="AG103" i="2"/>
  <c r="AI103" i="2" s="1"/>
  <c r="AG104" i="2"/>
  <c r="AI104" i="2" s="1"/>
  <c r="AG105" i="2"/>
  <c r="AI105" i="2" s="1"/>
  <c r="AG106" i="2"/>
  <c r="AI106" i="2" s="1"/>
  <c r="AG107" i="2"/>
  <c r="AI107" i="2" s="1"/>
  <c r="AG108" i="2"/>
  <c r="AI108" i="2" s="1"/>
  <c r="AG109" i="2"/>
  <c r="AI109" i="2" s="1"/>
  <c r="AG110" i="2"/>
  <c r="AI110" i="2" s="1"/>
  <c r="AG111" i="2"/>
  <c r="AI111" i="2" s="1"/>
  <c r="AG112" i="2"/>
  <c r="AI112" i="2" s="1"/>
  <c r="AG113" i="2"/>
  <c r="AI113" i="2" s="1"/>
  <c r="AG114" i="2"/>
  <c r="AI114" i="2" s="1"/>
  <c r="AG115" i="2"/>
  <c r="AI115" i="2" s="1"/>
  <c r="AG116" i="2"/>
  <c r="AI116" i="2" s="1"/>
  <c r="AG117" i="2"/>
  <c r="AI117" i="2" s="1"/>
  <c r="AG118" i="2"/>
  <c r="AI118" i="2" s="1"/>
  <c r="AG119" i="2"/>
  <c r="AI119" i="2" s="1"/>
  <c r="AG120" i="2"/>
  <c r="AI120" i="2" s="1"/>
  <c r="AG121" i="2"/>
  <c r="AI121" i="2" s="1"/>
  <c r="AG122" i="2"/>
  <c r="AG123" i="2"/>
  <c r="AI123" i="2" s="1"/>
  <c r="AG124" i="2"/>
  <c r="AI124" i="2" s="1"/>
  <c r="AG125" i="2"/>
  <c r="AI125" i="2" s="1"/>
  <c r="AG126" i="2"/>
  <c r="AI126" i="2" s="1"/>
  <c r="AG127" i="2"/>
  <c r="AI127" i="2" s="1"/>
  <c r="AG128" i="2"/>
  <c r="AI128" i="2" s="1"/>
  <c r="AG129" i="2"/>
  <c r="AI129" i="2" s="1"/>
  <c r="BL18" i="2"/>
  <c r="BL19" i="2"/>
  <c r="BL20" i="2"/>
  <c r="BL21" i="2"/>
  <c r="BL22" i="2"/>
  <c r="BL23" i="2"/>
  <c r="BL24" i="2"/>
  <c r="BL25" i="2"/>
  <c r="BL26" i="2"/>
  <c r="BL27" i="2"/>
  <c r="BL28" i="2"/>
  <c r="BL17" i="2"/>
  <c r="BL5" i="2"/>
  <c r="BL6" i="2"/>
  <c r="BL7" i="2"/>
  <c r="BL8" i="2"/>
  <c r="BL9" i="2"/>
  <c r="BL10" i="2"/>
  <c r="BL11" i="2"/>
  <c r="BL12" i="2"/>
  <c r="BL13" i="2"/>
  <c r="BL14" i="2"/>
  <c r="BL15" i="2"/>
  <c r="BL4" i="2"/>
  <c r="BC18" i="2"/>
  <c r="BC19" i="2"/>
  <c r="BC20" i="2"/>
  <c r="BC21" i="2"/>
  <c r="BC22" i="2"/>
  <c r="BC23" i="2"/>
  <c r="BC24" i="2"/>
  <c r="BC25" i="2"/>
  <c r="BC26" i="2"/>
  <c r="BC27" i="2"/>
  <c r="BC28" i="2"/>
  <c r="BC17" i="2"/>
  <c r="BC5" i="2"/>
  <c r="BC6" i="2"/>
  <c r="BC7" i="2"/>
  <c r="BC8" i="2"/>
  <c r="BC9" i="2"/>
  <c r="BC10" i="2"/>
  <c r="BC11" i="2"/>
  <c r="BC12" i="2"/>
  <c r="BC13" i="2"/>
  <c r="BC14" i="2"/>
  <c r="BC15" i="2"/>
  <c r="BC4" i="2"/>
  <c r="H19" i="4"/>
  <c r="H20" i="4"/>
  <c r="H21" i="4"/>
  <c r="H22" i="4"/>
  <c r="H23" i="4"/>
  <c r="H24" i="4"/>
  <c r="H25" i="4"/>
  <c r="H26" i="4"/>
  <c r="H27" i="4"/>
  <c r="H28" i="4"/>
  <c r="H29" i="4"/>
  <c r="H18" i="4"/>
  <c r="H6" i="4"/>
  <c r="H7" i="4"/>
  <c r="H8" i="4"/>
  <c r="H9" i="4"/>
  <c r="H10" i="4"/>
  <c r="H11" i="4"/>
  <c r="H12" i="4"/>
  <c r="H13" i="4"/>
  <c r="H14" i="4"/>
  <c r="H15" i="4"/>
  <c r="H16" i="4"/>
  <c r="AJ33" i="2"/>
  <c r="AH2" i="2"/>
  <c r="AJ2" i="2" s="1"/>
  <c r="AH3" i="2"/>
  <c r="AJ3" i="2" s="1"/>
  <c r="AH4" i="2"/>
  <c r="AJ4" i="2" s="1"/>
  <c r="AH5" i="2"/>
  <c r="AJ5" i="2" s="1"/>
  <c r="AH6" i="2"/>
  <c r="AJ6" i="2" s="1"/>
  <c r="AH7" i="2"/>
  <c r="AJ7" i="2" s="1"/>
  <c r="AH8" i="2"/>
  <c r="AJ8" i="2" s="1"/>
  <c r="AH9" i="2"/>
  <c r="AJ9" i="2" s="1"/>
  <c r="AH10" i="2"/>
  <c r="AJ10" i="2" s="1"/>
  <c r="AH11" i="2"/>
  <c r="AJ11" i="2" s="1"/>
  <c r="AH12" i="2"/>
  <c r="AJ12" i="2" s="1"/>
  <c r="AH13" i="2"/>
  <c r="AJ13" i="2" s="1"/>
  <c r="AH14" i="2"/>
  <c r="AJ14" i="2" s="1"/>
  <c r="AH15" i="2"/>
  <c r="AJ15" i="2" s="1"/>
  <c r="AH16" i="2"/>
  <c r="AJ16" i="2" s="1"/>
  <c r="AH17" i="2"/>
  <c r="AJ17" i="2" s="1"/>
  <c r="AH18" i="2"/>
  <c r="AJ18" i="2" s="1"/>
  <c r="AH19" i="2"/>
  <c r="AJ19" i="2" s="1"/>
  <c r="AH20" i="2"/>
  <c r="AJ20" i="2" s="1"/>
  <c r="AH21" i="2"/>
  <c r="AJ21" i="2" s="1"/>
  <c r="AH24" i="2"/>
  <c r="AJ24" i="2" s="1"/>
  <c r="AH25" i="2"/>
  <c r="AJ25" i="2" s="1"/>
  <c r="AH26" i="2"/>
  <c r="AJ26" i="2" s="1"/>
  <c r="AH27" i="2"/>
  <c r="AJ27" i="2" s="1"/>
  <c r="AH28" i="2"/>
  <c r="AJ28" i="2" s="1"/>
  <c r="AH29" i="2"/>
  <c r="AJ29" i="2" s="1"/>
  <c r="AH30" i="2"/>
  <c r="AJ30" i="2" s="1"/>
  <c r="AH31" i="2"/>
  <c r="AJ31" i="2" s="1"/>
  <c r="AH32" i="2"/>
  <c r="AJ32" i="2" s="1"/>
  <c r="AH34" i="2"/>
  <c r="AJ34" i="2" s="1"/>
  <c r="AH35" i="2"/>
  <c r="AJ35" i="2" s="1"/>
  <c r="AH36" i="2"/>
  <c r="AJ36" i="2" s="1"/>
  <c r="AH37" i="2"/>
  <c r="AJ37" i="2" s="1"/>
  <c r="AH38" i="2"/>
  <c r="AJ38" i="2" s="1"/>
  <c r="AH39" i="2"/>
  <c r="AJ39" i="2" s="1"/>
  <c r="AH40" i="2"/>
  <c r="AJ40" i="2" s="1"/>
  <c r="AH41" i="2"/>
  <c r="AJ41" i="2" s="1"/>
  <c r="AH42" i="2"/>
  <c r="AJ42" i="2" s="1"/>
  <c r="AH43" i="2"/>
  <c r="AJ43" i="2" s="1"/>
  <c r="AH44" i="2"/>
  <c r="AJ44" i="2" s="1"/>
  <c r="AH45" i="2"/>
  <c r="AJ45" i="2" s="1"/>
  <c r="AH46" i="2"/>
  <c r="AJ46" i="2" s="1"/>
  <c r="AH47" i="2"/>
  <c r="AJ47" i="2" s="1"/>
  <c r="AH48" i="2"/>
  <c r="AJ48" i="2" s="1"/>
  <c r="AH49" i="2"/>
  <c r="AJ49" i="2" s="1"/>
  <c r="AH50" i="2"/>
  <c r="AJ50" i="2" s="1"/>
  <c r="AH51" i="2"/>
  <c r="AJ51" i="2" s="1"/>
  <c r="AH52" i="2"/>
  <c r="AJ52" i="2" s="1"/>
  <c r="AH53" i="2"/>
  <c r="AJ53" i="2" s="1"/>
  <c r="AH54" i="2"/>
  <c r="AJ54" i="2" s="1"/>
  <c r="AH55" i="2"/>
  <c r="AJ55" i="2" s="1"/>
  <c r="AH56" i="2"/>
  <c r="AJ56" i="2" s="1"/>
  <c r="AH57" i="2"/>
  <c r="AJ57" i="2" s="1"/>
  <c r="AH58" i="2"/>
  <c r="AJ58" i="2" s="1"/>
  <c r="AH59" i="2"/>
  <c r="AJ59" i="2" s="1"/>
  <c r="AH60" i="2"/>
  <c r="AJ60" i="2" s="1"/>
  <c r="AH61" i="2"/>
  <c r="AJ61" i="2" s="1"/>
  <c r="AH62" i="2"/>
  <c r="AJ62" i="2" s="1"/>
  <c r="AH63" i="2"/>
  <c r="AJ63" i="2" s="1"/>
  <c r="AH64" i="2"/>
  <c r="AJ64" i="2" s="1"/>
  <c r="AH65" i="2"/>
  <c r="AJ65" i="2" s="1"/>
  <c r="AH66" i="2"/>
  <c r="AJ66" i="2" s="1"/>
  <c r="AH67" i="2"/>
  <c r="AJ67" i="2" s="1"/>
  <c r="AH68" i="2"/>
  <c r="AJ68" i="2" s="1"/>
  <c r="AH69" i="2"/>
  <c r="AJ69" i="2" s="1"/>
  <c r="AH70" i="2"/>
  <c r="AJ70" i="2" s="1"/>
  <c r="AH71" i="2"/>
  <c r="AJ71" i="2" s="1"/>
  <c r="AH72" i="2"/>
  <c r="AJ72" i="2" s="1"/>
  <c r="AH73" i="2"/>
  <c r="AJ73" i="2" s="1"/>
  <c r="AH74" i="2"/>
  <c r="AJ74" i="2" s="1"/>
  <c r="AH75" i="2"/>
  <c r="AJ75" i="2" s="1"/>
  <c r="AH76" i="2"/>
  <c r="AJ76" i="2" s="1"/>
  <c r="AH77" i="2"/>
  <c r="AJ77" i="2" s="1"/>
  <c r="AH78" i="2"/>
  <c r="AJ78" i="2" s="1"/>
  <c r="AH79" i="2"/>
  <c r="AJ79" i="2" s="1"/>
  <c r="AH80" i="2"/>
  <c r="AJ80" i="2" s="1"/>
  <c r="AH81" i="2"/>
  <c r="AJ81" i="2" s="1"/>
  <c r="AH82" i="2"/>
  <c r="AJ82" i="2" s="1"/>
  <c r="AH83" i="2"/>
  <c r="AJ83" i="2" s="1"/>
  <c r="AH84" i="2"/>
  <c r="AJ84" i="2" s="1"/>
  <c r="AH85" i="2"/>
  <c r="AJ85" i="2" s="1"/>
  <c r="AH86" i="2"/>
  <c r="AJ86" i="2" s="1"/>
  <c r="AH87" i="2"/>
  <c r="AJ87" i="2" s="1"/>
  <c r="AH88" i="2"/>
  <c r="AJ88" i="2" s="1"/>
  <c r="AH89" i="2"/>
  <c r="AJ89" i="2" s="1"/>
  <c r="AH90" i="2"/>
  <c r="AJ90" i="2" s="1"/>
  <c r="AH91" i="2"/>
  <c r="AJ91" i="2" s="1"/>
  <c r="AH92" i="2"/>
  <c r="AJ92" i="2" s="1"/>
  <c r="AH93" i="2"/>
  <c r="AJ93" i="2" s="1"/>
  <c r="AH94" i="2"/>
  <c r="AJ94" i="2" s="1"/>
  <c r="AH95" i="2"/>
  <c r="AJ95" i="2" s="1"/>
  <c r="AH96" i="2"/>
  <c r="AJ96" i="2" s="1"/>
  <c r="AH97" i="2"/>
  <c r="AJ97" i="2" s="1"/>
  <c r="AH98" i="2"/>
  <c r="AJ98" i="2" s="1"/>
  <c r="AH99" i="2"/>
  <c r="AJ99" i="2" s="1"/>
  <c r="AH100" i="2"/>
  <c r="AJ100" i="2" s="1"/>
  <c r="AH101" i="2"/>
  <c r="AJ101" i="2" s="1"/>
  <c r="AH102" i="2"/>
  <c r="AJ102" i="2" s="1"/>
  <c r="AH103" i="2"/>
  <c r="AJ103" i="2" s="1"/>
  <c r="AH104" i="2"/>
  <c r="AJ104" i="2" s="1"/>
  <c r="AH105" i="2"/>
  <c r="AJ105" i="2" s="1"/>
  <c r="AH106" i="2"/>
  <c r="AJ106" i="2" s="1"/>
  <c r="AH107" i="2"/>
  <c r="AJ107" i="2" s="1"/>
  <c r="AH108" i="2"/>
  <c r="AJ108" i="2" s="1"/>
  <c r="AH109" i="2"/>
  <c r="AJ109" i="2" s="1"/>
  <c r="AH110" i="2"/>
  <c r="AJ110" i="2" s="1"/>
  <c r="AH111" i="2"/>
  <c r="AJ111" i="2" s="1"/>
  <c r="AH112" i="2"/>
  <c r="AJ112" i="2" s="1"/>
  <c r="AH113" i="2"/>
  <c r="AJ113" i="2" s="1"/>
  <c r="AH114" i="2"/>
  <c r="AJ114" i="2" s="1"/>
  <c r="AH115" i="2"/>
  <c r="AJ115" i="2" s="1"/>
  <c r="AH116" i="2"/>
  <c r="AJ116" i="2" s="1"/>
  <c r="AH117" i="2"/>
  <c r="AJ117" i="2" s="1"/>
  <c r="AH118" i="2"/>
  <c r="AJ118" i="2" s="1"/>
  <c r="AH119" i="2"/>
  <c r="AJ119" i="2" s="1"/>
  <c r="AH120" i="2"/>
  <c r="AJ120" i="2" s="1"/>
  <c r="AH121" i="2"/>
  <c r="AJ121" i="2" s="1"/>
  <c r="AH122" i="2"/>
  <c r="AJ122" i="2" s="1"/>
  <c r="AH123" i="2"/>
  <c r="AJ123" i="2" s="1"/>
  <c r="AH124" i="2"/>
  <c r="AJ124" i="2" s="1"/>
  <c r="AH125" i="2"/>
  <c r="AJ125" i="2" s="1"/>
  <c r="AH126" i="2"/>
  <c r="AJ126" i="2" s="1"/>
  <c r="AH127" i="2"/>
  <c r="AJ127" i="2" s="1"/>
  <c r="AH128" i="2"/>
  <c r="AJ128" i="2" s="1"/>
  <c r="AH129" i="2"/>
  <c r="AJ129" i="2" s="1"/>
  <c r="AI7" i="2"/>
  <c r="AI8" i="2"/>
  <c r="AI15" i="2"/>
  <c r="AI16" i="2"/>
  <c r="AI24" i="2"/>
  <c r="AI28" i="2"/>
  <c r="AI36" i="2"/>
  <c r="AI40" i="2"/>
  <c r="AI44" i="2"/>
  <c r="AI78" i="2"/>
  <c r="AI122" i="2"/>
  <c r="AG23" i="2" l="1"/>
  <c r="AI23" i="2" s="1"/>
  <c r="AI33" i="2"/>
  <c r="AH22" i="2"/>
  <c r="AJ22" i="2" s="1"/>
  <c r="AP29" i="2"/>
  <c r="AQ29" i="2" s="1"/>
  <c r="AP25" i="2"/>
  <c r="AQ25" i="2" s="1"/>
  <c r="AP21" i="2"/>
  <c r="AQ21" i="2" s="1"/>
  <c r="AP17" i="2"/>
  <c r="AQ17" i="2" s="1"/>
  <c r="AP13" i="2"/>
  <c r="AQ13" i="2" s="1"/>
  <c r="AP9" i="2"/>
  <c r="AQ9" i="2" s="1"/>
  <c r="AP5" i="2"/>
  <c r="AQ5" i="2" s="1"/>
  <c r="AP128" i="2"/>
  <c r="AQ128" i="2" s="1"/>
  <c r="AP124" i="2"/>
  <c r="AQ124" i="2" s="1"/>
  <c r="AP120" i="2"/>
  <c r="AQ120" i="2" s="1"/>
  <c r="AP116" i="2"/>
  <c r="AQ116" i="2" s="1"/>
  <c r="AP112" i="2"/>
  <c r="AQ112" i="2" s="1"/>
  <c r="AP108" i="2"/>
  <c r="AQ108" i="2" s="1"/>
  <c r="AP104" i="2"/>
  <c r="AQ104" i="2" s="1"/>
  <c r="AP100" i="2"/>
  <c r="AQ100" i="2" s="1"/>
  <c r="AP96" i="2"/>
  <c r="AQ96" i="2" s="1"/>
  <c r="AP92" i="2"/>
  <c r="AQ92" i="2" s="1"/>
  <c r="AP88" i="2"/>
  <c r="AQ88" i="2" s="1"/>
  <c r="AP84" i="2"/>
  <c r="AQ84" i="2" s="1"/>
  <c r="AP80" i="2"/>
  <c r="AQ80" i="2" s="1"/>
  <c r="AP76" i="2"/>
  <c r="AQ76" i="2" s="1"/>
  <c r="AP72" i="2"/>
  <c r="AQ72" i="2" s="1"/>
  <c r="AP68" i="2"/>
  <c r="AQ68" i="2" s="1"/>
  <c r="AP64" i="2"/>
  <c r="AQ64" i="2" s="1"/>
  <c r="AP60" i="2"/>
  <c r="AQ60" i="2" s="1"/>
  <c r="AP56" i="2"/>
  <c r="AQ56" i="2" s="1"/>
  <c r="AP52" i="2"/>
  <c r="AQ52" i="2" s="1"/>
  <c r="AP48" i="2"/>
  <c r="AQ48" i="2" s="1"/>
  <c r="AP44" i="2"/>
  <c r="AQ44" i="2" s="1"/>
  <c r="AP40" i="2"/>
  <c r="AQ40" i="2" s="1"/>
  <c r="AP36" i="2"/>
  <c r="AQ36" i="2" s="1"/>
  <c r="AP32" i="2"/>
  <c r="AQ32" i="2" s="1"/>
  <c r="AP28" i="2"/>
  <c r="AQ28" i="2" s="1"/>
  <c r="AP24" i="2"/>
  <c r="AQ24" i="2" s="1"/>
  <c r="AP20" i="2"/>
  <c r="AQ20" i="2" s="1"/>
  <c r="AP16" i="2"/>
  <c r="AQ16" i="2" s="1"/>
  <c r="AP12" i="2"/>
  <c r="AQ12" i="2" s="1"/>
  <c r="AP8" i="2"/>
  <c r="AQ8" i="2" s="1"/>
  <c r="AP4" i="2"/>
  <c r="AQ4" i="2" s="1"/>
  <c r="AP125" i="2"/>
  <c r="AQ125" i="2" s="1"/>
  <c r="AP117" i="2"/>
  <c r="AQ117" i="2" s="1"/>
  <c r="AP109" i="2"/>
  <c r="AQ109" i="2" s="1"/>
  <c r="AP101" i="2"/>
  <c r="AQ101" i="2" s="1"/>
  <c r="AP93" i="2"/>
  <c r="AQ93" i="2" s="1"/>
  <c r="AP85" i="2"/>
  <c r="AQ85" i="2" s="1"/>
  <c r="AP77" i="2"/>
  <c r="AQ77" i="2" s="1"/>
  <c r="AP69" i="2"/>
  <c r="AQ69" i="2" s="1"/>
  <c r="AP61" i="2"/>
  <c r="AQ61" i="2" s="1"/>
  <c r="AP53" i="2"/>
  <c r="AQ53" i="2" s="1"/>
  <c r="AP45" i="2"/>
  <c r="AQ45" i="2" s="1"/>
  <c r="AP127" i="2"/>
  <c r="AQ127" i="2" s="1"/>
  <c r="AP123" i="2"/>
  <c r="AQ123" i="2" s="1"/>
  <c r="AP119" i="2"/>
  <c r="AQ119" i="2" s="1"/>
  <c r="AP115" i="2"/>
  <c r="AQ115" i="2" s="1"/>
  <c r="AP111" i="2"/>
  <c r="AQ111" i="2" s="1"/>
  <c r="AP107" i="2"/>
  <c r="AQ107" i="2" s="1"/>
  <c r="AP103" i="2"/>
  <c r="AQ103" i="2" s="1"/>
  <c r="AP99" i="2"/>
  <c r="AQ99" i="2" s="1"/>
  <c r="AP95" i="2"/>
  <c r="AQ95" i="2" s="1"/>
  <c r="AP91" i="2"/>
  <c r="AQ91" i="2" s="1"/>
  <c r="AP87" i="2"/>
  <c r="AQ87" i="2" s="1"/>
  <c r="AP83" i="2"/>
  <c r="AQ83" i="2" s="1"/>
  <c r="AP79" i="2"/>
  <c r="AQ79" i="2" s="1"/>
  <c r="AP75" i="2"/>
  <c r="AQ75" i="2" s="1"/>
  <c r="AP71" i="2"/>
  <c r="AQ71" i="2" s="1"/>
  <c r="AP67" i="2"/>
  <c r="AQ67" i="2" s="1"/>
  <c r="AP63" i="2"/>
  <c r="AQ63" i="2" s="1"/>
  <c r="AP59" i="2"/>
  <c r="AQ59" i="2" s="1"/>
  <c r="AP55" i="2"/>
  <c r="AQ55" i="2" s="1"/>
  <c r="AP51" i="2"/>
  <c r="AQ51" i="2" s="1"/>
  <c r="AP47" i="2"/>
  <c r="AQ47" i="2" s="1"/>
  <c r="AP43" i="2"/>
  <c r="AQ43" i="2" s="1"/>
  <c r="AP39" i="2"/>
  <c r="AQ39" i="2" s="1"/>
  <c r="AP35" i="2"/>
  <c r="AQ35" i="2" s="1"/>
  <c r="AP31" i="2"/>
  <c r="AQ31" i="2" s="1"/>
  <c r="AP27" i="2"/>
  <c r="AQ27" i="2" s="1"/>
  <c r="AP19" i="2"/>
  <c r="AQ19" i="2" s="1"/>
  <c r="AP15" i="2"/>
  <c r="AQ15" i="2" s="1"/>
  <c r="AP11" i="2"/>
  <c r="AQ11" i="2" s="1"/>
  <c r="AP7" i="2"/>
  <c r="AQ7" i="2" s="1"/>
  <c r="AP3" i="2"/>
  <c r="AQ3" i="2" s="1"/>
  <c r="AP129" i="2"/>
  <c r="AQ129" i="2" s="1"/>
  <c r="AP121" i="2"/>
  <c r="AQ121" i="2" s="1"/>
  <c r="AP113" i="2"/>
  <c r="AQ113" i="2" s="1"/>
  <c r="AP105" i="2"/>
  <c r="AQ105" i="2" s="1"/>
  <c r="AP97" i="2"/>
  <c r="AQ97" i="2" s="1"/>
  <c r="AP89" i="2"/>
  <c r="AQ89" i="2" s="1"/>
  <c r="AP81" i="2"/>
  <c r="AQ81" i="2" s="1"/>
  <c r="AP73" i="2"/>
  <c r="AQ73" i="2" s="1"/>
  <c r="AP65" i="2"/>
  <c r="AQ65" i="2" s="1"/>
  <c r="AP57" i="2"/>
  <c r="AQ57" i="2" s="1"/>
  <c r="AP49" i="2"/>
  <c r="AQ49" i="2" s="1"/>
  <c r="AP41" i="2"/>
  <c r="AQ41" i="2" s="1"/>
  <c r="AP37" i="2"/>
  <c r="AQ37" i="2" s="1"/>
  <c r="AP126" i="2"/>
  <c r="AQ126" i="2" s="1"/>
  <c r="AP122" i="2"/>
  <c r="AQ122" i="2" s="1"/>
  <c r="AP118" i="2"/>
  <c r="AQ118" i="2" s="1"/>
  <c r="AP114" i="2"/>
  <c r="AQ114" i="2" s="1"/>
  <c r="AP110" i="2"/>
  <c r="AQ110" i="2" s="1"/>
  <c r="AP106" i="2"/>
  <c r="AQ106" i="2" s="1"/>
  <c r="AP102" i="2"/>
  <c r="AQ102" i="2" s="1"/>
  <c r="AP98" i="2"/>
  <c r="AQ98" i="2" s="1"/>
  <c r="AP94" i="2"/>
  <c r="AQ94" i="2" s="1"/>
  <c r="AP90" i="2"/>
  <c r="AQ90" i="2" s="1"/>
  <c r="AP86" i="2"/>
  <c r="AQ86" i="2" s="1"/>
  <c r="AP82" i="2"/>
  <c r="AQ82" i="2" s="1"/>
  <c r="AP78" i="2"/>
  <c r="AQ78" i="2" s="1"/>
  <c r="AP74" i="2"/>
  <c r="AQ74" i="2" s="1"/>
  <c r="AP70" i="2"/>
  <c r="AQ70" i="2" s="1"/>
  <c r="AP66" i="2"/>
  <c r="AQ66" i="2" s="1"/>
  <c r="AP62" i="2"/>
  <c r="AQ62" i="2" s="1"/>
  <c r="AP58" i="2"/>
  <c r="AQ58" i="2" s="1"/>
  <c r="AP54" i="2"/>
  <c r="AQ54" i="2" s="1"/>
  <c r="AP50" i="2"/>
  <c r="AQ50" i="2" s="1"/>
  <c r="AP46" i="2"/>
  <c r="AQ46" i="2" s="1"/>
  <c r="AP42" i="2"/>
  <c r="AQ42" i="2" s="1"/>
  <c r="AP38" i="2"/>
  <c r="AQ38" i="2" s="1"/>
  <c r="AP34" i="2"/>
  <c r="AQ34" i="2" s="1"/>
  <c r="AP30" i="2"/>
  <c r="AQ30" i="2" s="1"/>
  <c r="AP26" i="2"/>
  <c r="AQ26" i="2" s="1"/>
  <c r="AP18" i="2"/>
  <c r="AQ18" i="2" s="1"/>
  <c r="AP14" i="2"/>
  <c r="AQ14" i="2" s="1"/>
  <c r="AP10" i="2"/>
  <c r="AQ10" i="2" s="1"/>
  <c r="AP6" i="2"/>
  <c r="AQ6" i="2" s="1"/>
  <c r="AP2" i="2"/>
  <c r="AQ2" i="2" s="1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K13" i="6"/>
  <c r="L13" i="6" s="1"/>
  <c r="K19" i="6"/>
  <c r="L19" i="6" s="1"/>
  <c r="L11" i="6"/>
  <c r="L10" i="6"/>
  <c r="L12" i="6"/>
  <c r="L14" i="6"/>
  <c r="L15" i="6"/>
  <c r="L16" i="6"/>
  <c r="M17" i="6" s="1"/>
  <c r="L17" i="6"/>
  <c r="L18" i="6"/>
  <c r="L20" i="6"/>
  <c r="L21" i="6"/>
  <c r="R66" i="2"/>
  <c r="AB66" i="2" s="1"/>
  <c r="Q66" i="2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  <c r="M19" i="6" l="1"/>
  <c r="M18" i="6"/>
  <c r="M14" i="6"/>
  <c r="M20" i="6"/>
  <c r="AP23" i="2"/>
  <c r="AQ23" i="2" s="1"/>
  <c r="AP22" i="2"/>
  <c r="AQ22" i="2" s="1"/>
  <c r="M11" i="6"/>
  <c r="M21" i="6"/>
  <c r="M12" i="6"/>
  <c r="M13" i="6"/>
  <c r="E31" i="6"/>
  <c r="M15" i="6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2" i="2"/>
  <c r="AK83" i="2"/>
  <c r="AK84" i="2"/>
  <c r="AK85" i="2"/>
  <c r="AK86" i="2"/>
  <c r="AK87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22" i="2"/>
  <c r="AK126" i="2"/>
  <c r="AK127" i="2"/>
  <c r="AK128" i="2"/>
  <c r="AK129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6" i="2"/>
  <c r="AL127" i="2"/>
  <c r="AL128" i="2"/>
  <c r="AL129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D125" i="2"/>
  <c r="AL125" i="2" s="1"/>
  <c r="AC125" i="2"/>
  <c r="AK125" i="2" s="1"/>
  <c r="AB125" i="2"/>
  <c r="X125" i="2"/>
  <c r="AD124" i="2"/>
  <c r="AL124" i="2" s="1"/>
  <c r="AC124" i="2"/>
  <c r="AK124" i="2" s="1"/>
  <c r="AB124" i="2"/>
  <c r="X124" i="2"/>
  <c r="AD123" i="2"/>
  <c r="AL123" i="2" s="1"/>
  <c r="AC123" i="2"/>
  <c r="AK123" i="2" s="1"/>
  <c r="AB123" i="2"/>
  <c r="X123" i="2"/>
  <c r="AD122" i="2"/>
  <c r="AL122" i="2" s="1"/>
  <c r="AB122" i="2"/>
  <c r="X122" i="2"/>
  <c r="AD121" i="2"/>
  <c r="AL121" i="2" s="1"/>
  <c r="AC121" i="2"/>
  <c r="AK121" i="2" s="1"/>
  <c r="AB121" i="2"/>
  <c r="X121" i="2"/>
  <c r="AC120" i="2"/>
  <c r="AK120" i="2" s="1"/>
  <c r="AB120" i="2"/>
  <c r="X120" i="2"/>
  <c r="AC119" i="2"/>
  <c r="AK119" i="2" s="1"/>
  <c r="AB119" i="2"/>
  <c r="X119" i="2"/>
  <c r="AC118" i="2"/>
  <c r="AK118" i="2" s="1"/>
  <c r="AB118" i="2"/>
  <c r="X118" i="2"/>
  <c r="AB117" i="2"/>
  <c r="X117" i="2"/>
  <c r="AB116" i="2"/>
  <c r="X116" i="2"/>
  <c r="AB115" i="2"/>
  <c r="X115" i="2"/>
  <c r="AB114" i="2"/>
  <c r="X114" i="2"/>
  <c r="AC89" i="2"/>
  <c r="AK89" i="2" s="1"/>
  <c r="AB89" i="2"/>
  <c r="X89" i="2"/>
  <c r="AC88" i="2"/>
  <c r="AK88" i="2" s="1"/>
  <c r="AB88" i="2"/>
  <c r="X88" i="2"/>
  <c r="AB87" i="2"/>
  <c r="X87" i="2"/>
  <c r="AB86" i="2"/>
  <c r="X86" i="2"/>
  <c r="AB85" i="2"/>
  <c r="X85" i="2"/>
  <c r="X84" i="2"/>
  <c r="V84" i="2"/>
  <c r="U84" i="2"/>
  <c r="S84" i="2"/>
  <c r="Q84" i="2"/>
  <c r="AB84" i="2" s="1"/>
  <c r="AB83" i="2"/>
  <c r="X83" i="2"/>
  <c r="AB82" i="2"/>
  <c r="X82" i="2"/>
  <c r="AC81" i="2"/>
  <c r="AK81" i="2" s="1"/>
  <c r="AB81" i="2"/>
  <c r="X81" i="2"/>
  <c r="AD80" i="2"/>
  <c r="AL80" i="2" s="1"/>
  <c r="AC80" i="2"/>
  <c r="AK80" i="2" s="1"/>
  <c r="AB80" i="2"/>
  <c r="X80" i="2"/>
  <c r="AD79" i="2"/>
  <c r="AL79" i="2" s="1"/>
  <c r="AB79" i="2"/>
  <c r="X79" i="2"/>
  <c r="AD78" i="2"/>
  <c r="AL78" i="2" s="1"/>
  <c r="AB78" i="2"/>
  <c r="X78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L2" i="2"/>
  <c r="AL3" i="2"/>
  <c r="AL4" i="2"/>
  <c r="AL5" i="2"/>
  <c r="AL6" i="2"/>
  <c r="AL7" i="2"/>
  <c r="AL8" i="2"/>
  <c r="AL9" i="2"/>
  <c r="AL10" i="2"/>
  <c r="AL11" i="2"/>
  <c r="AL12" i="2"/>
  <c r="AL13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62" i="2"/>
  <c r="AL63" i="2"/>
  <c r="AL64" i="2"/>
  <c r="AL65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8" i="2"/>
  <c r="AK19" i="2"/>
  <c r="AK20" i="2"/>
  <c r="AK21" i="2"/>
  <c r="AK22" i="2"/>
  <c r="AK23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8" i="2"/>
  <c r="AK62" i="2"/>
  <c r="AK63" i="2"/>
  <c r="AK64" i="2"/>
  <c r="AK65" i="2"/>
  <c r="AD61" i="2" l="1"/>
  <c r="AL61" i="2" s="1"/>
  <c r="AC61" i="2"/>
  <c r="AK61" i="2" s="1"/>
  <c r="AB61" i="2"/>
  <c r="X61" i="2"/>
  <c r="AD60" i="2"/>
  <c r="AL60" i="2" s="1"/>
  <c r="AC60" i="2"/>
  <c r="AK60" i="2" s="1"/>
  <c r="AB60" i="2"/>
  <c r="AD59" i="2"/>
  <c r="AL59" i="2" s="1"/>
  <c r="AC59" i="2"/>
  <c r="AK59" i="2" s="1"/>
  <c r="AB59" i="2"/>
  <c r="AD58" i="2"/>
  <c r="AL58" i="2" s="1"/>
  <c r="AB58" i="2"/>
  <c r="AD57" i="2"/>
  <c r="AL57" i="2" s="1"/>
  <c r="AC57" i="2"/>
  <c r="AK57" i="2" s="1"/>
  <c r="AB57" i="2"/>
  <c r="AC56" i="2"/>
  <c r="AK56" i="2" s="1"/>
  <c r="AB56" i="2"/>
  <c r="AC55" i="2"/>
  <c r="AK55" i="2" s="1"/>
  <c r="AB55" i="2"/>
  <c r="AC54" i="2"/>
  <c r="AK54" i="2" s="1"/>
  <c r="AB54" i="2"/>
  <c r="AB53" i="2"/>
  <c r="AB52" i="2"/>
  <c r="AB51" i="2"/>
  <c r="X51" i="2"/>
  <c r="AB50" i="2"/>
  <c r="X50" i="2"/>
  <c r="AB25" i="2"/>
  <c r="X25" i="2"/>
  <c r="AC24" i="2"/>
  <c r="AK24" i="2" s="1"/>
  <c r="AB24" i="2"/>
  <c r="X24" i="2"/>
  <c r="AB23" i="2"/>
  <c r="X23" i="2"/>
  <c r="AB22" i="2"/>
  <c r="AB21" i="2"/>
  <c r="X21" i="2"/>
  <c r="AB19" i="2"/>
  <c r="X19" i="2"/>
  <c r="AB18" i="2"/>
  <c r="X18" i="2"/>
  <c r="AC17" i="2"/>
  <c r="AK17" i="2" s="1"/>
  <c r="AB17" i="2"/>
  <c r="X17" i="2"/>
  <c r="AD16" i="2"/>
  <c r="AL16" i="2" s="1"/>
  <c r="AC16" i="2"/>
  <c r="AK16" i="2" s="1"/>
  <c r="AB16" i="2"/>
  <c r="X16" i="2"/>
  <c r="AD15" i="2"/>
  <c r="AL15" i="2" s="1"/>
  <c r="AB15" i="2"/>
  <c r="X15" i="2"/>
  <c r="AD14" i="2"/>
  <c r="AL14" i="2" s="1"/>
  <c r="AB14" i="2"/>
  <c r="X14" i="2"/>
  <c r="AB20" i="2" l="1"/>
</calcChain>
</file>

<file path=xl/sharedStrings.xml><?xml version="1.0" encoding="utf-8"?>
<sst xmlns="http://schemas.openxmlformats.org/spreadsheetml/2006/main" count="664" uniqueCount="196">
  <si>
    <t>UC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</si>
  <si>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</si>
  <si>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</si>
  <si>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</si>
  <si>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</si>
  <si>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</si>
  <si>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</si>
  <si>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</si>
  <si>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</si>
  <si>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</si>
  <si>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</si>
  <si>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</si>
  <si>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</si>
  <si>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</si>
  <si>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</si>
  <si>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</si>
  <si>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</si>
  <si>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</si>
  <si>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</si>
  <si>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</si>
  <si>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</si>
  <si>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</si>
  <si>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</si>
  <si>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</si>
  <si>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</si>
  <si>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</si>
  <si>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</si>
  <si>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</si>
  <si>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</si>
  <si>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</si>
  <si>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</si>
  <si>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Categoria Tarifa</t>
  </si>
  <si>
    <t>Horária Verde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</si>
  <si>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</si>
  <si>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</si>
  <si>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</si>
  <si>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</si>
  <si>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</si>
  <si>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</si>
  <si>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</si>
  <si>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</si>
  <si>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</si>
  <si>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</si>
  <si>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</si>
  <si>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</si>
  <si>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</si>
  <si>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</si>
  <si>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</si>
  <si>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</si>
  <si>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</si>
  <si>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</si>
  <si>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</si>
  <si>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</si>
  <si>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</si>
  <si>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</si>
  <si>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</si>
  <si>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</si>
  <si>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Rótulos de Linha</t>
  </si>
  <si>
    <t>Total Geral</t>
  </si>
  <si>
    <t>% Demanda contratada P</t>
  </si>
  <si>
    <t>% Demanda contratada FP</t>
  </si>
  <si>
    <t>Acima 5%_P</t>
  </si>
  <si>
    <t>Acima 5%_FP</t>
  </si>
  <si>
    <t>%Acresc_amar</t>
  </si>
  <si>
    <t>%Acresc_verm1</t>
  </si>
  <si>
    <t>%Acresc_verm2</t>
  </si>
  <si>
    <t>SA</t>
  </si>
  <si>
    <t>SBC</t>
  </si>
  <si>
    <t>Soma Consumo Total</t>
  </si>
  <si>
    <t>Ref</t>
  </si>
  <si>
    <t>Demanda FP</t>
  </si>
  <si>
    <t>Soma de Consumo Total</t>
  </si>
  <si>
    <t>Ano</t>
  </si>
  <si>
    <t>Quantidade de meses demanda acima dos 5%</t>
  </si>
  <si>
    <t>Cursos</t>
  </si>
  <si>
    <t>Biotecnologia</t>
  </si>
  <si>
    <t>Ciência da computação</t>
  </si>
  <si>
    <t>Ciências Biológicas</t>
  </si>
  <si>
    <t>Período</t>
  </si>
  <si>
    <t>MN</t>
  </si>
  <si>
    <t>Vagas p/turno</t>
  </si>
  <si>
    <t>Física</t>
  </si>
  <si>
    <t>Matemática</t>
  </si>
  <si>
    <t>Química</t>
  </si>
  <si>
    <t>Engenharia Aeroespacial</t>
  </si>
  <si>
    <t>Engenharia Ambiental e Urbana</t>
  </si>
  <si>
    <t>Engenharia Biomédica</t>
  </si>
  <si>
    <t>Engenharia de Energia</t>
  </si>
  <si>
    <t>Engenharia de Gestão</t>
  </si>
  <si>
    <t>Engenharia de Informação</t>
  </si>
  <si>
    <t>Engenharia de Instrumentação, Automação e Robótica</t>
  </si>
  <si>
    <t>Engenharia de Materiais</t>
  </si>
  <si>
    <t>Campus</t>
  </si>
  <si>
    <t>Neurociência</t>
  </si>
  <si>
    <t>Ciências Economicas</t>
  </si>
  <si>
    <t>Filosofia</t>
  </si>
  <si>
    <t>Planejamento Territorial</t>
  </si>
  <si>
    <t>Políticas Públicas</t>
  </si>
  <si>
    <t>Relações Internacionais</t>
  </si>
  <si>
    <t>Licenciatura Filosofia</t>
  </si>
  <si>
    <t>Licenciatura Ciencias Biológicas</t>
  </si>
  <si>
    <t>Licenciatura Física</t>
  </si>
  <si>
    <t>Licenciatura Matemática</t>
  </si>
  <si>
    <t>Licenciatura Química</t>
  </si>
  <si>
    <t>Total</t>
  </si>
  <si>
    <t>Greves</t>
  </si>
  <si>
    <t>Técnico/administrativo</t>
  </si>
  <si>
    <t>Datas</t>
  </si>
  <si>
    <t>http://g1.globo.com/educacao/noticia/2015/05/greve-afeta-48-universidades-federais-dizem-sindicatos.html</t>
  </si>
  <si>
    <t>28/05/2015 até 7/10/2015</t>
  </si>
  <si>
    <t>https://sintufabc.org.br/comunicados/117-sobre-o-encerramento-da-greve-dos-tecnico-administrativos</t>
  </si>
  <si>
    <t>Fontes</t>
  </si>
  <si>
    <t>Greve dos caminhoneiros</t>
  </si>
  <si>
    <t>21/05/2018 até 30/05/2018</t>
  </si>
  <si>
    <t>https://www.bbc.com/portuguese/brasil-44302137#:~:text=Pouco%20a%20pouco%2C%20o%20Brasil,pa%C3%ADs%20%C3%A0%20beira%20do%20colapso.</t>
  </si>
  <si>
    <t>-</t>
  </si>
  <si>
    <t>28/04/2017 e 30/06/2017</t>
  </si>
  <si>
    <t>https://sintufabc.org.br/paridade-ufabc</t>
  </si>
  <si>
    <t>Estudantil (greve geral reformas de Temer)</t>
  </si>
  <si>
    <t>Greve geral</t>
  </si>
  <si>
    <t>MN - Matutino e noturno</t>
  </si>
  <si>
    <t>Fonte dos dados: página dos cursos UFABC</t>
  </si>
  <si>
    <t>Matutino</t>
  </si>
  <si>
    <t>Noturno</t>
  </si>
  <si>
    <t>Pós</t>
  </si>
  <si>
    <t>TOTAL</t>
  </si>
  <si>
    <t>Fonte: http://propladi.ufabc.edu.br/informacoes/ufabc-em-numeros</t>
  </si>
  <si>
    <t>* Sem estratificação de matutino e noturno</t>
  </si>
  <si>
    <t>**Calculados a partir das médias dos quadrimestres</t>
  </si>
  <si>
    <t>% ref 2015</t>
  </si>
  <si>
    <t>*</t>
  </si>
  <si>
    <t>**</t>
  </si>
  <si>
    <t>null</t>
  </si>
  <si>
    <t>TEMPERATURA MINIMA MEDIA, MENSAL(Â°C)</t>
  </si>
  <si>
    <t>TEMPERATURA MEDIA COMPENSADA, MENSAL(Â°C)</t>
  </si>
  <si>
    <t>TEMPERATURA MAXIMA MEDIA, MENSAL(Â°C)</t>
  </si>
  <si>
    <t>PRECIPITACAO TOTAL, MENSAL(mm)</t>
  </si>
  <si>
    <t>Data Medicao</t>
  </si>
  <si>
    <t>Periodicidade da Medicao: Mensal</t>
  </si>
  <si>
    <t>Data Final: 2020-12-01</t>
  </si>
  <si>
    <t>Data Inicial: 2015-01-01</t>
  </si>
  <si>
    <t>Situacao: Operante</t>
  </si>
  <si>
    <t>Altitude: 785.16</t>
  </si>
  <si>
    <t>Longitude: -46.61999999</t>
  </si>
  <si>
    <t>Latitude: -23.49638888</t>
  </si>
  <si>
    <t>Codigo Estacao: 83781</t>
  </si>
  <si>
    <t>Nome: SAO PAULO(MIR.de SANTANA)</t>
  </si>
  <si>
    <t>Comparativo consumo de cada mês, referência ano de 2015.</t>
  </si>
  <si>
    <t>desconsiderado 2020</t>
  </si>
  <si>
    <t>Tipo de greve</t>
  </si>
  <si>
    <t>Obs</t>
  </si>
  <si>
    <t>Fonte: https://bdmep.inmet.gov.br/#</t>
  </si>
  <si>
    <t>Total de alunos</t>
  </si>
  <si>
    <t>crescimento (%)</t>
  </si>
  <si>
    <t>Precipitação (mm)</t>
  </si>
  <si>
    <t>Ponta</t>
  </si>
  <si>
    <t>Temperatura média (ºC)</t>
  </si>
  <si>
    <t>28/05/2015 - 07/10/2015</t>
  </si>
  <si>
    <t>21/05/2018 - 30/05/2018</t>
  </si>
  <si>
    <t>Greve trabalhadores</t>
  </si>
  <si>
    <t>Greve caminhoneiros</t>
  </si>
  <si>
    <t>Tipo</t>
  </si>
  <si>
    <t>https://g1.globo.com/sp/sao-paulo/noticia/2019/08/26/ufabc-recebe-5percent-de-verba-para-investimentos-e-suspende-construcao-de-predio.ghtml</t>
  </si>
  <si>
    <t>https://www.redebrasilatual.com.br/educacao/2015/09/ufabc-da-inicio-ao-projeto-de-expansao-do-campus-santo-andre-4512/</t>
  </si>
  <si>
    <t>https://www.dgabc.com.br/Noticia/2872647/expansao-da-ufabc-patina-com-menos-verba</t>
  </si>
  <si>
    <t>https://www.ufabc.edu.br/administracao/obras/santo-andre/historico#mapa-sa</t>
  </si>
  <si>
    <t>https://www.ufabc.edu.br/administracao/obras/sao-bernardo-do-campo/historico-2#mapa-sbc</t>
  </si>
  <si>
    <t>http://propladi.ufabc.edu.br/images/relatorio_gestao/relatorio_gestao_2019.pdf</t>
  </si>
  <si>
    <t>Planos de expansão UFABC:</t>
  </si>
  <si>
    <t>Ref2</t>
  </si>
  <si>
    <t>Referência contratada</t>
  </si>
  <si>
    <t>Limite 105%</t>
  </si>
  <si>
    <t xml:space="preserve"> </t>
  </si>
  <si>
    <t>Média%</t>
  </si>
  <si>
    <t>n.a.</t>
  </si>
  <si>
    <t>FP</t>
  </si>
  <si>
    <t>Exced</t>
  </si>
  <si>
    <t>Contagem Exced</t>
  </si>
  <si>
    <t>Excedido 105%</t>
  </si>
  <si>
    <t>Turno matutino</t>
  </si>
  <si>
    <t>Turno Noturno</t>
  </si>
  <si>
    <t>Rótulos de Coluna</t>
  </si>
  <si>
    <t>(Tudo)</t>
  </si>
  <si>
    <t>Soma de DEMANDA_REGISTRADA_P</t>
  </si>
  <si>
    <t>Soma de DEMANDA_REGISTRADA_FP</t>
  </si>
  <si>
    <t>Demanda P</t>
  </si>
  <si>
    <t>Soma de % Demanda contratada P</t>
  </si>
  <si>
    <t>Média 2015 consumo</t>
  </si>
  <si>
    <t>Média 2015</t>
  </si>
  <si>
    <t>Consumo mensal</t>
  </si>
  <si>
    <t>Média 2015 demanda P</t>
  </si>
  <si>
    <t>Média 2015 FP</t>
  </si>
  <si>
    <t>demanda P Média 2015</t>
  </si>
  <si>
    <t>Demanda FP Média 2015</t>
  </si>
  <si>
    <t>Demanda média 2015 P</t>
  </si>
  <si>
    <t>Demanda média 2015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</si>
</sst>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0"/>
    <numFmt numFmtId="166" formatCode="0.0"/>
    <numFmt numFmtId="167" formatCode="#,##0.00000"/>
    <numFmt numFmtId="168" formatCode="0.0%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1" tint="0.499984740745262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/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</cellStyleXfs>
  <cellXfs count="90">
    <xf numFmtId="0" fontId="0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166" fontId="5" fillId="0" borderId="2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167" fontId="5" fillId="0" borderId="2" xfId="0" applyNumberFormat="1" applyFont="1" applyFill="1" applyBorder="1" applyAlignment="1">
      <alignment horizontal="center"/>
    </xf>
    <xf numFmtId="0" fontId="4" fillId="0" borderId="0" xfId="0" applyFont="1" applyFill="1" applyAlignment="1"/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14" fontId="4" fillId="0" borderId="2" xfId="0" applyNumberFormat="1" applyFont="1" applyBorder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2" borderId="0" xfId="0" applyFont="1" applyFill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9" fontId="4" fillId="0" borderId="0" xfId="1" applyFont="1" applyAlignment="1">
      <alignment horizontal="center"/>
    </xf>
    <xf numFmtId="9" fontId="4" fillId="0" borderId="0" xfId="1" applyFont="1" applyFill="1" applyAlignment="1">
      <alignment horizontal="center"/>
    </xf>
    <xf numFmtId="168" fontId="0" fillId="0" borderId="0" xfId="0" applyNumberFormat="1" applyFont="1" applyAlignment="1"/>
    <xf numFmtId="0" fontId="4" fillId="0" borderId="0" xfId="0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4" fontId="5" fillId="0" borderId="2" xfId="0" applyNumberFormat="1" applyFont="1" applyFill="1" applyBorder="1" applyAlignment="1">
      <alignment horizontal="center"/>
    </xf>
    <xf numFmtId="9" fontId="4" fillId="0" borderId="0" xfId="1" applyNumberFormat="1" applyFont="1" applyAlignment="1">
      <alignment horizontal="center"/>
    </xf>
    <xf numFmtId="9" fontId="4" fillId="0" borderId="0" xfId="1" applyNumberFormat="1" applyFont="1" applyFill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9" fontId="4" fillId="0" borderId="2" xfId="1" applyNumberFormat="1" applyFont="1" applyBorder="1" applyAlignment="1">
      <alignment horizontal="center"/>
    </xf>
    <xf numFmtId="9" fontId="4" fillId="0" borderId="1" xfId="1" applyNumberFormat="1" applyFont="1" applyBorder="1" applyAlignment="1">
      <alignment horizontal="center"/>
    </xf>
    <xf numFmtId="9" fontId="4" fillId="0" borderId="0" xfId="1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0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horizontal="center"/>
    </xf>
    <xf numFmtId="0" fontId="6" fillId="2" borderId="0" xfId="0" applyFont="1" applyFill="1" applyAlignment="1"/>
    <xf numFmtId="4" fontId="4" fillId="0" borderId="0" xfId="0" applyNumberFormat="1" applyFont="1" applyAlignment="1"/>
    <xf numFmtId="0" fontId="9" fillId="2" borderId="0" xfId="0" applyFont="1" applyFill="1" applyAlignment="1"/>
    <xf numFmtId="0" fontId="9" fillId="2" borderId="0" xfId="0" applyFont="1" applyFill="1" applyAlignment="1">
      <alignment horizontal="center"/>
    </xf>
    <xf numFmtId="0" fontId="6" fillId="0" borderId="0" xfId="0" applyFont="1" applyAlignment="1"/>
    <xf numFmtId="0" fontId="9" fillId="2" borderId="0" xfId="0" applyFont="1" applyFill="1" applyAlignment="1">
      <alignment horizontal="left"/>
    </xf>
    <xf numFmtId="16" fontId="9" fillId="2" borderId="0" xfId="0" applyNumberFormat="1" applyFont="1" applyFill="1" applyAlignment="1">
      <alignment horizontal="center"/>
    </xf>
    <xf numFmtId="14" fontId="9" fillId="2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168" fontId="0" fillId="0" borderId="0" xfId="0" applyNumberFormat="1" applyFont="1" applyAlignment="1">
      <alignment horizontal="center"/>
    </xf>
    <xf numFmtId="168" fontId="0" fillId="2" borderId="0" xfId="0" applyNumberFormat="1" applyFont="1" applyFill="1" applyAlignment="1">
      <alignment horizontal="center"/>
    </xf>
    <xf numFmtId="3" fontId="9" fillId="2" borderId="0" xfId="0" applyNumberFormat="1" applyFont="1" applyFill="1" applyAlignment="1">
      <alignment horizontal="center"/>
    </xf>
    <xf numFmtId="9" fontId="9" fillId="2" borderId="0" xfId="1" applyFont="1" applyFill="1" applyAlignment="1">
      <alignment horizontal="center"/>
    </xf>
    <xf numFmtId="0" fontId="2" fillId="2" borderId="0" xfId="2" applyFill="1"/>
    <xf numFmtId="0" fontId="0" fillId="2" borderId="0" xfId="0" applyNumberFormat="1" applyFont="1" applyFill="1" applyAlignment="1"/>
    <xf numFmtId="14" fontId="2" fillId="2" borderId="0" xfId="2" applyNumberFormat="1" applyFill="1"/>
    <xf numFmtId="0" fontId="7" fillId="4" borderId="8" xfId="0" applyFont="1" applyFill="1" applyBorder="1" applyAlignment="1">
      <alignment horizontal="center" vertical="center" wrapText="1"/>
    </xf>
    <xf numFmtId="0" fontId="10" fillId="2" borderId="0" xfId="3" applyFill="1" applyAlignment="1"/>
    <xf numFmtId="168" fontId="0" fillId="0" borderId="0" xfId="1" applyNumberFormat="1" applyFont="1" applyAlignment="1"/>
    <xf numFmtId="0" fontId="4" fillId="0" borderId="0" xfId="1" applyNumberFormat="1" applyFont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8" fontId="0" fillId="2" borderId="0" xfId="0" applyNumberFormat="1" applyFont="1" applyFill="1" applyAlignment="1"/>
    <xf numFmtId="0" fontId="0" fillId="2" borderId="0" xfId="0" applyFont="1" applyFill="1" applyAlignment="1">
      <alignment horizontal="center" indent="1"/>
    </xf>
    <xf numFmtId="0" fontId="7" fillId="2" borderId="9" xfId="0" applyFont="1" applyFill="1" applyBorder="1" applyAlignment="1"/>
    <xf numFmtId="168" fontId="6" fillId="2" borderId="10" xfId="0" applyNumberFormat="1" applyFont="1" applyFill="1" applyBorder="1" applyAlignment="1">
      <alignment horizontal="center"/>
    </xf>
    <xf numFmtId="168" fontId="7" fillId="2" borderId="11" xfId="0" applyNumberFormat="1" applyFont="1" applyFill="1" applyBorder="1" applyAlignment="1"/>
    <xf numFmtId="168" fontId="6" fillId="2" borderId="12" xfId="0" applyNumberFormat="1" applyFont="1" applyFill="1" applyBorder="1" applyAlignment="1">
      <alignment horizontal="center"/>
    </xf>
    <xf numFmtId="168" fontId="6" fillId="2" borderId="14" xfId="0" applyNumberFormat="1" applyFont="1" applyFill="1" applyBorder="1" applyAlignment="1">
      <alignment horizontal="center"/>
    </xf>
    <xf numFmtId="0" fontId="0" fillId="2" borderId="13" xfId="0" applyFont="1" applyFill="1" applyBorder="1" applyAlignment="1">
      <alignment horizontal="left"/>
    </xf>
    <xf numFmtId="168" fontId="0" fillId="2" borderId="13" xfId="0" applyNumberFormat="1" applyFont="1" applyFill="1" applyBorder="1" applyAlignment="1"/>
    <xf numFmtId="0" fontId="0" fillId="2" borderId="13" xfId="0" applyFont="1" applyFill="1" applyBorder="1" applyAlignment="1"/>
    <xf numFmtId="168" fontId="7" fillId="2" borderId="13" xfId="0" applyNumberFormat="1" applyFont="1" applyFill="1" applyBorder="1" applyAlignment="1"/>
    <xf numFmtId="0" fontId="7" fillId="2" borderId="14" xfId="0" applyFont="1" applyFill="1" applyBorder="1" applyAlignment="1">
      <alignment horizontal="center"/>
    </xf>
    <xf numFmtId="0" fontId="1" fillId="2" borderId="0" xfId="2" applyFont="1" applyFill="1"/>
    <xf numFmtId="0" fontId="10" fillId="2" borderId="0" xfId="3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7" fillId="4" borderId="8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/>
    </xf>
  </cellXfs>
  <cellStyles count="4">
    <cellStyle name="Hyperlink" xfId="3" builtinId="8"/>
    <cellStyle name="Normal" xfId="0" builtinId="0"/>
    <cellStyle name="Normal 2" xfId="2" xr:uid="{3903EBCF-DC3A-4CF9-BF5E-A4138FA515F6}"/>
    <cellStyle name="Percent" xfId="1" builtinId="5"/>
  </cellStyles>
  <dxfs count="132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9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</border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numFmt numFmtId="167" formatCode="#,##0.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numFmt numFmtId="167" formatCode="#,##0.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numFmt numFmtId="167" formatCode="#,##0.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numFmt numFmtId="167" formatCode="#,##0.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numFmt numFmtId="166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numFmt numFmtId="165" formatCode="#,##0.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ajor"/>
      </font>
      <numFmt numFmtId="16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3" formatCode="0%"/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[Análise de demanda.xlsx]Dashboard!Tabela dinâmica5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042746124478809E-2"/>
          <c:y val="0.19963198098852666"/>
          <c:w val="0.65133641090267991"/>
          <c:h val="0.56766250371451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Dashboard!$Y$3</c:f>
              <c:strCache>
                <c:ptCount val="1"/>
                <c:pt idx="0">
                  <c:v>Total de alunos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Dashboard!$X$4:$X$10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Dashboard!$Y$4:$Y$10</c:f>
              <c:numCache>
                <c:formatCode>General</c:formatCode>
                <c:ptCount val="6"/>
                <c:pt idx="0">
                  <c:v>14168</c:v>
                </c:pt>
                <c:pt idx="1">
                  <c:v>14054</c:v>
                </c:pt>
                <c:pt idx="2">
                  <c:v>15346</c:v>
                </c:pt>
                <c:pt idx="3">
                  <c:v>15955</c:v>
                </c:pt>
                <c:pt idx="4">
                  <c:v>17355</c:v>
                </c:pt>
                <c:pt idx="5">
                  <c:v>18842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8-4B86-B097-C47129A76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7229951"/>
        <c:axId val="497230783"/>
      </c:barChart>
      <c:lineChart>
        <c:grouping val="standard"/>
        <c:varyColors val="0"/>
        <c:ser>
          <c:idx val="1"/>
          <c:order val="1"/>
          <c:tx>
            <c:strRef>
              <c:f>Dashboard!$Z$3</c:f>
              <c:strCache>
                <c:ptCount val="1"/>
                <c:pt idx="0">
                  <c:v>crescimento (%)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Dashboard!$X$4:$X$10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Dashboard!$Z$4:$Z$10</c:f>
              <c:numCache>
                <c:formatCode>General</c:formatCode>
                <c:ptCount val="6"/>
                <c:pt idx="0">
                  <c:v>1</c:v>
                </c:pt>
                <c:pt idx="1">
                  <c:v>1.0088678000802913</c:v>
                </c:pt>
                <c:pt idx="2">
                  <c:v>1.1079740849296846</c:v>
                </c:pt>
                <c:pt idx="3">
                  <c:v>1.1684735162457967</c:v>
                </c:pt>
                <c:pt idx="4">
                  <c:v>1.2769791489896869</c:v>
                </c:pt>
                <c:pt idx="5">
                  <c:v>1.3903807573408549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8-4B86-B097-C47129A76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989695"/>
        <c:axId val="801976799"/>
      </c:lineChart>
      <c:catAx>
        <c:axId val="49722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30783"/>
        <c:crosses val="autoZero"/>
        <c:auto val="1"/>
        <c:lblAlgn val="ctr"/>
        <c:lblOffset val="100"/>
        <c:noMultiLvlLbl val="0"/>
      </c:catAx>
      <c:valAx>
        <c:axId val="4972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29951"/>
        <c:crosses val="autoZero"/>
        <c:crossBetween val="between"/>
      </c:valAx>
      <c:valAx>
        <c:axId val="80197679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9695"/>
        <c:crosses val="max"/>
        <c:crossBetween val="between"/>
      </c:valAx>
      <c:catAx>
        <c:axId val="801989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1976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64800041726282"/>
          <c:y val="0.33306871663601972"/>
          <c:w val="0.18587200844957313"/>
          <c:h val="0.33434987642457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[Análise de demanda.xlsx]Análise demanda!Tabela dinâmica7</c:name>
    <c:fmtId val="0"/>
  </c:pivotSource>
  <c:chart>
    <c:autoTitleDeleted val="0"/>
    <c:pivotFmts>
      <c:pivotFmt>
        <c:idx val="0"/>
        <c:spPr>
          <a:ln w="63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63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5875" cap="rnd">
            <a:solidFill>
              <a:schemeClr val="accent1"/>
            </a:solidFill>
            <a:prstDash val="dash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5875" cap="rnd">
            <a:solidFill>
              <a:schemeClr val="accent2"/>
            </a:solidFill>
            <a:prstDash val="dash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497219946260749E-2"/>
          <c:y val="0.11651558489094808"/>
          <c:w val="0.77222384532169086"/>
          <c:h val="0.65758129264637322"/>
        </c:manualLayout>
      </c:layout>
      <c:lineChart>
        <c:grouping val="standard"/>
        <c:varyColors val="0"/>
        <c:ser>
          <c:idx val="0"/>
          <c:order val="0"/>
          <c:tx>
            <c:strRef>
              <c:f>'Análise demanda'!$BB$3</c:f>
              <c:strCache>
                <c:ptCount val="1"/>
                <c:pt idx="0">
                  <c:v>Demanda P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cat>
            <c:multiLvlStrRef>
              <c:f>'Análise demanda'!$BA$4:$BA$69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demanda'!$BB$4:$BB$69</c:f>
              <c:numCache>
                <c:formatCode>General</c:formatCode>
                <c:ptCount val="60"/>
                <c:pt idx="0">
                  <c:v>330.1</c:v>
                </c:pt>
                <c:pt idx="1">
                  <c:v>401.5</c:v>
                </c:pt>
                <c:pt idx="2">
                  <c:v>416.6</c:v>
                </c:pt>
                <c:pt idx="3">
                  <c:v>412.4</c:v>
                </c:pt>
                <c:pt idx="4">
                  <c:v>415.8</c:v>
                </c:pt>
                <c:pt idx="5">
                  <c:v>404</c:v>
                </c:pt>
                <c:pt idx="6">
                  <c:v>369.6</c:v>
                </c:pt>
                <c:pt idx="7">
                  <c:v>352</c:v>
                </c:pt>
                <c:pt idx="8">
                  <c:v>325.10000000000002</c:v>
                </c:pt>
                <c:pt idx="9">
                  <c:v>479.6</c:v>
                </c:pt>
                <c:pt idx="10">
                  <c:v>520.79999999999995</c:v>
                </c:pt>
                <c:pt idx="11">
                  <c:v>493.1</c:v>
                </c:pt>
                <c:pt idx="12">
                  <c:v>420</c:v>
                </c:pt>
                <c:pt idx="13">
                  <c:v>342.7</c:v>
                </c:pt>
                <c:pt idx="14">
                  <c:v>609.79999999999995</c:v>
                </c:pt>
                <c:pt idx="15">
                  <c:v>614</c:v>
                </c:pt>
                <c:pt idx="16">
                  <c:v>644.29999999999995</c:v>
                </c:pt>
                <c:pt idx="17">
                  <c:v>446.9</c:v>
                </c:pt>
                <c:pt idx="18">
                  <c:v>459.5</c:v>
                </c:pt>
                <c:pt idx="19">
                  <c:v>484.7</c:v>
                </c:pt>
                <c:pt idx="20">
                  <c:v>426.7</c:v>
                </c:pt>
                <c:pt idx="21">
                  <c:v>408.2</c:v>
                </c:pt>
                <c:pt idx="22">
                  <c:v>557.79999999999995</c:v>
                </c:pt>
                <c:pt idx="23">
                  <c:v>425</c:v>
                </c:pt>
                <c:pt idx="24">
                  <c:v>386.4</c:v>
                </c:pt>
                <c:pt idx="25">
                  <c:v>457</c:v>
                </c:pt>
                <c:pt idx="26">
                  <c:v>567.79999999999995</c:v>
                </c:pt>
                <c:pt idx="27">
                  <c:v>480.5</c:v>
                </c:pt>
                <c:pt idx="28">
                  <c:v>451.9</c:v>
                </c:pt>
                <c:pt idx="29">
                  <c:v>414.1</c:v>
                </c:pt>
                <c:pt idx="30">
                  <c:v>373.8</c:v>
                </c:pt>
                <c:pt idx="31">
                  <c:v>377.2</c:v>
                </c:pt>
                <c:pt idx="32">
                  <c:v>352</c:v>
                </c:pt>
                <c:pt idx="33">
                  <c:v>439.3</c:v>
                </c:pt>
                <c:pt idx="34">
                  <c:v>430.1</c:v>
                </c:pt>
                <c:pt idx="35">
                  <c:v>413.3</c:v>
                </c:pt>
                <c:pt idx="36">
                  <c:v>389.8</c:v>
                </c:pt>
                <c:pt idx="37">
                  <c:v>304.89999999999998</c:v>
                </c:pt>
                <c:pt idx="38">
                  <c:v>488</c:v>
                </c:pt>
                <c:pt idx="39">
                  <c:v>496.4</c:v>
                </c:pt>
                <c:pt idx="40">
                  <c:v>415</c:v>
                </c:pt>
                <c:pt idx="41">
                  <c:v>423.4</c:v>
                </c:pt>
                <c:pt idx="42">
                  <c:v>304</c:v>
                </c:pt>
                <c:pt idx="43">
                  <c:v>387.2</c:v>
                </c:pt>
                <c:pt idx="44">
                  <c:v>357</c:v>
                </c:pt>
                <c:pt idx="45">
                  <c:v>409.1</c:v>
                </c:pt>
                <c:pt idx="46">
                  <c:v>456.1</c:v>
                </c:pt>
                <c:pt idx="47">
                  <c:v>487</c:v>
                </c:pt>
                <c:pt idx="48">
                  <c:v>462</c:v>
                </c:pt>
                <c:pt idx="49">
                  <c:v>485.5</c:v>
                </c:pt>
                <c:pt idx="50">
                  <c:v>508.2</c:v>
                </c:pt>
                <c:pt idx="51">
                  <c:v>513.20000000000005</c:v>
                </c:pt>
                <c:pt idx="52">
                  <c:v>462.8</c:v>
                </c:pt>
                <c:pt idx="53">
                  <c:v>363.7</c:v>
                </c:pt>
                <c:pt idx="54">
                  <c:v>446.9</c:v>
                </c:pt>
                <c:pt idx="55">
                  <c:v>395.6</c:v>
                </c:pt>
                <c:pt idx="56">
                  <c:v>362</c:v>
                </c:pt>
                <c:pt idx="57">
                  <c:v>403.2</c:v>
                </c:pt>
                <c:pt idx="58">
                  <c:v>517.4</c:v>
                </c:pt>
                <c:pt idx="59">
                  <c:v>402.4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9-43FB-836C-CE1C2375384E}"/>
            </c:ext>
          </c:extLst>
        </c:ser>
        <c:ser>
          <c:idx val="1"/>
          <c:order val="1"/>
          <c:tx>
            <c:strRef>
              <c:f>'Análise demanda'!$BC$3</c:f>
              <c:strCache>
                <c:ptCount val="1"/>
                <c:pt idx="0">
                  <c:v>Demanda FP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cat>
            <c:multiLvlStrRef>
              <c:f>'Análise demanda'!$BA$4:$BA$69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demanda'!$BC$4:$BC$69</c:f>
              <c:numCache>
                <c:formatCode>General</c:formatCode>
                <c:ptCount val="60"/>
                <c:pt idx="0">
                  <c:v>357</c:v>
                </c:pt>
                <c:pt idx="1">
                  <c:v>393.1</c:v>
                </c:pt>
                <c:pt idx="2">
                  <c:v>448.6</c:v>
                </c:pt>
                <c:pt idx="3">
                  <c:v>435.1</c:v>
                </c:pt>
                <c:pt idx="4">
                  <c:v>426.7</c:v>
                </c:pt>
                <c:pt idx="5">
                  <c:v>386.4</c:v>
                </c:pt>
                <c:pt idx="6">
                  <c:v>326.8</c:v>
                </c:pt>
                <c:pt idx="7">
                  <c:v>353.6</c:v>
                </c:pt>
                <c:pt idx="8">
                  <c:v>311.60000000000002</c:v>
                </c:pt>
                <c:pt idx="9">
                  <c:v>478.8</c:v>
                </c:pt>
                <c:pt idx="10">
                  <c:v>494.8</c:v>
                </c:pt>
                <c:pt idx="11">
                  <c:v>517.4</c:v>
                </c:pt>
                <c:pt idx="12">
                  <c:v>458.6</c:v>
                </c:pt>
                <c:pt idx="13">
                  <c:v>430.9</c:v>
                </c:pt>
                <c:pt idx="14">
                  <c:v>556.9</c:v>
                </c:pt>
                <c:pt idx="15">
                  <c:v>558.6</c:v>
                </c:pt>
                <c:pt idx="16">
                  <c:v>628.29999999999995</c:v>
                </c:pt>
                <c:pt idx="17">
                  <c:v>394</c:v>
                </c:pt>
                <c:pt idx="18">
                  <c:v>404</c:v>
                </c:pt>
                <c:pt idx="19">
                  <c:v>450</c:v>
                </c:pt>
                <c:pt idx="20">
                  <c:v>392.3</c:v>
                </c:pt>
                <c:pt idx="21">
                  <c:v>384.7</c:v>
                </c:pt>
                <c:pt idx="22">
                  <c:v>579.6</c:v>
                </c:pt>
                <c:pt idx="23">
                  <c:v>483.8</c:v>
                </c:pt>
                <c:pt idx="24">
                  <c:v>444.4</c:v>
                </c:pt>
                <c:pt idx="25">
                  <c:v>502.3</c:v>
                </c:pt>
                <c:pt idx="26">
                  <c:v>573.70000000000005</c:v>
                </c:pt>
                <c:pt idx="27">
                  <c:v>506.5</c:v>
                </c:pt>
                <c:pt idx="28">
                  <c:v>399.8</c:v>
                </c:pt>
                <c:pt idx="29">
                  <c:v>410.8</c:v>
                </c:pt>
                <c:pt idx="30">
                  <c:v>332.6</c:v>
                </c:pt>
                <c:pt idx="31">
                  <c:v>344.4</c:v>
                </c:pt>
                <c:pt idx="32">
                  <c:v>337.7</c:v>
                </c:pt>
                <c:pt idx="33">
                  <c:v>456.1</c:v>
                </c:pt>
                <c:pt idx="34">
                  <c:v>456.1</c:v>
                </c:pt>
                <c:pt idx="35">
                  <c:v>456.1</c:v>
                </c:pt>
                <c:pt idx="36">
                  <c:v>369.6</c:v>
                </c:pt>
                <c:pt idx="37">
                  <c:v>416.6</c:v>
                </c:pt>
                <c:pt idx="38">
                  <c:v>502.3</c:v>
                </c:pt>
                <c:pt idx="39">
                  <c:v>513.20000000000005</c:v>
                </c:pt>
                <c:pt idx="40">
                  <c:v>391.4</c:v>
                </c:pt>
                <c:pt idx="41">
                  <c:v>350.3</c:v>
                </c:pt>
                <c:pt idx="42">
                  <c:v>372.1</c:v>
                </c:pt>
                <c:pt idx="43">
                  <c:v>352</c:v>
                </c:pt>
                <c:pt idx="44">
                  <c:v>350.3</c:v>
                </c:pt>
                <c:pt idx="45">
                  <c:v>409.1</c:v>
                </c:pt>
                <c:pt idx="46">
                  <c:v>415</c:v>
                </c:pt>
                <c:pt idx="47">
                  <c:v>447.7</c:v>
                </c:pt>
                <c:pt idx="48">
                  <c:v>461.2</c:v>
                </c:pt>
                <c:pt idx="49">
                  <c:v>468.7</c:v>
                </c:pt>
                <c:pt idx="50">
                  <c:v>526.70000000000005</c:v>
                </c:pt>
                <c:pt idx="51">
                  <c:v>514.1</c:v>
                </c:pt>
                <c:pt idx="52">
                  <c:v>436</c:v>
                </c:pt>
                <c:pt idx="53">
                  <c:v>318.39999999999998</c:v>
                </c:pt>
                <c:pt idx="54">
                  <c:v>422.5</c:v>
                </c:pt>
                <c:pt idx="55">
                  <c:v>342.7</c:v>
                </c:pt>
                <c:pt idx="56">
                  <c:v>359.5</c:v>
                </c:pt>
                <c:pt idx="57">
                  <c:v>365.4</c:v>
                </c:pt>
                <c:pt idx="58">
                  <c:v>521.6</c:v>
                </c:pt>
                <c:pt idx="59">
                  <c:v>392.3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9-43FB-836C-CE1C2375384E}"/>
            </c:ext>
          </c:extLst>
        </c:ser>
        <c:ser>
          <c:idx val="2"/>
          <c:order val="2"/>
          <c:tx>
            <c:strRef>
              <c:f>'Análise demanda'!$BD$3</c:f>
              <c:strCache>
                <c:ptCount val="1"/>
                <c:pt idx="0">
                  <c:v>Demanda média 2015 P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cat>
            <c:multiLvlStrRef>
              <c:f>'Análise demanda'!$BA$4:$BA$69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demanda'!$BD$4:$BD$69</c:f>
              <c:numCache>
                <c:formatCode>General</c:formatCode>
                <c:ptCount val="60"/>
                <c:pt idx="0">
                  <c:v>410.04999999999995</c:v>
                </c:pt>
                <c:pt idx="1">
                  <c:v>410.04999999999995</c:v>
                </c:pt>
                <c:pt idx="2">
                  <c:v>410.04999999999995</c:v>
                </c:pt>
                <c:pt idx="3">
                  <c:v>410.04999999999995</c:v>
                </c:pt>
                <c:pt idx="4">
                  <c:v>410.04999999999995</c:v>
                </c:pt>
                <c:pt idx="5">
                  <c:v>410.04999999999995</c:v>
                </c:pt>
                <c:pt idx="6">
                  <c:v>410.04999999999995</c:v>
                </c:pt>
                <c:pt idx="7">
                  <c:v>410.04999999999995</c:v>
                </c:pt>
                <c:pt idx="8">
                  <c:v>410.04999999999995</c:v>
                </c:pt>
                <c:pt idx="9">
                  <c:v>410.04999999999995</c:v>
                </c:pt>
                <c:pt idx="10">
                  <c:v>410.04999999999995</c:v>
                </c:pt>
                <c:pt idx="11">
                  <c:v>410.04999999999995</c:v>
                </c:pt>
                <c:pt idx="12">
                  <c:v>410.04999999999995</c:v>
                </c:pt>
                <c:pt idx="13">
                  <c:v>410.04999999999995</c:v>
                </c:pt>
                <c:pt idx="14">
                  <c:v>410.04999999999995</c:v>
                </c:pt>
                <c:pt idx="15">
                  <c:v>410.04999999999995</c:v>
                </c:pt>
                <c:pt idx="16">
                  <c:v>410.04999999999995</c:v>
                </c:pt>
                <c:pt idx="17">
                  <c:v>410.04999999999995</c:v>
                </c:pt>
                <c:pt idx="18">
                  <c:v>410.04999999999995</c:v>
                </c:pt>
                <c:pt idx="19">
                  <c:v>410.04999999999995</c:v>
                </c:pt>
                <c:pt idx="20">
                  <c:v>410.04999999999995</c:v>
                </c:pt>
                <c:pt idx="21">
                  <c:v>410.04999999999995</c:v>
                </c:pt>
                <c:pt idx="22">
                  <c:v>410.04999999999995</c:v>
                </c:pt>
                <c:pt idx="23">
                  <c:v>410.04999999999995</c:v>
                </c:pt>
                <c:pt idx="24">
                  <c:v>410.04999999999995</c:v>
                </c:pt>
                <c:pt idx="25">
                  <c:v>410.04999999999995</c:v>
                </c:pt>
                <c:pt idx="26">
                  <c:v>410.04999999999995</c:v>
                </c:pt>
                <c:pt idx="27">
                  <c:v>410.04999999999995</c:v>
                </c:pt>
                <c:pt idx="28">
                  <c:v>410.04999999999995</c:v>
                </c:pt>
                <c:pt idx="29">
                  <c:v>410.04999999999995</c:v>
                </c:pt>
                <c:pt idx="30">
                  <c:v>410.04999999999995</c:v>
                </c:pt>
                <c:pt idx="31">
                  <c:v>410.04999999999995</c:v>
                </c:pt>
                <c:pt idx="32">
                  <c:v>410.04999999999995</c:v>
                </c:pt>
                <c:pt idx="33">
                  <c:v>410.04999999999995</c:v>
                </c:pt>
                <c:pt idx="34">
                  <c:v>410.04999999999995</c:v>
                </c:pt>
                <c:pt idx="35">
                  <c:v>410.04999999999995</c:v>
                </c:pt>
                <c:pt idx="36">
                  <c:v>410.04999999999995</c:v>
                </c:pt>
                <c:pt idx="37">
                  <c:v>410.04999999999995</c:v>
                </c:pt>
                <c:pt idx="38">
                  <c:v>410.04999999999995</c:v>
                </c:pt>
                <c:pt idx="39">
                  <c:v>410.04999999999995</c:v>
                </c:pt>
                <c:pt idx="40">
                  <c:v>410.04999999999995</c:v>
                </c:pt>
                <c:pt idx="41">
                  <c:v>410.04999999999995</c:v>
                </c:pt>
                <c:pt idx="42">
                  <c:v>410.04999999999995</c:v>
                </c:pt>
                <c:pt idx="43">
                  <c:v>410.04999999999995</c:v>
                </c:pt>
                <c:pt idx="44">
                  <c:v>410.04999999999995</c:v>
                </c:pt>
                <c:pt idx="45">
                  <c:v>410.04999999999995</c:v>
                </c:pt>
                <c:pt idx="46">
                  <c:v>410.04999999999995</c:v>
                </c:pt>
                <c:pt idx="47">
                  <c:v>410.04999999999995</c:v>
                </c:pt>
                <c:pt idx="48">
                  <c:v>410.04999999999995</c:v>
                </c:pt>
                <c:pt idx="49">
                  <c:v>410.04999999999995</c:v>
                </c:pt>
                <c:pt idx="50">
                  <c:v>410.04999999999995</c:v>
                </c:pt>
                <c:pt idx="51">
                  <c:v>410.04999999999995</c:v>
                </c:pt>
                <c:pt idx="52">
                  <c:v>410.04999999999995</c:v>
                </c:pt>
                <c:pt idx="53">
                  <c:v>410.04999999999995</c:v>
                </c:pt>
                <c:pt idx="54">
                  <c:v>410.04999999999995</c:v>
                </c:pt>
                <c:pt idx="55">
                  <c:v>410.04999999999995</c:v>
                </c:pt>
                <c:pt idx="56">
                  <c:v>410.04999999999995</c:v>
                </c:pt>
                <c:pt idx="57">
                  <c:v>410.04999999999995</c:v>
                </c:pt>
                <c:pt idx="58">
                  <c:v>410.04999999999995</c:v>
                </c:pt>
                <c:pt idx="59">
                  <c:v>410.04999999999995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59-43FB-836C-CE1C2375384E}"/>
            </c:ext>
          </c:extLst>
        </c:ser>
        <c:ser>
          <c:idx val="3"/>
          <c:order val="3"/>
          <c:tx>
            <c:strRef>
              <c:f>'Análise demanda'!$BE$3</c:f>
              <c:strCache>
                <c:ptCount val="1"/>
                <c:pt idx="0">
                  <c:v>Demanda média 2015 FP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cat>
            <c:multiLvlStrRef>
              <c:f>'Análise demanda'!$BA$4:$BA$69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demanda'!$BE$4:$BE$69</c:f>
              <c:numCache>
                <c:formatCode>General</c:formatCode>
                <c:ptCount val="60"/>
                <c:pt idx="0">
                  <c:v>410.82499999999999</c:v>
                </c:pt>
                <c:pt idx="1">
                  <c:v>410.82499999999999</c:v>
                </c:pt>
                <c:pt idx="2">
                  <c:v>410.82499999999999</c:v>
                </c:pt>
                <c:pt idx="3">
                  <c:v>410.82499999999999</c:v>
                </c:pt>
                <c:pt idx="4">
                  <c:v>410.82499999999999</c:v>
                </c:pt>
                <c:pt idx="5">
                  <c:v>410.82499999999999</c:v>
                </c:pt>
                <c:pt idx="6">
                  <c:v>410.82499999999999</c:v>
                </c:pt>
                <c:pt idx="7">
                  <c:v>410.82499999999999</c:v>
                </c:pt>
                <c:pt idx="8">
                  <c:v>410.82499999999999</c:v>
                </c:pt>
                <c:pt idx="9">
                  <c:v>410.82499999999999</c:v>
                </c:pt>
                <c:pt idx="10">
                  <c:v>410.82499999999999</c:v>
                </c:pt>
                <c:pt idx="11">
                  <c:v>410.82499999999999</c:v>
                </c:pt>
                <c:pt idx="12">
                  <c:v>410.82499999999999</c:v>
                </c:pt>
                <c:pt idx="13">
                  <c:v>410.82499999999999</c:v>
                </c:pt>
                <c:pt idx="14">
                  <c:v>410.82499999999999</c:v>
                </c:pt>
                <c:pt idx="15">
                  <c:v>410.82499999999999</c:v>
                </c:pt>
                <c:pt idx="16">
                  <c:v>410.82499999999999</c:v>
                </c:pt>
                <c:pt idx="17">
                  <c:v>410.82499999999999</c:v>
                </c:pt>
                <c:pt idx="18">
                  <c:v>410.82499999999999</c:v>
                </c:pt>
                <c:pt idx="19">
                  <c:v>410.82499999999999</c:v>
                </c:pt>
                <c:pt idx="20">
                  <c:v>410.82499999999999</c:v>
                </c:pt>
                <c:pt idx="21">
                  <c:v>410.82499999999999</c:v>
                </c:pt>
                <c:pt idx="22">
                  <c:v>410.82499999999999</c:v>
                </c:pt>
                <c:pt idx="23">
                  <c:v>410.82499999999999</c:v>
                </c:pt>
                <c:pt idx="24">
                  <c:v>410.82499999999999</c:v>
                </c:pt>
                <c:pt idx="25">
                  <c:v>410.82499999999999</c:v>
                </c:pt>
                <c:pt idx="26">
                  <c:v>410.82499999999999</c:v>
                </c:pt>
                <c:pt idx="27">
                  <c:v>410.82499999999999</c:v>
                </c:pt>
                <c:pt idx="28">
                  <c:v>410.82499999999999</c:v>
                </c:pt>
                <c:pt idx="29">
                  <c:v>410.82499999999999</c:v>
                </c:pt>
                <c:pt idx="30">
                  <c:v>410.82499999999999</c:v>
                </c:pt>
                <c:pt idx="31">
                  <c:v>410.82499999999999</c:v>
                </c:pt>
                <c:pt idx="32">
                  <c:v>410.82499999999999</c:v>
                </c:pt>
                <c:pt idx="33">
                  <c:v>410.82499999999999</c:v>
                </c:pt>
                <c:pt idx="34">
                  <c:v>410.82499999999999</c:v>
                </c:pt>
                <c:pt idx="35">
                  <c:v>410.82499999999999</c:v>
                </c:pt>
                <c:pt idx="36">
                  <c:v>410.82499999999999</c:v>
                </c:pt>
                <c:pt idx="37">
                  <c:v>410.82499999999999</c:v>
                </c:pt>
                <c:pt idx="38">
                  <c:v>410.82499999999999</c:v>
                </c:pt>
                <c:pt idx="39">
                  <c:v>410.82499999999999</c:v>
                </c:pt>
                <c:pt idx="40">
                  <c:v>410.82499999999999</c:v>
                </c:pt>
                <c:pt idx="41">
                  <c:v>410.82499999999999</c:v>
                </c:pt>
                <c:pt idx="42">
                  <c:v>410.82499999999999</c:v>
                </c:pt>
                <c:pt idx="43">
                  <c:v>410.82499999999999</c:v>
                </c:pt>
                <c:pt idx="44">
                  <c:v>410.82499999999999</c:v>
                </c:pt>
                <c:pt idx="45">
                  <c:v>410.82499999999999</c:v>
                </c:pt>
                <c:pt idx="46">
                  <c:v>410.82499999999999</c:v>
                </c:pt>
                <c:pt idx="47">
                  <c:v>410.82499999999999</c:v>
                </c:pt>
                <c:pt idx="48">
                  <c:v>410.82499999999999</c:v>
                </c:pt>
                <c:pt idx="49">
                  <c:v>410.82499999999999</c:v>
                </c:pt>
                <c:pt idx="50">
                  <c:v>410.82499999999999</c:v>
                </c:pt>
                <c:pt idx="51">
                  <c:v>410.82499999999999</c:v>
                </c:pt>
                <c:pt idx="52">
                  <c:v>410.82499999999999</c:v>
                </c:pt>
                <c:pt idx="53">
                  <c:v>410.82499999999999</c:v>
                </c:pt>
                <c:pt idx="54">
                  <c:v>410.82499999999999</c:v>
                </c:pt>
                <c:pt idx="55">
                  <c:v>410.82499999999999</c:v>
                </c:pt>
                <c:pt idx="56">
                  <c:v>410.82499999999999</c:v>
                </c:pt>
                <c:pt idx="57">
                  <c:v>410.82499999999999</c:v>
                </c:pt>
                <c:pt idx="58">
                  <c:v>410.82499999999999</c:v>
                </c:pt>
                <c:pt idx="59">
                  <c:v>410.82499999999999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59-43FB-836C-CE1C2375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527104"/>
        <c:axId val="1049527520"/>
      </c:lineChart>
      <c:catAx>
        <c:axId val="10495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27520"/>
        <c:crosses val="autoZero"/>
        <c:auto val="1"/>
        <c:lblAlgn val="ctr"/>
        <c:lblOffset val="100"/>
        <c:noMultiLvlLbl val="0"/>
      </c:catAx>
      <c:valAx>
        <c:axId val="1049527520"/>
        <c:scaling>
          <c:orientation val="minMax"/>
          <c:max val="650"/>
          <c:min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12194213493429"/>
          <c:y val="0.11429585718390564"/>
          <c:w val="0.17056370951742406"/>
          <c:h val="0.6956981933377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[Análise de demanda.xlsx]Demanda Contratada!Tabela dinâmica4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'Demanda Contratada'!$N$3:$N$4</c:f>
              <c:strCache>
                <c:ptCount val="1"/>
                <c:pt idx="0">
                  <c:v>2015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'Demanda Contratada'!$M$5:$M$17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'Demanda Contratada'!$N$5:$N$17</c:f>
              <c:numCache>
                <c:formatCode>General</c:formatCode>
                <c:ptCount val="12"/>
                <c:pt idx="0">
                  <c:v>0.7212142857142857</c:v>
                </c:pt>
                <c:pt idx="1">
                  <c:v>0.93300000000000005</c:v>
                </c:pt>
                <c:pt idx="2">
                  <c:v>0.95578571428571424</c:v>
                </c:pt>
                <c:pt idx="3">
                  <c:v>0.8927857142857144</c:v>
                </c:pt>
                <c:pt idx="4">
                  <c:v>0.83399999999999996</c:v>
                </c:pt>
                <c:pt idx="5">
                  <c:v>0.86578571428571427</c:v>
                </c:pt>
                <c:pt idx="6">
                  <c:v>0.76742857142857146</c:v>
                </c:pt>
                <c:pt idx="7">
                  <c:v>0.82678571428571423</c:v>
                </c:pt>
                <c:pt idx="8">
                  <c:v>0.67978571428571433</c:v>
                </c:pt>
                <c:pt idx="9">
                  <c:v>1.008</c:v>
                </c:pt>
                <c:pt idx="10">
                  <c:v>0.93</c:v>
                </c:pt>
                <c:pt idx="11">
                  <c:v>0.89942857142857147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7C1-4C92-A857-789E2B336537}"/>
            </c:ext>
          </c:extLst>
        </c:ser>
        <c:ser>
          <c:idx val="1"/>
          <c:order val="1"/>
          <c:tx>
            <c:strRef>
              <c:f>'Demanda Contratada'!$O$3:$O$4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'Demanda Contratada'!$M$5:$M$17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'Demanda Contratada'!$O$5:$O$17</c:f>
              <c:numCache>
                <c:formatCode>General</c:formatCode>
                <c:ptCount val="12"/>
                <c:pt idx="0">
                  <c:v>0.73921428571428582</c:v>
                </c:pt>
                <c:pt idx="1">
                  <c:v>0.85857142857142854</c:v>
                </c:pt>
                <c:pt idx="2">
                  <c:v>0.94321428571428567</c:v>
                </c:pt>
                <c:pt idx="3">
                  <c:v>0.96957142857142864</c:v>
                </c:pt>
                <c:pt idx="4">
                  <c:v>1.0277857142857143</c:v>
                </c:pt>
                <c:pt idx="5">
                  <c:v>0.68878571428571422</c:v>
                </c:pt>
                <c:pt idx="6">
                  <c:v>0.68878571428571422</c:v>
                </c:pt>
                <c:pt idx="7">
                  <c:v>0.70742857142857141</c:v>
                </c:pt>
                <c:pt idx="8">
                  <c:v>0.70742857142857141</c:v>
                </c:pt>
                <c:pt idx="9">
                  <c:v>0.84735119047619023</c:v>
                </c:pt>
                <c:pt idx="10">
                  <c:v>0.98100000000000009</c:v>
                </c:pt>
                <c:pt idx="11">
                  <c:v>0.83399999999999996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C1-4C92-A857-789E2B336537}"/>
            </c:ext>
          </c:extLst>
        </c:ser>
        <c:ser>
          <c:idx val="2"/>
          <c:order val="2"/>
          <c:tx>
            <c:strRef>
              <c:f>'Demanda Contratada'!$P$3:$P$4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'Demanda Contratada'!$M$5:$M$17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'Demanda Contratada'!$P$5:$P$17</c:f>
              <c:numCache>
                <c:formatCode>General</c:formatCode>
                <c:ptCount val="12"/>
                <c:pt idx="0">
                  <c:v>0.83399999999999996</c:v>
                </c:pt>
                <c:pt idx="1">
                  <c:v>0.67442857142857149</c:v>
                </c:pt>
                <c:pt idx="2">
                  <c:v>0.99057142857142855</c:v>
                </c:pt>
                <c:pt idx="3">
                  <c:v>0.98699999999999999</c:v>
                </c:pt>
                <c:pt idx="4">
                  <c:v>0.92278571428571432</c:v>
                </c:pt>
                <c:pt idx="5">
                  <c:v>0.8304285714285714</c:v>
                </c:pt>
                <c:pt idx="6">
                  <c:v>0.76442857142857146</c:v>
                </c:pt>
                <c:pt idx="7">
                  <c:v>0.76442857142857146</c:v>
                </c:pt>
                <c:pt idx="8">
                  <c:v>0.76442857142857146</c:v>
                </c:pt>
                <c:pt idx="9">
                  <c:v>0.90600000000000003</c:v>
                </c:pt>
                <c:pt idx="10">
                  <c:v>0.97257142857142853</c:v>
                </c:pt>
                <c:pt idx="11">
                  <c:v>0.86278571428571438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C1-4C92-A857-789E2B336537}"/>
            </c:ext>
          </c:extLst>
        </c:ser>
        <c:ser>
          <c:idx val="3"/>
          <c:order val="3"/>
          <c:tx>
            <c:strRef>
              <c:f>'Demanda Contratada'!$Q$3:$Q$4</c:f>
              <c:strCache>
                <c:ptCount val="1"/>
                <c:pt idx="0">
                  <c:v>2018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'Demanda Contratada'!$M$5:$M$17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'Demanda Contratada'!$Q$5:$Q$17</c:f>
              <c:numCache>
                <c:formatCode>General</c:formatCode>
                <c:ptCount val="12"/>
                <c:pt idx="0">
                  <c:v>0.79021428571428565</c:v>
                </c:pt>
                <c:pt idx="1">
                  <c:v>0.67078571428571432</c:v>
                </c:pt>
                <c:pt idx="2">
                  <c:v>1.0272142857142856</c:v>
                </c:pt>
                <c:pt idx="3">
                  <c:v>0.91321428571428576</c:v>
                </c:pt>
                <c:pt idx="4">
                  <c:v>0.97857142857142854</c:v>
                </c:pt>
                <c:pt idx="5">
                  <c:v>0.85678571428571426</c:v>
                </c:pt>
                <c:pt idx="6">
                  <c:v>0.84300000000000008</c:v>
                </c:pt>
                <c:pt idx="7">
                  <c:v>0.82921428571428579</c:v>
                </c:pt>
                <c:pt idx="8">
                  <c:v>0.77699999999999991</c:v>
                </c:pt>
                <c:pt idx="9">
                  <c:v>0.93600000000000005</c:v>
                </c:pt>
                <c:pt idx="10">
                  <c:v>0.71821428571428569</c:v>
                </c:pt>
                <c:pt idx="11">
                  <c:v>0.91678571428571431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7C1-4C92-A857-789E2B336537}"/>
            </c:ext>
          </c:extLst>
        </c:ser>
        <c:ser>
          <c:idx val="4"/>
          <c:order val="4"/>
          <c:tx>
            <c:strRef>
              <c:f>'Demanda Contratada'!$R$3:$R$4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'Demanda Contratada'!$M$5:$M$17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'Demanda Contratada'!$R$5:$R$17</c:f>
              <c:numCache>
                <c:formatCode>General</c:formatCode>
                <c:ptCount val="12"/>
                <c:pt idx="0">
                  <c:v>0.8987857142857143</c:v>
                </c:pt>
                <c:pt idx="1">
                  <c:v>0.86379761904761887</c:v>
                </c:pt>
                <c:pt idx="2">
                  <c:v>0.87988194444444434</c:v>
                </c:pt>
                <c:pt idx="3">
                  <c:v>1.0457857142857143</c:v>
                </c:pt>
                <c:pt idx="4">
                  <c:v>1.008</c:v>
                </c:pt>
                <c:pt idx="5">
                  <c:v>0.84357142857142853</c:v>
                </c:pt>
                <c:pt idx="6">
                  <c:v>0.8105714285714285</c:v>
                </c:pt>
                <c:pt idx="7">
                  <c:v>0.8105714285714285</c:v>
                </c:pt>
                <c:pt idx="8">
                  <c:v>0.72242857142857142</c:v>
                </c:pt>
                <c:pt idx="9">
                  <c:v>0.80521428571428566</c:v>
                </c:pt>
                <c:pt idx="10">
                  <c:v>1.0457857142857143</c:v>
                </c:pt>
                <c:pt idx="11">
                  <c:v>0.82078571428571423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7C1-4C92-A857-789E2B33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94896016"/>
        <c:axId val="894904336"/>
      </c:lineChart>
      <c:catAx>
        <c:axId val="8948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04336"/>
        <c:crosses val="autoZero"/>
        <c:auto val="1"/>
        <c:lblAlgn val="ctr"/>
        <c:lblOffset val="100"/>
        <c:noMultiLvlLbl val="0"/>
      </c:catAx>
      <c:valAx>
        <c:axId val="89490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960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[Análise de demanda.xlsx]Dados temp. e precip.!Tabela dinâmica9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'Dados temp. e precip.'!$U$1</c:f>
              <c:strCache>
                <c:ptCount val="1"/>
                <c:pt idx="0">
                  <c:v>Temperatura média (ºC)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'Dados temp. e precip.'!$S$2:$S$7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'Dados temp. e precip.'!$U$2:$U$7</c:f>
              <c:numCache>
                <c:formatCode>General</c:formatCode>
                <c:ptCount val="5"/>
                <c:pt idx="0">
                  <c:v>21.067820833333332</c:v>
                </c:pt>
                <c:pt idx="1">
                  <c:v>19.812118333333334</c:v>
                </c:pt>
                <c:pt idx="2">
                  <c:v>20.229562666666666</c:v>
                </c:pt>
                <c:pt idx="3">
                  <c:v>19.972337</c:v>
                </c:pt>
                <c:pt idx="4">
                  <c:v>20.330627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2-4FC3-ABB3-51C919CA0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2765599"/>
        <c:axId val="762768095"/>
      </c:barChart>
      <c:lineChart>
        <c:grouping val="standard"/>
        <c:varyColors val="0"/>
        <c:ser>
          <c:idx val="0"/>
          <c:order val="0"/>
          <c:tx>
            <c:strRef>
              <c:f>'Dados temp. e precip.'!$T$1</c:f>
              <c:strCache>
                <c:ptCount val="1"/>
                <c:pt idx="0">
                  <c:v>Precipitação (mm)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'Dados temp. e precip.'!$S$2:$S$7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'Dados temp. e precip.'!$T$2:$T$7</c:f>
              <c:numCache>
                <c:formatCode>General</c:formatCode>
                <c:ptCount val="5"/>
                <c:pt idx="0">
                  <c:v>159.30000000000001</c:v>
                </c:pt>
                <c:pt idx="1">
                  <c:v>91.216666666666683</c:v>
                </c:pt>
                <c:pt idx="2">
                  <c:v>88.816666666666663</c:v>
                </c:pt>
                <c:pt idx="3">
                  <c:v>93.266666666666666</c:v>
                </c:pt>
                <c:pt idx="4">
                  <c:v>110.28333333333335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2-4FC3-ABB3-51C919CA0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17151"/>
        <c:axId val="802008415"/>
      </c:lineChart>
      <c:catAx>
        <c:axId val="76276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68095"/>
        <c:crosses val="autoZero"/>
        <c:auto val="1"/>
        <c:lblAlgn val="ctr"/>
        <c:lblOffset val="100"/>
        <c:noMultiLvlLbl val="0"/>
      </c:catAx>
      <c:valAx>
        <c:axId val="7627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65599"/>
        <c:crosses val="autoZero"/>
        <c:crossBetween val="between"/>
      </c:valAx>
      <c:valAx>
        <c:axId val="80200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17151"/>
        <c:crosses val="max"/>
        <c:crossBetween val="between"/>
      </c:valAx>
      <c:catAx>
        <c:axId val="802017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00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[Análise de demanda.xlsx]Dashboard!Tabela dinâmica6</c:name>
    <c:fmtId val="0"/>
  </c:pivotSource>
  <c:chart>
    <c:autoTitleDeleted val="1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Dashboard!$P$2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Dashboard!$O$3:$O$17</c:f>
              <c:multiLvlStrCache>
                <c:ptCount val="12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</c:lvl>
                <c:lvl>
                  <c:pt idx="0">
                    <c:v>SA</c:v>
                  </c:pt>
                  <c:pt idx="6">
                    <c:v>SBC</c:v>
                  </c:pt>
                </c:lvl>
              </c:multiLvlStrCache>
            </c:multiLvlStrRef>
          </c:cat>
          <c:val>
            <c:numRef>
              <c:f>Dashboard!$P$3:$P$17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9-4B0D-BF08-649AD9B71D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208524271"/>
        <c:axId val="1208522191"/>
      </c:barChart>
      <c:catAx>
        <c:axId val="120852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22191"/>
        <c:crosses val="autoZero"/>
        <c:auto val="1"/>
        <c:lblAlgn val="ctr"/>
        <c:lblOffset val="100"/>
        <c:noMultiLvlLbl val="0"/>
      </c:catAx>
      <c:valAx>
        <c:axId val="1208522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852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[Análise de demanda.xlsx]Perfil Universidade!Tabela dinâmica7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'Perfil Universidade'!$Q$9</c:f>
              <c:strCache>
                <c:ptCount val="1"/>
                <c:pt idx="0">
                  <c:v>Turno matutino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'Perfil Universidade'!$P$10:$P$22</c:f>
              <c:multiLvlStrCache>
                <c:ptCount val="10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2019</c:v>
                  </c:pt>
                  <c:pt idx="9">
                    <c:v>2020</c:v>
                  </c:pt>
                </c:lvl>
                <c:lvl>
                  <c:pt idx="0">
                    <c:v>SA</c:v>
                  </c:pt>
                  <c:pt idx="5">
                    <c:v>SBC</c:v>
                  </c:pt>
                </c:lvl>
              </c:multiLvlStrCache>
            </c:multiLvlStrRef>
          </c:cat>
          <c:val>
            <c:numRef>
              <c:f>'Perfil Universidade'!$Q$10:$Q$22</c:f>
              <c:numCache>
                <c:formatCode>General</c:formatCode>
                <c:ptCount val="10"/>
                <c:pt idx="0">
                  <c:v>3688</c:v>
                </c:pt>
                <c:pt idx="1">
                  <c:v>3438</c:v>
                </c:pt>
                <c:pt idx="2">
                  <c:v>3652</c:v>
                </c:pt>
                <c:pt idx="3">
                  <c:v>3983</c:v>
                </c:pt>
                <c:pt idx="4">
                  <c:v>4237</c:v>
                </c:pt>
                <c:pt idx="5">
                  <c:v>2125</c:v>
                </c:pt>
                <c:pt idx="6">
                  <c:v>2172</c:v>
                </c:pt>
                <c:pt idx="7">
                  <c:v>2413</c:v>
                </c:pt>
                <c:pt idx="8">
                  <c:v>2857</c:v>
                </c:pt>
                <c:pt idx="9">
                  <c:v>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B-4CA5-A6C8-07D360A90964}"/>
            </c:ext>
          </c:extLst>
        </c:ser>
        <c:ser>
          <c:idx val="1"/>
          <c:order val="1"/>
          <c:tx>
            <c:strRef>
              <c:f>'Perfil Universidade'!$R$9</c:f>
              <c:strCache>
                <c:ptCount val="1"/>
                <c:pt idx="0">
                  <c:v>Turno Noturno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'Perfil Universidade'!$P$10:$P$22</c:f>
              <c:multiLvlStrCache>
                <c:ptCount val="10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2019</c:v>
                  </c:pt>
                  <c:pt idx="9">
                    <c:v>2020</c:v>
                  </c:pt>
                </c:lvl>
                <c:lvl>
                  <c:pt idx="0">
                    <c:v>SA</c:v>
                  </c:pt>
                  <c:pt idx="5">
                    <c:v>SBC</c:v>
                  </c:pt>
                </c:lvl>
              </c:multiLvlStrCache>
            </c:multiLvlStrRef>
          </c:cat>
          <c:val>
            <c:numRef>
              <c:f>'Perfil Universidade'!$R$10:$R$22</c:f>
              <c:numCache>
                <c:formatCode>General</c:formatCode>
                <c:ptCount val="10"/>
                <c:pt idx="0">
                  <c:v>4699</c:v>
                </c:pt>
                <c:pt idx="1">
                  <c:v>4344</c:v>
                </c:pt>
                <c:pt idx="2">
                  <c:v>4647</c:v>
                </c:pt>
                <c:pt idx="3">
                  <c:v>5271</c:v>
                </c:pt>
                <c:pt idx="4">
                  <c:v>5610</c:v>
                </c:pt>
                <c:pt idx="5">
                  <c:v>2523</c:v>
                </c:pt>
                <c:pt idx="6">
                  <c:v>2672</c:v>
                </c:pt>
                <c:pt idx="7">
                  <c:v>3117</c:v>
                </c:pt>
                <c:pt idx="8">
                  <c:v>3798</c:v>
                </c:pt>
                <c:pt idx="9">
                  <c:v>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B-4CA5-A6C8-07D360A909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08499727"/>
        <c:axId val="1208490991"/>
      </c:barChart>
      <c:catAx>
        <c:axId val="120849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90991"/>
        <c:crosses val="autoZero"/>
        <c:auto val="1"/>
        <c:lblAlgn val="ctr"/>
        <c:lblOffset val="100"/>
        <c:noMultiLvlLbl val="0"/>
      </c:catAx>
      <c:valAx>
        <c:axId val="12084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9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[Análise de demanda.xlsx]Análise demanda!Tabela dinâmica1</c:name>
    <c:fmtId val="0"/>
  </c:pivotSource>
  <c:chart>
    <c:autoTitleDeleted val="1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>
            <a:solidFill>
              <a:srgbClr val="FF0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>
            <a:solidFill>
              <a:schemeClr val="bg1">
                <a:lumMod val="75000"/>
              </a:schemeClr>
            </a:solidFill>
            <a:prstDash val="sys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393562140879837E-2"/>
          <c:y val="0.11810208317602897"/>
          <c:w val="0.74086378424253851"/>
          <c:h val="0.71102446978093203"/>
        </c:manualLayout>
      </c:layout>
      <c:lineChart>
        <c:grouping val="standard"/>
        <c:varyColors val="0"/>
        <c:ser>
          <c:idx val="0"/>
          <c:order val="0"/>
          <c:tx>
            <c:strRef>
              <c:f>'Análise demanda'!$Y$3</c:f>
              <c:strCache>
                <c:ptCount val="1"/>
                <c:pt idx="0">
                  <c:v>Demanda 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'Análise demanda'!$X$4:$X$69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demanda'!$Y$4:$Y$69</c:f>
              <c:numCache>
                <c:formatCode>0.0%</c:formatCode>
                <c:ptCount val="60"/>
                <c:pt idx="0">
                  <c:v>0.82525000000000004</c:v>
                </c:pt>
                <c:pt idx="1">
                  <c:v>1.0037499999999999</c:v>
                </c:pt>
                <c:pt idx="2">
                  <c:v>1.0415000000000001</c:v>
                </c:pt>
                <c:pt idx="3">
                  <c:v>1.0309999999999999</c:v>
                </c:pt>
                <c:pt idx="4">
                  <c:v>1.0395000000000001</c:v>
                </c:pt>
                <c:pt idx="5">
                  <c:v>1.01</c:v>
                </c:pt>
                <c:pt idx="6">
                  <c:v>0.92400000000000004</c:v>
                </c:pt>
                <c:pt idx="7">
                  <c:v>0.88</c:v>
                </c:pt>
                <c:pt idx="8">
                  <c:v>0.81275000000000008</c:v>
                </c:pt>
                <c:pt idx="9">
                  <c:v>1.1990000000000001</c:v>
                </c:pt>
                <c:pt idx="10">
                  <c:v>1.3019999999999998</c:v>
                </c:pt>
                <c:pt idx="11">
                  <c:v>1.23275</c:v>
                </c:pt>
                <c:pt idx="12">
                  <c:v>1.05</c:v>
                </c:pt>
                <c:pt idx="13">
                  <c:v>0.85675000000000001</c:v>
                </c:pt>
                <c:pt idx="14">
                  <c:v>1.5245</c:v>
                </c:pt>
                <c:pt idx="15">
                  <c:v>1.5349999999999999</c:v>
                </c:pt>
                <c:pt idx="16">
                  <c:v>1.2886</c:v>
                </c:pt>
                <c:pt idx="17">
                  <c:v>0.89379999999999993</c:v>
                </c:pt>
                <c:pt idx="18">
                  <c:v>0.91900000000000004</c:v>
                </c:pt>
                <c:pt idx="19">
                  <c:v>0.96939999999999993</c:v>
                </c:pt>
                <c:pt idx="20">
                  <c:v>0.85339999999999994</c:v>
                </c:pt>
                <c:pt idx="21">
                  <c:v>0.81640000000000001</c:v>
                </c:pt>
                <c:pt idx="22">
                  <c:v>1.1155999999999999</c:v>
                </c:pt>
                <c:pt idx="23">
                  <c:v>0.85</c:v>
                </c:pt>
                <c:pt idx="24">
                  <c:v>0.77279999999999993</c:v>
                </c:pt>
                <c:pt idx="25">
                  <c:v>0.91400000000000003</c:v>
                </c:pt>
                <c:pt idx="26">
                  <c:v>1.1355999999999999</c:v>
                </c:pt>
                <c:pt idx="27">
                  <c:v>0.96099999999999997</c:v>
                </c:pt>
                <c:pt idx="28">
                  <c:v>0.90379999999999994</c:v>
                </c:pt>
                <c:pt idx="29">
                  <c:v>0.82820000000000005</c:v>
                </c:pt>
                <c:pt idx="30">
                  <c:v>0.74760000000000004</c:v>
                </c:pt>
                <c:pt idx="31">
                  <c:v>0.75439999999999996</c:v>
                </c:pt>
                <c:pt idx="32">
                  <c:v>0.70399999999999996</c:v>
                </c:pt>
                <c:pt idx="33">
                  <c:v>0.87860000000000005</c:v>
                </c:pt>
                <c:pt idx="34">
                  <c:v>0.86020000000000008</c:v>
                </c:pt>
                <c:pt idx="35">
                  <c:v>0.8266</c:v>
                </c:pt>
                <c:pt idx="36">
                  <c:v>0.77960000000000007</c:v>
                </c:pt>
                <c:pt idx="37">
                  <c:v>0.60980000000000001</c:v>
                </c:pt>
                <c:pt idx="38">
                  <c:v>0.97599999999999998</c:v>
                </c:pt>
                <c:pt idx="39">
                  <c:v>0.9927999999999999</c:v>
                </c:pt>
                <c:pt idx="40">
                  <c:v>0.83</c:v>
                </c:pt>
                <c:pt idx="41">
                  <c:v>0.8468</c:v>
                </c:pt>
                <c:pt idx="42">
                  <c:v>0.60799999999999998</c:v>
                </c:pt>
                <c:pt idx="43">
                  <c:v>0.77439999999999998</c:v>
                </c:pt>
                <c:pt idx="44">
                  <c:v>0.71399999999999997</c:v>
                </c:pt>
                <c:pt idx="45">
                  <c:v>0.81820000000000004</c:v>
                </c:pt>
                <c:pt idx="46">
                  <c:v>0.91220000000000001</c:v>
                </c:pt>
                <c:pt idx="47">
                  <c:v>0.97399999999999998</c:v>
                </c:pt>
                <c:pt idx="48">
                  <c:v>0.92400000000000004</c:v>
                </c:pt>
                <c:pt idx="49">
                  <c:v>0.97099999999999997</c:v>
                </c:pt>
                <c:pt idx="50">
                  <c:v>1.0164</c:v>
                </c:pt>
                <c:pt idx="51">
                  <c:v>1.0264000000000002</c:v>
                </c:pt>
                <c:pt idx="52">
                  <c:v>0.92559999999999998</c:v>
                </c:pt>
                <c:pt idx="53">
                  <c:v>0.72739999999999994</c:v>
                </c:pt>
                <c:pt idx="54">
                  <c:v>0.89379999999999993</c:v>
                </c:pt>
                <c:pt idx="55">
                  <c:v>0.79120000000000001</c:v>
                </c:pt>
                <c:pt idx="56">
                  <c:v>0.72399999999999998</c:v>
                </c:pt>
                <c:pt idx="57">
                  <c:v>0.80640000000000001</c:v>
                </c:pt>
                <c:pt idx="58">
                  <c:v>1.0347999999999999</c:v>
                </c:pt>
                <c:pt idx="59">
                  <c:v>0.80479999999999996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0-4F7A-9DC3-B0AB19C9EE57}"/>
            </c:ext>
          </c:extLst>
        </c:ser>
        <c:ser>
          <c:idx val="1"/>
          <c:order val="1"/>
          <c:tx>
            <c:strRef>
              <c:f>'Análise demanda'!$Z$3</c:f>
              <c:strCache>
                <c:ptCount val="1"/>
                <c:pt idx="0">
                  <c:v>Demanda FP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'Análise demanda'!$X$4:$X$69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demanda'!$Z$4:$Z$69</c:f>
              <c:numCache>
                <c:formatCode>0.0%</c:formatCode>
                <c:ptCount val="60"/>
                <c:pt idx="0">
                  <c:v>0.89249999999999996</c:v>
                </c:pt>
                <c:pt idx="1">
                  <c:v>0.98275000000000001</c:v>
                </c:pt>
                <c:pt idx="2">
                  <c:v>1.1215000000000002</c:v>
                </c:pt>
                <c:pt idx="3">
                  <c:v>1.08775</c:v>
                </c:pt>
                <c:pt idx="4">
                  <c:v>1.0667499999999999</c:v>
                </c:pt>
                <c:pt idx="5">
                  <c:v>0.96599999999999997</c:v>
                </c:pt>
                <c:pt idx="6">
                  <c:v>0.81700000000000006</c:v>
                </c:pt>
                <c:pt idx="7">
                  <c:v>0.88400000000000001</c:v>
                </c:pt>
                <c:pt idx="8">
                  <c:v>0.77900000000000003</c:v>
                </c:pt>
                <c:pt idx="9">
                  <c:v>1.1970000000000001</c:v>
                </c:pt>
                <c:pt idx="10">
                  <c:v>1.2370000000000001</c:v>
                </c:pt>
                <c:pt idx="11">
                  <c:v>1.2934999999999999</c:v>
                </c:pt>
                <c:pt idx="12">
                  <c:v>1.1465000000000001</c:v>
                </c:pt>
                <c:pt idx="13">
                  <c:v>1.07725</c:v>
                </c:pt>
                <c:pt idx="14">
                  <c:v>1.39225</c:v>
                </c:pt>
                <c:pt idx="15">
                  <c:v>1.3965000000000001</c:v>
                </c:pt>
                <c:pt idx="16">
                  <c:v>1.2565999999999999</c:v>
                </c:pt>
                <c:pt idx="17">
                  <c:v>0.78800000000000003</c:v>
                </c:pt>
                <c:pt idx="18">
                  <c:v>0.80800000000000005</c:v>
                </c:pt>
                <c:pt idx="19">
                  <c:v>0.9</c:v>
                </c:pt>
                <c:pt idx="20">
                  <c:v>0.78460000000000008</c:v>
                </c:pt>
                <c:pt idx="21">
                  <c:v>0.76939999999999997</c:v>
                </c:pt>
                <c:pt idx="22">
                  <c:v>1.1592</c:v>
                </c:pt>
                <c:pt idx="23">
                  <c:v>0.96760000000000002</c:v>
                </c:pt>
                <c:pt idx="24">
                  <c:v>0.88879999999999992</c:v>
                </c:pt>
                <c:pt idx="25">
                  <c:v>1.0045999999999999</c:v>
                </c:pt>
                <c:pt idx="26">
                  <c:v>1.1474000000000002</c:v>
                </c:pt>
                <c:pt idx="27">
                  <c:v>1.0129999999999999</c:v>
                </c:pt>
                <c:pt idx="28">
                  <c:v>0.79959999999999998</c:v>
                </c:pt>
                <c:pt idx="29">
                  <c:v>0.8216</c:v>
                </c:pt>
                <c:pt idx="30">
                  <c:v>0.66520000000000001</c:v>
                </c:pt>
                <c:pt idx="31">
                  <c:v>0.68879999999999997</c:v>
                </c:pt>
                <c:pt idx="32">
                  <c:v>0.6754</c:v>
                </c:pt>
                <c:pt idx="33">
                  <c:v>0.91220000000000001</c:v>
                </c:pt>
                <c:pt idx="34">
                  <c:v>0.91220000000000001</c:v>
                </c:pt>
                <c:pt idx="35">
                  <c:v>0.91220000000000001</c:v>
                </c:pt>
                <c:pt idx="36">
                  <c:v>0.73920000000000008</c:v>
                </c:pt>
                <c:pt idx="37">
                  <c:v>0.83320000000000005</c:v>
                </c:pt>
                <c:pt idx="38">
                  <c:v>1.0045999999999999</c:v>
                </c:pt>
                <c:pt idx="39">
                  <c:v>1.0264000000000002</c:v>
                </c:pt>
                <c:pt idx="40">
                  <c:v>0.78279999999999994</c:v>
                </c:pt>
                <c:pt idx="41">
                  <c:v>0.7006</c:v>
                </c:pt>
                <c:pt idx="42">
                  <c:v>0.74420000000000008</c:v>
                </c:pt>
                <c:pt idx="43">
                  <c:v>0.70399999999999996</c:v>
                </c:pt>
                <c:pt idx="44">
                  <c:v>0.7006</c:v>
                </c:pt>
                <c:pt idx="45">
                  <c:v>0.81820000000000004</c:v>
                </c:pt>
                <c:pt idx="46">
                  <c:v>0.83</c:v>
                </c:pt>
                <c:pt idx="47">
                  <c:v>0.89539999999999997</c:v>
                </c:pt>
                <c:pt idx="48">
                  <c:v>0.9224</c:v>
                </c:pt>
                <c:pt idx="49">
                  <c:v>0.93740000000000001</c:v>
                </c:pt>
                <c:pt idx="50">
                  <c:v>1.0534000000000001</c:v>
                </c:pt>
                <c:pt idx="51">
                  <c:v>1.0282</c:v>
                </c:pt>
                <c:pt idx="52">
                  <c:v>0.872</c:v>
                </c:pt>
                <c:pt idx="53">
                  <c:v>0.63679999999999992</c:v>
                </c:pt>
                <c:pt idx="54">
                  <c:v>0.84499999999999997</c:v>
                </c:pt>
                <c:pt idx="55">
                  <c:v>0.68540000000000001</c:v>
                </c:pt>
                <c:pt idx="56">
                  <c:v>0.71899999999999997</c:v>
                </c:pt>
                <c:pt idx="57">
                  <c:v>0.73080000000000001</c:v>
                </c:pt>
                <c:pt idx="58">
                  <c:v>1.0432000000000001</c:v>
                </c:pt>
                <c:pt idx="59">
                  <c:v>0.78460000000000008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F0-4F7A-9DC3-B0AB19C9EE57}"/>
            </c:ext>
          </c:extLst>
        </c:ser>
        <c:ser>
          <c:idx val="2"/>
          <c:order val="2"/>
          <c:tx>
            <c:strRef>
              <c:f>'Análise demanda'!$AA$3</c:f>
              <c:strCache>
                <c:ptCount val="1"/>
                <c:pt idx="0">
                  <c:v>Limite 105%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multiLvlStrRef>
              <c:f>'Análise demanda'!$X$4:$X$69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demanda'!$AA$4:$AA$69</c:f>
              <c:numCache>
                <c:formatCode>General</c:formatCode>
                <c:ptCount val="60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  <c:pt idx="39">
                  <c:v>1.05</c:v>
                </c:pt>
                <c:pt idx="40">
                  <c:v>1.05</c:v>
                </c:pt>
                <c:pt idx="41">
                  <c:v>1.05</c:v>
                </c:pt>
                <c:pt idx="42">
                  <c:v>1.05</c:v>
                </c:pt>
                <c:pt idx="43">
                  <c:v>1.05</c:v>
                </c:pt>
                <c:pt idx="44">
                  <c:v>1.05</c:v>
                </c:pt>
                <c:pt idx="45">
                  <c:v>1.05</c:v>
                </c:pt>
                <c:pt idx="46">
                  <c:v>1.05</c:v>
                </c:pt>
                <c:pt idx="47">
                  <c:v>1.05</c:v>
                </c:pt>
                <c:pt idx="48">
                  <c:v>1.05</c:v>
                </c:pt>
                <c:pt idx="49">
                  <c:v>1.05</c:v>
                </c:pt>
                <c:pt idx="50">
                  <c:v>1.05</c:v>
                </c:pt>
                <c:pt idx="51">
                  <c:v>1.05</c:v>
                </c:pt>
                <c:pt idx="52">
                  <c:v>1.05</c:v>
                </c:pt>
                <c:pt idx="53">
                  <c:v>1.05</c:v>
                </c:pt>
                <c:pt idx="54">
                  <c:v>1.05</c:v>
                </c:pt>
                <c:pt idx="55">
                  <c:v>1.05</c:v>
                </c:pt>
                <c:pt idx="56">
                  <c:v>1.05</c:v>
                </c:pt>
                <c:pt idx="57">
                  <c:v>1.05</c:v>
                </c:pt>
                <c:pt idx="58">
                  <c:v>1.05</c:v>
                </c:pt>
                <c:pt idx="59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F0-4F7A-9DC3-B0AB19C9EE57}"/>
            </c:ext>
          </c:extLst>
        </c:ser>
        <c:ser>
          <c:idx val="3"/>
          <c:order val="3"/>
          <c:tx>
            <c:strRef>
              <c:f>'Análise demanda'!$AB$3</c:f>
              <c:strCache>
                <c:ptCount val="1"/>
                <c:pt idx="0">
                  <c:v>Referência contratada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multiLvlStrRef>
              <c:f>'Análise demanda'!$X$4:$X$69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demanda'!$AB$4:$AB$69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7-4FC0-80FC-134962C53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93952"/>
        <c:axId val="130823616"/>
      </c:lineChart>
      <c:catAx>
        <c:axId val="1293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3616"/>
        <c:crosses val="autoZero"/>
        <c:auto val="1"/>
        <c:lblAlgn val="ctr"/>
        <c:lblOffset val="100"/>
        <c:noMultiLvlLbl val="0"/>
      </c:catAx>
      <c:valAx>
        <c:axId val="130823616"/>
        <c:scaling>
          <c:orientation val="minMax"/>
          <c:min val="0.60000000000000009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99143212934245"/>
          <c:y val="0.23153123708014259"/>
          <c:w val="0.17800856787065741"/>
          <c:h val="0.45431855226842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1200" verticalDpi="12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[Análise de demanda.xlsx]Análise demanda!Tabela dinâmica2</c:name>
    <c:fmtId val="0"/>
  </c:pivotSource>
  <c:chart>
    <c:autoTitleDeleted val="1"/>
    <c:pivotFmts>
      <c:pivotFmt>
        <c:idx val="0"/>
        <c:spPr>
          <a:ln w="63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prstDash val="dash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565842900262037E-2"/>
          <c:y val="0.16853018372703413"/>
          <c:w val="0.71335019229970031"/>
          <c:h val="0.64492650918635175"/>
        </c:manualLayout>
      </c:layout>
      <c:lineChart>
        <c:grouping val="standard"/>
        <c:varyColors val="0"/>
        <c:ser>
          <c:idx val="0"/>
          <c:order val="0"/>
          <c:tx>
            <c:strRef>
              <c:f>'Análise demanda'!$AJ$3</c:f>
              <c:strCache>
                <c:ptCount val="1"/>
                <c:pt idx="0">
                  <c:v>Consumo mensal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cat>
            <c:multiLvlStrRef>
              <c:f>'Análise demanda'!$AI$4:$AI$69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demanda'!$AJ$4:$AJ$69</c:f>
              <c:numCache>
                <c:formatCode>General</c:formatCode>
                <c:ptCount val="60"/>
                <c:pt idx="0">
                  <c:v>463211.70000000007</c:v>
                </c:pt>
                <c:pt idx="1">
                  <c:v>514086.3</c:v>
                </c:pt>
                <c:pt idx="2">
                  <c:v>534786.20000000007</c:v>
                </c:pt>
                <c:pt idx="3">
                  <c:v>520276.89999999997</c:v>
                </c:pt>
                <c:pt idx="4">
                  <c:v>487469.8</c:v>
                </c:pt>
                <c:pt idx="5">
                  <c:v>457353.6</c:v>
                </c:pt>
                <c:pt idx="6">
                  <c:v>458958.4</c:v>
                </c:pt>
                <c:pt idx="7">
                  <c:v>513965.4</c:v>
                </c:pt>
                <c:pt idx="8">
                  <c:v>417094</c:v>
                </c:pt>
                <c:pt idx="9">
                  <c:v>540004.30000000005</c:v>
                </c:pt>
                <c:pt idx="10">
                  <c:v>557859.9</c:v>
                </c:pt>
                <c:pt idx="11">
                  <c:v>554548.5</c:v>
                </c:pt>
                <c:pt idx="12">
                  <c:v>412125.19999999995</c:v>
                </c:pt>
                <c:pt idx="13">
                  <c:v>451562.2</c:v>
                </c:pt>
                <c:pt idx="14">
                  <c:v>517997.3</c:v>
                </c:pt>
                <c:pt idx="15">
                  <c:v>564132.9</c:v>
                </c:pt>
                <c:pt idx="16">
                  <c:v>503165.5</c:v>
                </c:pt>
                <c:pt idx="17">
                  <c:v>409225.5</c:v>
                </c:pt>
                <c:pt idx="18">
                  <c:v>491719.92500000005</c:v>
                </c:pt>
                <c:pt idx="19">
                  <c:v>437818.1</c:v>
                </c:pt>
                <c:pt idx="20">
                  <c:v>488741.9</c:v>
                </c:pt>
                <c:pt idx="21">
                  <c:v>341791.8</c:v>
                </c:pt>
                <c:pt idx="22">
                  <c:v>477674.8</c:v>
                </c:pt>
                <c:pt idx="23">
                  <c:v>449319.2</c:v>
                </c:pt>
                <c:pt idx="24">
                  <c:v>449319.15</c:v>
                </c:pt>
                <c:pt idx="25">
                  <c:v>473453.82</c:v>
                </c:pt>
                <c:pt idx="26">
                  <c:v>602113.47</c:v>
                </c:pt>
                <c:pt idx="27">
                  <c:v>603450.32999999996</c:v>
                </c:pt>
                <c:pt idx="28">
                  <c:v>528714.48</c:v>
                </c:pt>
                <c:pt idx="29">
                  <c:v>504659.61</c:v>
                </c:pt>
                <c:pt idx="30">
                  <c:v>402496.6</c:v>
                </c:pt>
                <c:pt idx="31">
                  <c:v>406698.6</c:v>
                </c:pt>
                <c:pt idx="32">
                  <c:v>530846.1</c:v>
                </c:pt>
                <c:pt idx="33">
                  <c:v>463348.2</c:v>
                </c:pt>
                <c:pt idx="34">
                  <c:v>547772.6</c:v>
                </c:pt>
                <c:pt idx="35">
                  <c:v>607662.6</c:v>
                </c:pt>
                <c:pt idx="36">
                  <c:v>513256.3</c:v>
                </c:pt>
                <c:pt idx="37">
                  <c:v>530669.80000000005</c:v>
                </c:pt>
                <c:pt idx="38">
                  <c:v>536342.4</c:v>
                </c:pt>
                <c:pt idx="39">
                  <c:v>714128.9</c:v>
                </c:pt>
                <c:pt idx="40">
                  <c:v>586151.30000000005</c:v>
                </c:pt>
                <c:pt idx="41">
                  <c:v>528585.5</c:v>
                </c:pt>
                <c:pt idx="42">
                  <c:v>492520.9</c:v>
                </c:pt>
                <c:pt idx="43">
                  <c:v>505458.8</c:v>
                </c:pt>
                <c:pt idx="44">
                  <c:v>497596.9</c:v>
                </c:pt>
                <c:pt idx="45">
                  <c:v>566354.1</c:v>
                </c:pt>
                <c:pt idx="46">
                  <c:v>568695.6</c:v>
                </c:pt>
                <c:pt idx="47">
                  <c:v>459301.6</c:v>
                </c:pt>
                <c:pt idx="48">
                  <c:v>501033.8</c:v>
                </c:pt>
                <c:pt idx="49">
                  <c:v>623035.5</c:v>
                </c:pt>
                <c:pt idx="50">
                  <c:v>591344.69999999995</c:v>
                </c:pt>
                <c:pt idx="51">
                  <c:v>629327.6</c:v>
                </c:pt>
                <c:pt idx="52">
                  <c:v>599844.6</c:v>
                </c:pt>
                <c:pt idx="53">
                  <c:v>490990.7</c:v>
                </c:pt>
                <c:pt idx="54">
                  <c:v>459220.4</c:v>
                </c:pt>
                <c:pt idx="55">
                  <c:v>471041.1</c:v>
                </c:pt>
                <c:pt idx="56">
                  <c:v>448151.1</c:v>
                </c:pt>
                <c:pt idx="57">
                  <c:v>457269.3</c:v>
                </c:pt>
                <c:pt idx="58">
                  <c:v>601039.5</c:v>
                </c:pt>
                <c:pt idx="59">
                  <c:v>526098.70000000007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E-45F3-8B37-13C2058E2467}"/>
            </c:ext>
          </c:extLst>
        </c:ser>
        <c:ser>
          <c:idx val="1"/>
          <c:order val="1"/>
          <c:tx>
            <c:strRef>
              <c:f>'Análise demanda'!$AK$3</c:f>
              <c:strCache>
                <c:ptCount val="1"/>
                <c:pt idx="0">
                  <c:v>Média 2015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cat>
            <c:multiLvlStrRef>
              <c:f>'Análise demanda'!$AI$4:$AI$69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demanda'!$AK$4:$AK$69</c:f>
              <c:numCache>
                <c:formatCode>General</c:formatCode>
                <c:ptCount val="60"/>
                <c:pt idx="0">
                  <c:v>501634.58</c:v>
                </c:pt>
                <c:pt idx="1">
                  <c:v>501634.58</c:v>
                </c:pt>
                <c:pt idx="2">
                  <c:v>501634.58</c:v>
                </c:pt>
                <c:pt idx="3">
                  <c:v>501634.58</c:v>
                </c:pt>
                <c:pt idx="4">
                  <c:v>501634.58</c:v>
                </c:pt>
                <c:pt idx="5">
                  <c:v>501634.58</c:v>
                </c:pt>
                <c:pt idx="6">
                  <c:v>501634.58</c:v>
                </c:pt>
                <c:pt idx="7">
                  <c:v>501634.58</c:v>
                </c:pt>
                <c:pt idx="8">
                  <c:v>501634.58</c:v>
                </c:pt>
                <c:pt idx="9">
                  <c:v>501634.58</c:v>
                </c:pt>
                <c:pt idx="10">
                  <c:v>501634.58</c:v>
                </c:pt>
                <c:pt idx="11">
                  <c:v>501634.58</c:v>
                </c:pt>
                <c:pt idx="12">
                  <c:v>501634.58</c:v>
                </c:pt>
                <c:pt idx="13">
                  <c:v>501634.58</c:v>
                </c:pt>
                <c:pt idx="14">
                  <c:v>501634.58</c:v>
                </c:pt>
                <c:pt idx="15">
                  <c:v>501634.58</c:v>
                </c:pt>
                <c:pt idx="16">
                  <c:v>501634.58</c:v>
                </c:pt>
                <c:pt idx="17">
                  <c:v>501634.58</c:v>
                </c:pt>
                <c:pt idx="18">
                  <c:v>501634.58</c:v>
                </c:pt>
                <c:pt idx="19">
                  <c:v>501634.58</c:v>
                </c:pt>
                <c:pt idx="20">
                  <c:v>501634.58</c:v>
                </c:pt>
                <c:pt idx="21">
                  <c:v>501634.58</c:v>
                </c:pt>
                <c:pt idx="22">
                  <c:v>501634.58</c:v>
                </c:pt>
                <c:pt idx="23">
                  <c:v>501634.58</c:v>
                </c:pt>
                <c:pt idx="24">
                  <c:v>501634.58</c:v>
                </c:pt>
                <c:pt idx="25">
                  <c:v>501634.58</c:v>
                </c:pt>
                <c:pt idx="26">
                  <c:v>501634.58</c:v>
                </c:pt>
                <c:pt idx="27">
                  <c:v>501634.58</c:v>
                </c:pt>
                <c:pt idx="28">
                  <c:v>501634.58</c:v>
                </c:pt>
                <c:pt idx="29">
                  <c:v>501634.58</c:v>
                </c:pt>
                <c:pt idx="30">
                  <c:v>501634.58</c:v>
                </c:pt>
                <c:pt idx="31">
                  <c:v>501634.58</c:v>
                </c:pt>
                <c:pt idx="32">
                  <c:v>501634.58</c:v>
                </c:pt>
                <c:pt idx="33">
                  <c:v>501634.58</c:v>
                </c:pt>
                <c:pt idx="34">
                  <c:v>501634.58</c:v>
                </c:pt>
                <c:pt idx="35">
                  <c:v>501634.58</c:v>
                </c:pt>
                <c:pt idx="36">
                  <c:v>501634.58</c:v>
                </c:pt>
                <c:pt idx="37">
                  <c:v>501634.58</c:v>
                </c:pt>
                <c:pt idx="38">
                  <c:v>501634.58</c:v>
                </c:pt>
                <c:pt idx="39">
                  <c:v>501634.58</c:v>
                </c:pt>
                <c:pt idx="40">
                  <c:v>501634.58</c:v>
                </c:pt>
                <c:pt idx="41">
                  <c:v>501634.58</c:v>
                </c:pt>
                <c:pt idx="42">
                  <c:v>501634.58</c:v>
                </c:pt>
                <c:pt idx="43">
                  <c:v>501634.58</c:v>
                </c:pt>
                <c:pt idx="44">
                  <c:v>501634.58</c:v>
                </c:pt>
                <c:pt idx="45">
                  <c:v>501634.58</c:v>
                </c:pt>
                <c:pt idx="46">
                  <c:v>501634.58</c:v>
                </c:pt>
                <c:pt idx="47">
                  <c:v>501634.58</c:v>
                </c:pt>
                <c:pt idx="48">
                  <c:v>501634.58</c:v>
                </c:pt>
                <c:pt idx="49">
                  <c:v>501634.58</c:v>
                </c:pt>
                <c:pt idx="50">
                  <c:v>501634.58</c:v>
                </c:pt>
                <c:pt idx="51">
                  <c:v>501634.58</c:v>
                </c:pt>
                <c:pt idx="52">
                  <c:v>501634.58</c:v>
                </c:pt>
                <c:pt idx="53">
                  <c:v>501634.58</c:v>
                </c:pt>
                <c:pt idx="54">
                  <c:v>501634.58</c:v>
                </c:pt>
                <c:pt idx="55">
                  <c:v>501634.58</c:v>
                </c:pt>
                <c:pt idx="56">
                  <c:v>501634.58</c:v>
                </c:pt>
                <c:pt idx="57">
                  <c:v>501634.58</c:v>
                </c:pt>
                <c:pt idx="58">
                  <c:v>501634.58</c:v>
                </c:pt>
                <c:pt idx="59">
                  <c:v>501634.58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0-48F3-A8CB-4DC20709F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273248"/>
        <c:axId val="582324656"/>
      </c:lineChart>
      <c:catAx>
        <c:axId val="5782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24656"/>
        <c:crosses val="autoZero"/>
        <c:auto val="1"/>
        <c:lblAlgn val="ctr"/>
        <c:lblOffset val="100"/>
        <c:noMultiLvlLbl val="0"/>
      </c:catAx>
      <c:valAx>
        <c:axId val="582324656"/>
        <c:scaling>
          <c:orientation val="minMax"/>
          <c:min val="3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63223181498399"/>
          <c:y val="0.34770761154855645"/>
          <c:w val="0.19505258240405288"/>
          <c:h val="0.37051627296587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[Análise de demanda.xlsx]Análise demanda!Tabela dinâmica3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63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prstDash val="dash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669951294528745E-2"/>
          <c:y val="0.16947166331383218"/>
          <c:w val="0.71637034161069679"/>
          <c:h val="0.64294292122589691"/>
        </c:manualLayout>
      </c:layout>
      <c:lineChart>
        <c:grouping val="standard"/>
        <c:varyColors val="0"/>
        <c:ser>
          <c:idx val="0"/>
          <c:order val="0"/>
          <c:tx>
            <c:strRef>
              <c:f>'Análise demanda'!$AN$3</c:f>
              <c:strCache>
                <c:ptCount val="1"/>
                <c:pt idx="0">
                  <c:v>Consumo mensal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cat>
            <c:multiLvlStrRef>
              <c:f>'Análise demanda'!$AM$4:$AM$69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demanda'!$AN$4:$AN$69</c:f>
              <c:numCache>
                <c:formatCode>General</c:formatCode>
                <c:ptCount val="60"/>
                <c:pt idx="0">
                  <c:v>147358.40000000002</c:v>
                </c:pt>
                <c:pt idx="1">
                  <c:v>143972.09999999998</c:v>
                </c:pt>
                <c:pt idx="2">
                  <c:v>174731.5</c:v>
                </c:pt>
                <c:pt idx="3">
                  <c:v>157156.20000000001</c:v>
                </c:pt>
                <c:pt idx="4">
                  <c:v>147624</c:v>
                </c:pt>
                <c:pt idx="5">
                  <c:v>142845.1</c:v>
                </c:pt>
                <c:pt idx="6">
                  <c:v>154753</c:v>
                </c:pt>
                <c:pt idx="7">
                  <c:v>153298.79999999999</c:v>
                </c:pt>
                <c:pt idx="8">
                  <c:v>135876.19999999998</c:v>
                </c:pt>
                <c:pt idx="9">
                  <c:v>163709.90000000002</c:v>
                </c:pt>
                <c:pt idx="10">
                  <c:v>176517.4</c:v>
                </c:pt>
                <c:pt idx="11">
                  <c:v>192896.30000000002</c:v>
                </c:pt>
                <c:pt idx="12">
                  <c:v>164022.20000000001</c:v>
                </c:pt>
                <c:pt idx="13">
                  <c:v>179708.9</c:v>
                </c:pt>
                <c:pt idx="14">
                  <c:v>198258.3</c:v>
                </c:pt>
                <c:pt idx="15">
                  <c:v>225484.5</c:v>
                </c:pt>
                <c:pt idx="16">
                  <c:v>193972.19999999998</c:v>
                </c:pt>
                <c:pt idx="17">
                  <c:v>174861.3</c:v>
                </c:pt>
                <c:pt idx="18">
                  <c:v>189885.8</c:v>
                </c:pt>
                <c:pt idx="19">
                  <c:v>172151.1</c:v>
                </c:pt>
                <c:pt idx="20">
                  <c:v>172827.1</c:v>
                </c:pt>
                <c:pt idx="21">
                  <c:v>160824.30000000002</c:v>
                </c:pt>
                <c:pt idx="22">
                  <c:v>189780.69999999998</c:v>
                </c:pt>
                <c:pt idx="23">
                  <c:v>172990</c:v>
                </c:pt>
                <c:pt idx="24">
                  <c:v>167798.2</c:v>
                </c:pt>
                <c:pt idx="25">
                  <c:v>194792.43</c:v>
                </c:pt>
                <c:pt idx="26">
                  <c:v>220635.24</c:v>
                </c:pt>
                <c:pt idx="27">
                  <c:v>196115.22</c:v>
                </c:pt>
                <c:pt idx="28">
                  <c:v>154706.16</c:v>
                </c:pt>
                <c:pt idx="29">
                  <c:v>160642.79999999999</c:v>
                </c:pt>
                <c:pt idx="30">
                  <c:v>152457</c:v>
                </c:pt>
                <c:pt idx="31">
                  <c:v>165308.9</c:v>
                </c:pt>
                <c:pt idx="32">
                  <c:v>147845.5</c:v>
                </c:pt>
                <c:pt idx="33">
                  <c:v>186576.2</c:v>
                </c:pt>
                <c:pt idx="34">
                  <c:v>146268.79999999999</c:v>
                </c:pt>
                <c:pt idx="35">
                  <c:v>175187.5</c:v>
                </c:pt>
                <c:pt idx="36">
                  <c:v>148686.1</c:v>
                </c:pt>
                <c:pt idx="37">
                  <c:v>174212.5</c:v>
                </c:pt>
                <c:pt idx="38">
                  <c:v>170361.5</c:v>
                </c:pt>
                <c:pt idx="39">
                  <c:v>199373.4</c:v>
                </c:pt>
                <c:pt idx="40">
                  <c:v>177013.8</c:v>
                </c:pt>
                <c:pt idx="41">
                  <c:v>137632.70000000001</c:v>
                </c:pt>
                <c:pt idx="42">
                  <c:v>161619.9</c:v>
                </c:pt>
                <c:pt idx="43">
                  <c:v>140624.29999999999</c:v>
                </c:pt>
                <c:pt idx="44">
                  <c:v>137110</c:v>
                </c:pt>
                <c:pt idx="45">
                  <c:v>171635.5</c:v>
                </c:pt>
                <c:pt idx="46">
                  <c:v>156488.70000000001</c:v>
                </c:pt>
                <c:pt idx="47">
                  <c:v>157358.39999999999</c:v>
                </c:pt>
                <c:pt idx="48">
                  <c:v>181944.8</c:v>
                </c:pt>
                <c:pt idx="49">
                  <c:v>192260.5</c:v>
                </c:pt>
                <c:pt idx="50">
                  <c:v>196460.4</c:v>
                </c:pt>
                <c:pt idx="51">
                  <c:v>200843</c:v>
                </c:pt>
                <c:pt idx="52">
                  <c:v>185805.7</c:v>
                </c:pt>
                <c:pt idx="53">
                  <c:v>140716.80000000002</c:v>
                </c:pt>
                <c:pt idx="54">
                  <c:v>162674.6</c:v>
                </c:pt>
                <c:pt idx="55">
                  <c:v>149772.80000000002</c:v>
                </c:pt>
                <c:pt idx="56">
                  <c:v>144588.6</c:v>
                </c:pt>
                <c:pt idx="57">
                  <c:v>159242.79999999999</c:v>
                </c:pt>
                <c:pt idx="58">
                  <c:v>213717.5</c:v>
                </c:pt>
                <c:pt idx="59">
                  <c:v>180393.2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9-45EB-B181-72E049458E81}"/>
            </c:ext>
          </c:extLst>
        </c:ser>
        <c:ser>
          <c:idx val="1"/>
          <c:order val="1"/>
          <c:tx>
            <c:strRef>
              <c:f>'Análise demanda'!$AO$3</c:f>
              <c:strCache>
                <c:ptCount val="1"/>
                <c:pt idx="0">
                  <c:v>Média 2015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cat>
            <c:multiLvlStrRef>
              <c:f>'Análise demanda'!$AM$4:$AM$69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demanda'!$AO$4:$AO$69</c:f>
              <c:numCache>
                <c:formatCode>General</c:formatCode>
                <c:ptCount val="60"/>
                <c:pt idx="0">
                  <c:v>157561.57999999999</c:v>
                </c:pt>
                <c:pt idx="1">
                  <c:v>157561.57999999999</c:v>
                </c:pt>
                <c:pt idx="2">
                  <c:v>157561.57999999999</c:v>
                </c:pt>
                <c:pt idx="3">
                  <c:v>157561.57999999999</c:v>
                </c:pt>
                <c:pt idx="4">
                  <c:v>157561.57999999999</c:v>
                </c:pt>
                <c:pt idx="5">
                  <c:v>157561.57999999999</c:v>
                </c:pt>
                <c:pt idx="6">
                  <c:v>157561.57999999999</c:v>
                </c:pt>
                <c:pt idx="7">
                  <c:v>157561.57999999999</c:v>
                </c:pt>
                <c:pt idx="8">
                  <c:v>157561.57999999999</c:v>
                </c:pt>
                <c:pt idx="9">
                  <c:v>157561.57999999999</c:v>
                </c:pt>
                <c:pt idx="10">
                  <c:v>157561.57999999999</c:v>
                </c:pt>
                <c:pt idx="11">
                  <c:v>157561.57999999999</c:v>
                </c:pt>
                <c:pt idx="12">
                  <c:v>157561.57999999999</c:v>
                </c:pt>
                <c:pt idx="13">
                  <c:v>157561.57999999999</c:v>
                </c:pt>
                <c:pt idx="14">
                  <c:v>157561.57999999999</c:v>
                </c:pt>
                <c:pt idx="15">
                  <c:v>157561.57999999999</c:v>
                </c:pt>
                <c:pt idx="16">
                  <c:v>157561.57999999999</c:v>
                </c:pt>
                <c:pt idx="17">
                  <c:v>157561.57999999999</c:v>
                </c:pt>
                <c:pt idx="18">
                  <c:v>157561.57999999999</c:v>
                </c:pt>
                <c:pt idx="19">
                  <c:v>157561.57999999999</c:v>
                </c:pt>
                <c:pt idx="20">
                  <c:v>157561.57999999999</c:v>
                </c:pt>
                <c:pt idx="21">
                  <c:v>157561.57999999999</c:v>
                </c:pt>
                <c:pt idx="22">
                  <c:v>157561.57999999999</c:v>
                </c:pt>
                <c:pt idx="23">
                  <c:v>157561.57999999999</c:v>
                </c:pt>
                <c:pt idx="24">
                  <c:v>157561.57999999999</c:v>
                </c:pt>
                <c:pt idx="25">
                  <c:v>157561.57999999999</c:v>
                </c:pt>
                <c:pt idx="26">
                  <c:v>157561.57999999999</c:v>
                </c:pt>
                <c:pt idx="27">
                  <c:v>157561.57999999999</c:v>
                </c:pt>
                <c:pt idx="28">
                  <c:v>157561.57999999999</c:v>
                </c:pt>
                <c:pt idx="29">
                  <c:v>157561.57999999999</c:v>
                </c:pt>
                <c:pt idx="30">
                  <c:v>157561.57999999999</c:v>
                </c:pt>
                <c:pt idx="31">
                  <c:v>157561.57999999999</c:v>
                </c:pt>
                <c:pt idx="32">
                  <c:v>157561.57999999999</c:v>
                </c:pt>
                <c:pt idx="33">
                  <c:v>157561.57999999999</c:v>
                </c:pt>
                <c:pt idx="34">
                  <c:v>157561.57999999999</c:v>
                </c:pt>
                <c:pt idx="35">
                  <c:v>157561.57999999999</c:v>
                </c:pt>
                <c:pt idx="36">
                  <c:v>157561.57999999999</c:v>
                </c:pt>
                <c:pt idx="37">
                  <c:v>157561.57999999999</c:v>
                </c:pt>
                <c:pt idx="38">
                  <c:v>157561.57999999999</c:v>
                </c:pt>
                <c:pt idx="39">
                  <c:v>157561.57999999999</c:v>
                </c:pt>
                <c:pt idx="40">
                  <c:v>157561.57999999999</c:v>
                </c:pt>
                <c:pt idx="41">
                  <c:v>157561.57999999999</c:v>
                </c:pt>
                <c:pt idx="42">
                  <c:v>157561.57999999999</c:v>
                </c:pt>
                <c:pt idx="43">
                  <c:v>157561.57999999999</c:v>
                </c:pt>
                <c:pt idx="44">
                  <c:v>157561.57999999999</c:v>
                </c:pt>
                <c:pt idx="45">
                  <c:v>157561.57999999999</c:v>
                </c:pt>
                <c:pt idx="46">
                  <c:v>157561.57999999999</c:v>
                </c:pt>
                <c:pt idx="47">
                  <c:v>157561.57999999999</c:v>
                </c:pt>
                <c:pt idx="48">
                  <c:v>157561.57999999999</c:v>
                </c:pt>
                <c:pt idx="49">
                  <c:v>157561.57999999999</c:v>
                </c:pt>
                <c:pt idx="50">
                  <c:v>157561.57999999999</c:v>
                </c:pt>
                <c:pt idx="51">
                  <c:v>157561.57999999999</c:v>
                </c:pt>
                <c:pt idx="52">
                  <c:v>157561.57999999999</c:v>
                </c:pt>
                <c:pt idx="53">
                  <c:v>157561.57999999999</c:v>
                </c:pt>
                <c:pt idx="54">
                  <c:v>157561.57999999999</c:v>
                </c:pt>
                <c:pt idx="55">
                  <c:v>157561.57999999999</c:v>
                </c:pt>
                <c:pt idx="56">
                  <c:v>157561.57999999999</c:v>
                </c:pt>
                <c:pt idx="57">
                  <c:v>157561.57999999999</c:v>
                </c:pt>
                <c:pt idx="58">
                  <c:v>157561.57999999999</c:v>
                </c:pt>
                <c:pt idx="59">
                  <c:v>157561.57999999999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0-4E5B-902F-62F0B374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932896"/>
        <c:axId val="974948992"/>
      </c:lineChart>
      <c:catAx>
        <c:axId val="98093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48992"/>
        <c:crosses val="autoZero"/>
        <c:auto val="1"/>
        <c:lblAlgn val="ctr"/>
        <c:lblOffset val="100"/>
        <c:noMultiLvlLbl val="0"/>
      </c:catAx>
      <c:valAx>
        <c:axId val="974948992"/>
        <c:scaling>
          <c:orientation val="minMax"/>
          <c:min val="1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44089350843141"/>
          <c:y val="0.32339316000648227"/>
          <c:w val="0.17122912177235425"/>
          <c:h val="0.38599394958976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[Análise de demanda.xlsx]Análise demanda!Tabela dinâmica4</c:name>
    <c:fmtId val="9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rgbClr val="FF000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bg1">
                <a:lumMod val="7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rgbClr val="FF000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bg1">
                <a:lumMod val="7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2225" cap="rnd">
            <a:solidFill>
              <a:srgbClr val="FF000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2225" cap="rnd">
            <a:solidFill>
              <a:schemeClr val="bg1">
                <a:lumMod val="7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2225" cap="rnd">
            <a:solidFill>
              <a:srgbClr val="FF000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2225" cap="rnd">
            <a:solidFill>
              <a:schemeClr val="bg1">
                <a:lumMod val="7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2225" cap="rnd">
            <a:solidFill>
              <a:srgbClr val="FF000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2225" cap="rnd">
            <a:solidFill>
              <a:schemeClr val="bg1">
                <a:lumMod val="7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393562140879837E-2"/>
          <c:y val="0.10874810373473957"/>
          <c:w val="0.74086378424253851"/>
          <c:h val="0.72123357391001686"/>
        </c:manualLayout>
      </c:layout>
      <c:lineChart>
        <c:grouping val="standard"/>
        <c:varyColors val="0"/>
        <c:ser>
          <c:idx val="0"/>
          <c:order val="0"/>
          <c:tx>
            <c:strRef>
              <c:f>'Análise demanda'!$AD$3</c:f>
              <c:strCache>
                <c:ptCount val="1"/>
                <c:pt idx="0">
                  <c:v>Demanda 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'Análise demanda'!$AC$4:$AC$69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demanda'!$AD$4:$AD$69</c:f>
              <c:numCache>
                <c:formatCode>0.0%</c:formatCode>
                <c:ptCount val="60"/>
                <c:pt idx="0">
                  <c:v>0.7212142857142857</c:v>
                </c:pt>
                <c:pt idx="1">
                  <c:v>0.93300000000000005</c:v>
                </c:pt>
                <c:pt idx="2">
                  <c:v>0.95578571428571424</c:v>
                </c:pt>
                <c:pt idx="3">
                  <c:v>0.8927857142857144</c:v>
                </c:pt>
                <c:pt idx="4">
                  <c:v>0.83399999999999996</c:v>
                </c:pt>
                <c:pt idx="5">
                  <c:v>0.86578571428571427</c:v>
                </c:pt>
                <c:pt idx="6">
                  <c:v>0.76742857142857146</c:v>
                </c:pt>
                <c:pt idx="7">
                  <c:v>0.82678571428571423</c:v>
                </c:pt>
                <c:pt idx="8">
                  <c:v>0.67978571428571433</c:v>
                </c:pt>
                <c:pt idx="9">
                  <c:v>1.008</c:v>
                </c:pt>
                <c:pt idx="10">
                  <c:v>0.93</c:v>
                </c:pt>
                <c:pt idx="11">
                  <c:v>0.89942857142857147</c:v>
                </c:pt>
                <c:pt idx="12">
                  <c:v>0.73921428571428582</c:v>
                </c:pt>
                <c:pt idx="13">
                  <c:v>0.85857142857142854</c:v>
                </c:pt>
                <c:pt idx="14">
                  <c:v>0.94321428571428567</c:v>
                </c:pt>
                <c:pt idx="15">
                  <c:v>0.96957142857142864</c:v>
                </c:pt>
                <c:pt idx="16">
                  <c:v>1.0277857142857143</c:v>
                </c:pt>
                <c:pt idx="17">
                  <c:v>0.68878571428571422</c:v>
                </c:pt>
                <c:pt idx="18">
                  <c:v>0.68878571428571422</c:v>
                </c:pt>
                <c:pt idx="19">
                  <c:v>0.70742857142857141</c:v>
                </c:pt>
                <c:pt idx="20">
                  <c:v>0.70742857142857141</c:v>
                </c:pt>
                <c:pt idx="21">
                  <c:v>0.84735119047619023</c:v>
                </c:pt>
                <c:pt idx="22">
                  <c:v>0.98100000000000009</c:v>
                </c:pt>
                <c:pt idx="23">
                  <c:v>0.83399999999999996</c:v>
                </c:pt>
                <c:pt idx="24">
                  <c:v>0.83399999999999996</c:v>
                </c:pt>
                <c:pt idx="25">
                  <c:v>0.67442857142857149</c:v>
                </c:pt>
                <c:pt idx="26">
                  <c:v>0.99057142857142855</c:v>
                </c:pt>
                <c:pt idx="27">
                  <c:v>0.98699999999999999</c:v>
                </c:pt>
                <c:pt idx="28">
                  <c:v>0.92278571428571432</c:v>
                </c:pt>
                <c:pt idx="29">
                  <c:v>0.8304285714285714</c:v>
                </c:pt>
                <c:pt idx="30">
                  <c:v>0.76442857142857146</c:v>
                </c:pt>
                <c:pt idx="31">
                  <c:v>0.76442857142857146</c:v>
                </c:pt>
                <c:pt idx="32">
                  <c:v>0.76442857142857146</c:v>
                </c:pt>
                <c:pt idx="33">
                  <c:v>0.90600000000000003</c:v>
                </c:pt>
                <c:pt idx="34">
                  <c:v>0.97257142857142853</c:v>
                </c:pt>
                <c:pt idx="35">
                  <c:v>0.86278571428571438</c:v>
                </c:pt>
                <c:pt idx="36">
                  <c:v>0.79021428571428565</c:v>
                </c:pt>
                <c:pt idx="37">
                  <c:v>0.67078571428571432</c:v>
                </c:pt>
                <c:pt idx="38">
                  <c:v>1.0272142857142856</c:v>
                </c:pt>
                <c:pt idx="39">
                  <c:v>0.91321428571428576</c:v>
                </c:pt>
                <c:pt idx="40">
                  <c:v>0.97857142857142854</c:v>
                </c:pt>
                <c:pt idx="41">
                  <c:v>0.85678571428571426</c:v>
                </c:pt>
                <c:pt idx="42">
                  <c:v>0.84300000000000008</c:v>
                </c:pt>
                <c:pt idx="43">
                  <c:v>0.82921428571428579</c:v>
                </c:pt>
                <c:pt idx="44">
                  <c:v>0.77699999999999991</c:v>
                </c:pt>
                <c:pt idx="45">
                  <c:v>0.93600000000000005</c:v>
                </c:pt>
                <c:pt idx="46">
                  <c:v>0.71821428571428569</c:v>
                </c:pt>
                <c:pt idx="47">
                  <c:v>0.91678571428571431</c:v>
                </c:pt>
                <c:pt idx="48">
                  <c:v>0.8987857142857143</c:v>
                </c:pt>
                <c:pt idx="49">
                  <c:v>0.86379761904761887</c:v>
                </c:pt>
                <c:pt idx="50">
                  <c:v>0.87988194444444434</c:v>
                </c:pt>
                <c:pt idx="51">
                  <c:v>1.0457857142857143</c:v>
                </c:pt>
                <c:pt idx="52">
                  <c:v>1.008</c:v>
                </c:pt>
                <c:pt idx="53">
                  <c:v>0.84357142857142853</c:v>
                </c:pt>
                <c:pt idx="54">
                  <c:v>0.8105714285714285</c:v>
                </c:pt>
                <c:pt idx="55">
                  <c:v>0.8105714285714285</c:v>
                </c:pt>
                <c:pt idx="56">
                  <c:v>0.72242857142857142</c:v>
                </c:pt>
                <c:pt idx="57">
                  <c:v>0.80521428571428566</c:v>
                </c:pt>
                <c:pt idx="58">
                  <c:v>1.0457857142857143</c:v>
                </c:pt>
                <c:pt idx="59">
                  <c:v>0.82078571428571423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4-4130-8924-51C0302E9866}"/>
            </c:ext>
          </c:extLst>
        </c:ser>
        <c:ser>
          <c:idx val="1"/>
          <c:order val="1"/>
          <c:tx>
            <c:strRef>
              <c:f>'Análise demanda'!$AE$3</c:f>
              <c:strCache>
                <c:ptCount val="1"/>
                <c:pt idx="0">
                  <c:v>Demanda FP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'Análise demanda'!$AC$4:$AC$69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demanda'!$AE$4:$AE$69</c:f>
              <c:numCache>
                <c:formatCode>0.0%</c:formatCode>
                <c:ptCount val="60"/>
                <c:pt idx="0">
                  <c:v>0.81421428571428578</c:v>
                </c:pt>
                <c:pt idx="1">
                  <c:v>0.99478571428571427</c:v>
                </c:pt>
                <c:pt idx="2">
                  <c:v>1.0397857142857143</c:v>
                </c:pt>
                <c:pt idx="3">
                  <c:v>0.97742857142857154</c:v>
                </c:pt>
                <c:pt idx="4">
                  <c:v>0.90657142857142858</c:v>
                </c:pt>
                <c:pt idx="5">
                  <c:v>0.90600000000000003</c:v>
                </c:pt>
                <c:pt idx="6">
                  <c:v>0.81</c:v>
                </c:pt>
                <c:pt idx="7">
                  <c:v>0.82199999999999995</c:v>
                </c:pt>
                <c:pt idx="8">
                  <c:v>0.7410000000000001</c:v>
                </c:pt>
                <c:pt idx="9">
                  <c:v>1.0632142857142857</c:v>
                </c:pt>
                <c:pt idx="10">
                  <c:v>1.1255714285714284</c:v>
                </c:pt>
                <c:pt idx="11">
                  <c:v>1.1297857142857144</c:v>
                </c:pt>
                <c:pt idx="12">
                  <c:v>0.90357142857142858</c:v>
                </c:pt>
                <c:pt idx="13">
                  <c:v>1.0385714285714285</c:v>
                </c:pt>
                <c:pt idx="14">
                  <c:v>1.0524285714285715</c:v>
                </c:pt>
                <c:pt idx="15">
                  <c:v>1.0589999999999999</c:v>
                </c:pt>
                <c:pt idx="16">
                  <c:v>1.0752142857142857</c:v>
                </c:pt>
                <c:pt idx="17">
                  <c:v>0.74578571428571427</c:v>
                </c:pt>
                <c:pt idx="18">
                  <c:v>0.74578571428571427</c:v>
                </c:pt>
                <c:pt idx="19">
                  <c:v>0.72657142857142865</c:v>
                </c:pt>
                <c:pt idx="20">
                  <c:v>0.72657142857142865</c:v>
                </c:pt>
                <c:pt idx="21">
                  <c:v>0.94933928571428572</c:v>
                </c:pt>
                <c:pt idx="22">
                  <c:v>1.161</c:v>
                </c:pt>
                <c:pt idx="23">
                  <c:v>0.91742857142857148</c:v>
                </c:pt>
                <c:pt idx="24">
                  <c:v>0.91742857142857148</c:v>
                </c:pt>
                <c:pt idx="25">
                  <c:v>0.82800000000000007</c:v>
                </c:pt>
                <c:pt idx="26">
                  <c:v>1.1435714285714285</c:v>
                </c:pt>
                <c:pt idx="27">
                  <c:v>1.0835714285714286</c:v>
                </c:pt>
                <c:pt idx="28">
                  <c:v>1.0224285714285715</c:v>
                </c:pt>
                <c:pt idx="29">
                  <c:v>0.83100000000000007</c:v>
                </c:pt>
                <c:pt idx="30">
                  <c:v>0.77699999999999991</c:v>
                </c:pt>
                <c:pt idx="31">
                  <c:v>0.77699999999999991</c:v>
                </c:pt>
                <c:pt idx="32">
                  <c:v>0.71342857142857141</c:v>
                </c:pt>
                <c:pt idx="33">
                  <c:v>1.0385714285714285</c:v>
                </c:pt>
                <c:pt idx="34">
                  <c:v>1.1039999999999999</c:v>
                </c:pt>
                <c:pt idx="35">
                  <c:v>1.0194285714285714</c:v>
                </c:pt>
                <c:pt idx="36">
                  <c:v>0.95878571428571424</c:v>
                </c:pt>
                <c:pt idx="37">
                  <c:v>0.85078571428571426</c:v>
                </c:pt>
                <c:pt idx="38">
                  <c:v>1.1244285714285716</c:v>
                </c:pt>
                <c:pt idx="39">
                  <c:v>0.99657142857142855</c:v>
                </c:pt>
                <c:pt idx="40">
                  <c:v>1.0362142857142858</c:v>
                </c:pt>
                <c:pt idx="41">
                  <c:v>0.88442857142857145</c:v>
                </c:pt>
                <c:pt idx="42">
                  <c:v>0.84</c:v>
                </c:pt>
                <c:pt idx="43">
                  <c:v>0.84778571428571436</c:v>
                </c:pt>
                <c:pt idx="44">
                  <c:v>0.79742857142857149</c:v>
                </c:pt>
                <c:pt idx="45">
                  <c:v>1.0169999999999999</c:v>
                </c:pt>
                <c:pt idx="46">
                  <c:v>0.78657142857142859</c:v>
                </c:pt>
                <c:pt idx="47">
                  <c:v>1.0955714285714286</c:v>
                </c:pt>
                <c:pt idx="48">
                  <c:v>1.1142142857142858</c:v>
                </c:pt>
                <c:pt idx="49">
                  <c:v>0.74278571428571438</c:v>
                </c:pt>
                <c:pt idx="50">
                  <c:v>1.0182142857142857</c:v>
                </c:pt>
                <c:pt idx="51">
                  <c:v>1.1885714285714286</c:v>
                </c:pt>
                <c:pt idx="52">
                  <c:v>1.095</c:v>
                </c:pt>
                <c:pt idx="53">
                  <c:v>0.91500000000000004</c:v>
                </c:pt>
                <c:pt idx="54">
                  <c:v>0.83942857142857141</c:v>
                </c:pt>
                <c:pt idx="55">
                  <c:v>0.67621428571428577</c:v>
                </c:pt>
                <c:pt idx="56">
                  <c:v>0.78357142857142859</c:v>
                </c:pt>
                <c:pt idx="57">
                  <c:v>0.90121428571428575</c:v>
                </c:pt>
                <c:pt idx="58">
                  <c:v>1.1567857142857143</c:v>
                </c:pt>
                <c:pt idx="5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4-4130-8924-51C0302E9866}"/>
            </c:ext>
          </c:extLst>
        </c:ser>
        <c:ser>
          <c:idx val="2"/>
          <c:order val="2"/>
          <c:tx>
            <c:strRef>
              <c:f>'Análise demanda'!$AF$3</c:f>
              <c:strCache>
                <c:ptCount val="1"/>
                <c:pt idx="0">
                  <c:v>Limite 105%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'Análise demanda'!$AC$4:$AC$69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demanda'!$AF$4:$AF$69</c:f>
              <c:numCache>
                <c:formatCode>General</c:formatCode>
                <c:ptCount val="60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  <c:pt idx="39">
                  <c:v>1.05</c:v>
                </c:pt>
                <c:pt idx="40">
                  <c:v>1.05</c:v>
                </c:pt>
                <c:pt idx="41">
                  <c:v>1.05</c:v>
                </c:pt>
                <c:pt idx="42">
                  <c:v>1.05</c:v>
                </c:pt>
                <c:pt idx="43">
                  <c:v>1.05</c:v>
                </c:pt>
                <c:pt idx="44">
                  <c:v>1.05</c:v>
                </c:pt>
                <c:pt idx="45">
                  <c:v>1.05</c:v>
                </c:pt>
                <c:pt idx="46">
                  <c:v>1.05</c:v>
                </c:pt>
                <c:pt idx="47">
                  <c:v>1.05</c:v>
                </c:pt>
                <c:pt idx="48">
                  <c:v>1.05</c:v>
                </c:pt>
                <c:pt idx="49">
                  <c:v>1.05</c:v>
                </c:pt>
                <c:pt idx="50">
                  <c:v>1.05</c:v>
                </c:pt>
                <c:pt idx="51">
                  <c:v>1.05</c:v>
                </c:pt>
                <c:pt idx="52">
                  <c:v>1.05</c:v>
                </c:pt>
                <c:pt idx="53">
                  <c:v>1.05</c:v>
                </c:pt>
                <c:pt idx="54">
                  <c:v>1.05</c:v>
                </c:pt>
                <c:pt idx="55">
                  <c:v>1.05</c:v>
                </c:pt>
                <c:pt idx="56">
                  <c:v>1.05</c:v>
                </c:pt>
                <c:pt idx="57">
                  <c:v>1.05</c:v>
                </c:pt>
                <c:pt idx="58">
                  <c:v>1.05</c:v>
                </c:pt>
                <c:pt idx="59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4-4130-8924-51C0302E9866}"/>
            </c:ext>
          </c:extLst>
        </c:ser>
        <c:ser>
          <c:idx val="3"/>
          <c:order val="3"/>
          <c:tx>
            <c:strRef>
              <c:f>'Análise demanda'!$AG$3</c:f>
              <c:strCache>
                <c:ptCount val="1"/>
                <c:pt idx="0">
                  <c:v>Referência contratada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'Análise demanda'!$AC$4:$AC$69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demanda'!$AG$4:$AG$69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4-4130-8924-51C0302E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93952"/>
        <c:axId val="130823616"/>
      </c:lineChart>
      <c:catAx>
        <c:axId val="1293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3616"/>
        <c:crosses val="autoZero"/>
        <c:auto val="1"/>
        <c:lblAlgn val="ctr"/>
        <c:lblOffset val="100"/>
        <c:noMultiLvlLbl val="0"/>
      </c:catAx>
      <c:valAx>
        <c:axId val="130823616"/>
        <c:scaling>
          <c:orientation val="minMax"/>
          <c:min val="0.60000000000000009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59830767422726"/>
          <c:y val="0.2015748031496063"/>
          <c:w val="0.17440169232577271"/>
          <c:h val="0.45204494559114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[Análise de demanda.xlsx]Análise demanda!Tabela dinâmica6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63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63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5875" cap="rnd">
            <a:solidFill>
              <a:schemeClr val="accent1"/>
            </a:solidFill>
            <a:prstDash val="dash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5875" cap="rnd">
            <a:solidFill>
              <a:schemeClr val="accent2"/>
            </a:solidFill>
            <a:prstDash val="dash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63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63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5875" cap="rnd">
            <a:solidFill>
              <a:schemeClr val="accent1"/>
            </a:solidFill>
            <a:prstDash val="dash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5875" cap="rnd">
            <a:solidFill>
              <a:schemeClr val="accent2"/>
            </a:solidFill>
            <a:prstDash val="dash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63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63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15875" cap="rnd">
            <a:solidFill>
              <a:schemeClr val="accent1"/>
            </a:solidFill>
            <a:prstDash val="dash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5875" cap="rnd">
            <a:solidFill>
              <a:schemeClr val="accent2"/>
            </a:solidFill>
            <a:prstDash val="dash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112877991228295E-2"/>
          <c:y val="9.3983290256656846E-2"/>
          <c:w val="0.76304927030700953"/>
          <c:h val="0.72379972350784394"/>
        </c:manualLayout>
      </c:layout>
      <c:lineChart>
        <c:grouping val="standard"/>
        <c:varyColors val="0"/>
        <c:ser>
          <c:idx val="0"/>
          <c:order val="0"/>
          <c:tx>
            <c:strRef>
              <c:f>'Análise demanda'!$AV$3</c:f>
              <c:strCache>
                <c:ptCount val="1"/>
                <c:pt idx="0">
                  <c:v>Demanda P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cat>
            <c:multiLvlStrRef>
              <c:f>'Análise demanda'!$AU$4:$AU$69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demanda'!$AV$4:$AV$69</c:f>
              <c:numCache>
                <c:formatCode>General</c:formatCode>
                <c:ptCount val="60"/>
                <c:pt idx="0">
                  <c:v>1009.7</c:v>
                </c:pt>
                <c:pt idx="1">
                  <c:v>1306.2</c:v>
                </c:pt>
                <c:pt idx="2">
                  <c:v>1338.1</c:v>
                </c:pt>
                <c:pt idx="3">
                  <c:v>1249.9000000000001</c:v>
                </c:pt>
                <c:pt idx="4">
                  <c:v>1167.5999999999999</c:v>
                </c:pt>
                <c:pt idx="5">
                  <c:v>1212.0999999999999</c:v>
                </c:pt>
                <c:pt idx="6">
                  <c:v>1074.4000000000001</c:v>
                </c:pt>
                <c:pt idx="7">
                  <c:v>1157.5</c:v>
                </c:pt>
                <c:pt idx="8">
                  <c:v>951.7</c:v>
                </c:pt>
                <c:pt idx="9">
                  <c:v>1411.2</c:v>
                </c:pt>
                <c:pt idx="10">
                  <c:v>1302</c:v>
                </c:pt>
                <c:pt idx="11">
                  <c:v>1259.2</c:v>
                </c:pt>
                <c:pt idx="12">
                  <c:v>1034.9000000000001</c:v>
                </c:pt>
                <c:pt idx="13">
                  <c:v>1202</c:v>
                </c:pt>
                <c:pt idx="14">
                  <c:v>1320.5</c:v>
                </c:pt>
                <c:pt idx="15">
                  <c:v>1357.4</c:v>
                </c:pt>
                <c:pt idx="16">
                  <c:v>1438.9</c:v>
                </c:pt>
                <c:pt idx="17">
                  <c:v>964.3</c:v>
                </c:pt>
                <c:pt idx="18">
                  <c:v>964.3</c:v>
                </c:pt>
                <c:pt idx="19">
                  <c:v>990.4</c:v>
                </c:pt>
                <c:pt idx="20">
                  <c:v>990.4</c:v>
                </c:pt>
                <c:pt idx="21">
                  <c:v>1186.2916666666663</c:v>
                </c:pt>
                <c:pt idx="22">
                  <c:v>1373.4</c:v>
                </c:pt>
                <c:pt idx="23">
                  <c:v>1167.5999999999999</c:v>
                </c:pt>
                <c:pt idx="24">
                  <c:v>1167.5999999999999</c:v>
                </c:pt>
                <c:pt idx="25">
                  <c:v>944.2</c:v>
                </c:pt>
                <c:pt idx="26">
                  <c:v>1386.8</c:v>
                </c:pt>
                <c:pt idx="27">
                  <c:v>1381.8</c:v>
                </c:pt>
                <c:pt idx="28">
                  <c:v>1291.9000000000001</c:v>
                </c:pt>
                <c:pt idx="29">
                  <c:v>1162.5999999999999</c:v>
                </c:pt>
                <c:pt idx="30">
                  <c:v>1070.2</c:v>
                </c:pt>
                <c:pt idx="31">
                  <c:v>1070.2</c:v>
                </c:pt>
                <c:pt idx="32">
                  <c:v>1070.2</c:v>
                </c:pt>
                <c:pt idx="33">
                  <c:v>1268.4000000000001</c:v>
                </c:pt>
                <c:pt idx="34">
                  <c:v>1361.6</c:v>
                </c:pt>
                <c:pt idx="35">
                  <c:v>1207.9000000000001</c:v>
                </c:pt>
                <c:pt idx="36">
                  <c:v>1106.3</c:v>
                </c:pt>
                <c:pt idx="37">
                  <c:v>939.1</c:v>
                </c:pt>
                <c:pt idx="38">
                  <c:v>1438.1</c:v>
                </c:pt>
                <c:pt idx="39">
                  <c:v>1278.5</c:v>
                </c:pt>
                <c:pt idx="40">
                  <c:v>1370</c:v>
                </c:pt>
                <c:pt idx="41">
                  <c:v>1199.5</c:v>
                </c:pt>
                <c:pt idx="42">
                  <c:v>1180.2</c:v>
                </c:pt>
                <c:pt idx="43">
                  <c:v>1160.9000000000001</c:v>
                </c:pt>
                <c:pt idx="44">
                  <c:v>1087.8</c:v>
                </c:pt>
                <c:pt idx="45">
                  <c:v>1310.4000000000001</c:v>
                </c:pt>
                <c:pt idx="46">
                  <c:v>1005.5</c:v>
                </c:pt>
                <c:pt idx="47">
                  <c:v>1283.5</c:v>
                </c:pt>
                <c:pt idx="48">
                  <c:v>1258.3</c:v>
                </c:pt>
                <c:pt idx="49">
                  <c:v>1209.3166666666664</c:v>
                </c:pt>
                <c:pt idx="50">
                  <c:v>1231.8347222222221</c:v>
                </c:pt>
                <c:pt idx="51">
                  <c:v>1464.1</c:v>
                </c:pt>
                <c:pt idx="52">
                  <c:v>1411.2</c:v>
                </c:pt>
                <c:pt idx="53">
                  <c:v>1181</c:v>
                </c:pt>
                <c:pt idx="54">
                  <c:v>1134.8</c:v>
                </c:pt>
                <c:pt idx="55">
                  <c:v>1134.8</c:v>
                </c:pt>
                <c:pt idx="56">
                  <c:v>1011.4</c:v>
                </c:pt>
                <c:pt idx="57">
                  <c:v>1127.3</c:v>
                </c:pt>
                <c:pt idx="58">
                  <c:v>1464.1</c:v>
                </c:pt>
                <c:pt idx="59">
                  <c:v>1149.0999999999999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2-4B1C-A51E-2521998ACF51}"/>
            </c:ext>
          </c:extLst>
        </c:ser>
        <c:ser>
          <c:idx val="1"/>
          <c:order val="1"/>
          <c:tx>
            <c:strRef>
              <c:f>'Análise demanda'!$AW$3</c:f>
              <c:strCache>
                <c:ptCount val="1"/>
                <c:pt idx="0">
                  <c:v>Demanda FP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cat>
            <c:multiLvlStrRef>
              <c:f>'Análise demanda'!$AU$4:$AU$69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demanda'!$AW$4:$AW$69</c:f>
              <c:numCache>
                <c:formatCode>General</c:formatCode>
                <c:ptCount val="60"/>
                <c:pt idx="0">
                  <c:v>1139.9000000000001</c:v>
                </c:pt>
                <c:pt idx="1">
                  <c:v>1392.7</c:v>
                </c:pt>
                <c:pt idx="2">
                  <c:v>1455.7</c:v>
                </c:pt>
                <c:pt idx="3">
                  <c:v>1368.4</c:v>
                </c:pt>
                <c:pt idx="4">
                  <c:v>1269.2</c:v>
                </c:pt>
                <c:pt idx="5">
                  <c:v>1268.4000000000001</c:v>
                </c:pt>
                <c:pt idx="6">
                  <c:v>1134</c:v>
                </c:pt>
                <c:pt idx="7">
                  <c:v>1150.8</c:v>
                </c:pt>
                <c:pt idx="8">
                  <c:v>1037.4000000000001</c:v>
                </c:pt>
                <c:pt idx="9">
                  <c:v>1488.5</c:v>
                </c:pt>
                <c:pt idx="10">
                  <c:v>1575.8</c:v>
                </c:pt>
                <c:pt idx="11">
                  <c:v>1581.7</c:v>
                </c:pt>
                <c:pt idx="12">
                  <c:v>1265</c:v>
                </c:pt>
                <c:pt idx="13">
                  <c:v>1454</c:v>
                </c:pt>
                <c:pt idx="14">
                  <c:v>1473.4</c:v>
                </c:pt>
                <c:pt idx="15">
                  <c:v>1482.6</c:v>
                </c:pt>
                <c:pt idx="16">
                  <c:v>1505.3</c:v>
                </c:pt>
                <c:pt idx="17">
                  <c:v>1044.0999999999999</c:v>
                </c:pt>
                <c:pt idx="18">
                  <c:v>1044.0999999999999</c:v>
                </c:pt>
                <c:pt idx="19">
                  <c:v>1017.2</c:v>
                </c:pt>
                <c:pt idx="20">
                  <c:v>1017.2</c:v>
                </c:pt>
                <c:pt idx="21">
                  <c:v>1329.075</c:v>
                </c:pt>
                <c:pt idx="22">
                  <c:v>1625.4</c:v>
                </c:pt>
                <c:pt idx="23">
                  <c:v>1284.4000000000001</c:v>
                </c:pt>
                <c:pt idx="24">
                  <c:v>1284.4000000000001</c:v>
                </c:pt>
                <c:pt idx="25">
                  <c:v>1159.2</c:v>
                </c:pt>
                <c:pt idx="26">
                  <c:v>1601</c:v>
                </c:pt>
                <c:pt idx="27">
                  <c:v>1517</c:v>
                </c:pt>
                <c:pt idx="28">
                  <c:v>1431.4</c:v>
                </c:pt>
                <c:pt idx="29">
                  <c:v>1163.4000000000001</c:v>
                </c:pt>
                <c:pt idx="30">
                  <c:v>1087.8</c:v>
                </c:pt>
                <c:pt idx="31">
                  <c:v>1087.8</c:v>
                </c:pt>
                <c:pt idx="32">
                  <c:v>998.8</c:v>
                </c:pt>
                <c:pt idx="33">
                  <c:v>1454</c:v>
                </c:pt>
                <c:pt idx="34">
                  <c:v>1545.6</c:v>
                </c:pt>
                <c:pt idx="35">
                  <c:v>1427.2</c:v>
                </c:pt>
                <c:pt idx="36">
                  <c:v>1342.3</c:v>
                </c:pt>
                <c:pt idx="37">
                  <c:v>1191.0999999999999</c:v>
                </c:pt>
                <c:pt idx="38">
                  <c:v>1574.2</c:v>
                </c:pt>
                <c:pt idx="39">
                  <c:v>1395.2</c:v>
                </c:pt>
                <c:pt idx="40">
                  <c:v>1450.7</c:v>
                </c:pt>
                <c:pt idx="41">
                  <c:v>1238.2</c:v>
                </c:pt>
                <c:pt idx="42">
                  <c:v>1176</c:v>
                </c:pt>
                <c:pt idx="43">
                  <c:v>1186.9000000000001</c:v>
                </c:pt>
                <c:pt idx="44">
                  <c:v>1116.4000000000001</c:v>
                </c:pt>
                <c:pt idx="45">
                  <c:v>1423.8</c:v>
                </c:pt>
                <c:pt idx="46">
                  <c:v>1101.2</c:v>
                </c:pt>
                <c:pt idx="47">
                  <c:v>1533.8</c:v>
                </c:pt>
                <c:pt idx="48">
                  <c:v>1559.9</c:v>
                </c:pt>
                <c:pt idx="49">
                  <c:v>1039.9000000000001</c:v>
                </c:pt>
                <c:pt idx="50">
                  <c:v>1425.5</c:v>
                </c:pt>
                <c:pt idx="51">
                  <c:v>1664</c:v>
                </c:pt>
                <c:pt idx="52">
                  <c:v>1533</c:v>
                </c:pt>
                <c:pt idx="53">
                  <c:v>1281</c:v>
                </c:pt>
                <c:pt idx="54">
                  <c:v>1175.2</c:v>
                </c:pt>
                <c:pt idx="55">
                  <c:v>946.7</c:v>
                </c:pt>
                <c:pt idx="56">
                  <c:v>1097</c:v>
                </c:pt>
                <c:pt idx="57">
                  <c:v>1261.7</c:v>
                </c:pt>
                <c:pt idx="58">
                  <c:v>1619.5</c:v>
                </c:pt>
                <c:pt idx="59">
                  <c:v>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2-4B1C-A51E-2521998ACF51}"/>
            </c:ext>
          </c:extLst>
        </c:ser>
        <c:ser>
          <c:idx val="2"/>
          <c:order val="2"/>
          <c:tx>
            <c:strRef>
              <c:f>'Análise demanda'!$AX$3</c:f>
              <c:strCache>
                <c:ptCount val="1"/>
                <c:pt idx="0">
                  <c:v>demanda P Média 2015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cat>
            <c:multiLvlStrRef>
              <c:f>'Análise demanda'!$AU$4:$AU$69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demanda'!$AX$4:$AX$69</c:f>
              <c:numCache>
                <c:formatCode>General</c:formatCode>
                <c:ptCount val="60"/>
                <c:pt idx="0">
                  <c:v>1203.3000000000002</c:v>
                </c:pt>
                <c:pt idx="1">
                  <c:v>1203.3000000000002</c:v>
                </c:pt>
                <c:pt idx="2">
                  <c:v>1203.3000000000002</c:v>
                </c:pt>
                <c:pt idx="3">
                  <c:v>1203.3000000000002</c:v>
                </c:pt>
                <c:pt idx="4">
                  <c:v>1203.3000000000002</c:v>
                </c:pt>
                <c:pt idx="5">
                  <c:v>1203.3000000000002</c:v>
                </c:pt>
                <c:pt idx="6">
                  <c:v>1203.3000000000002</c:v>
                </c:pt>
                <c:pt idx="7">
                  <c:v>1203.3000000000002</c:v>
                </c:pt>
                <c:pt idx="8">
                  <c:v>1203.3000000000002</c:v>
                </c:pt>
                <c:pt idx="9">
                  <c:v>1203.3000000000002</c:v>
                </c:pt>
                <c:pt idx="10">
                  <c:v>1203.3000000000002</c:v>
                </c:pt>
                <c:pt idx="11">
                  <c:v>1203.3000000000002</c:v>
                </c:pt>
                <c:pt idx="12">
                  <c:v>1203.3000000000002</c:v>
                </c:pt>
                <c:pt idx="13">
                  <c:v>1203.3000000000002</c:v>
                </c:pt>
                <c:pt idx="14">
                  <c:v>1203.3000000000002</c:v>
                </c:pt>
                <c:pt idx="15">
                  <c:v>1203.3000000000002</c:v>
                </c:pt>
                <c:pt idx="16">
                  <c:v>1203.3000000000002</c:v>
                </c:pt>
                <c:pt idx="17">
                  <c:v>1203.3000000000002</c:v>
                </c:pt>
                <c:pt idx="18">
                  <c:v>1203.3000000000002</c:v>
                </c:pt>
                <c:pt idx="19">
                  <c:v>1203.3000000000002</c:v>
                </c:pt>
                <c:pt idx="20">
                  <c:v>1203.3000000000002</c:v>
                </c:pt>
                <c:pt idx="21">
                  <c:v>1203.3000000000002</c:v>
                </c:pt>
                <c:pt idx="22">
                  <c:v>1203.3000000000002</c:v>
                </c:pt>
                <c:pt idx="23">
                  <c:v>1203.3000000000002</c:v>
                </c:pt>
                <c:pt idx="24">
                  <c:v>1203.3000000000002</c:v>
                </c:pt>
                <c:pt idx="25">
                  <c:v>1203.3000000000002</c:v>
                </c:pt>
                <c:pt idx="26">
                  <c:v>1203.3000000000002</c:v>
                </c:pt>
                <c:pt idx="27">
                  <c:v>1203.3000000000002</c:v>
                </c:pt>
                <c:pt idx="28">
                  <c:v>1203.3000000000002</c:v>
                </c:pt>
                <c:pt idx="29">
                  <c:v>1203.3000000000002</c:v>
                </c:pt>
                <c:pt idx="30">
                  <c:v>1203.3000000000002</c:v>
                </c:pt>
                <c:pt idx="31">
                  <c:v>1203.3000000000002</c:v>
                </c:pt>
                <c:pt idx="32">
                  <c:v>1203.3000000000002</c:v>
                </c:pt>
                <c:pt idx="33">
                  <c:v>1203.3000000000002</c:v>
                </c:pt>
                <c:pt idx="34">
                  <c:v>1203.3000000000002</c:v>
                </c:pt>
                <c:pt idx="35">
                  <c:v>1203.3000000000002</c:v>
                </c:pt>
                <c:pt idx="36">
                  <c:v>1203.3000000000002</c:v>
                </c:pt>
                <c:pt idx="37">
                  <c:v>1203.3000000000002</c:v>
                </c:pt>
                <c:pt idx="38">
                  <c:v>1203.3000000000002</c:v>
                </c:pt>
                <c:pt idx="39">
                  <c:v>1203.3000000000002</c:v>
                </c:pt>
                <c:pt idx="40">
                  <c:v>1203.3000000000002</c:v>
                </c:pt>
                <c:pt idx="41">
                  <c:v>1203.3000000000002</c:v>
                </c:pt>
                <c:pt idx="42">
                  <c:v>1203.3000000000002</c:v>
                </c:pt>
                <c:pt idx="43">
                  <c:v>1203.3000000000002</c:v>
                </c:pt>
                <c:pt idx="44">
                  <c:v>1203.3000000000002</c:v>
                </c:pt>
                <c:pt idx="45">
                  <c:v>1203.3000000000002</c:v>
                </c:pt>
                <c:pt idx="46">
                  <c:v>1203.3000000000002</c:v>
                </c:pt>
                <c:pt idx="47">
                  <c:v>1203.3000000000002</c:v>
                </c:pt>
                <c:pt idx="48">
                  <c:v>1203.3000000000002</c:v>
                </c:pt>
                <c:pt idx="49">
                  <c:v>1203.3000000000002</c:v>
                </c:pt>
                <c:pt idx="50">
                  <c:v>1203.3000000000002</c:v>
                </c:pt>
                <c:pt idx="51">
                  <c:v>1203.3000000000002</c:v>
                </c:pt>
                <c:pt idx="52">
                  <c:v>1203.3000000000002</c:v>
                </c:pt>
                <c:pt idx="53">
                  <c:v>1203.3000000000002</c:v>
                </c:pt>
                <c:pt idx="54">
                  <c:v>1203.3000000000002</c:v>
                </c:pt>
                <c:pt idx="55">
                  <c:v>1203.3000000000002</c:v>
                </c:pt>
                <c:pt idx="56">
                  <c:v>1203.3000000000002</c:v>
                </c:pt>
                <c:pt idx="57">
                  <c:v>1203.3000000000002</c:v>
                </c:pt>
                <c:pt idx="58">
                  <c:v>1203.3000000000002</c:v>
                </c:pt>
                <c:pt idx="59">
                  <c:v>1203.3000000000002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32-4B1C-A51E-2521998ACF51}"/>
            </c:ext>
          </c:extLst>
        </c:ser>
        <c:ser>
          <c:idx val="3"/>
          <c:order val="3"/>
          <c:tx>
            <c:strRef>
              <c:f>'Análise demanda'!$AY$3</c:f>
              <c:strCache>
                <c:ptCount val="1"/>
                <c:pt idx="0">
                  <c:v>Demanda FP Média 2015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cat>
            <c:multiLvlStrRef>
              <c:f>'Análise demanda'!$AU$4:$AU$69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'Análise demanda'!$AY$4:$AY$69</c:f>
              <c:numCache>
                <c:formatCode>General</c:formatCode>
                <c:ptCount val="60"/>
                <c:pt idx="0">
                  <c:v>1321.875</c:v>
                </c:pt>
                <c:pt idx="1">
                  <c:v>1321.875</c:v>
                </c:pt>
                <c:pt idx="2">
                  <c:v>1321.875</c:v>
                </c:pt>
                <c:pt idx="3">
                  <c:v>1321.875</c:v>
                </c:pt>
                <c:pt idx="4">
                  <c:v>1321.875</c:v>
                </c:pt>
                <c:pt idx="5">
                  <c:v>1321.875</c:v>
                </c:pt>
                <c:pt idx="6">
                  <c:v>1321.875</c:v>
                </c:pt>
                <c:pt idx="7">
                  <c:v>1321.875</c:v>
                </c:pt>
                <c:pt idx="8">
                  <c:v>1321.875</c:v>
                </c:pt>
                <c:pt idx="9">
                  <c:v>1321.875</c:v>
                </c:pt>
                <c:pt idx="10">
                  <c:v>1321.875</c:v>
                </c:pt>
                <c:pt idx="11">
                  <c:v>1321.875</c:v>
                </c:pt>
                <c:pt idx="12">
                  <c:v>1321.875</c:v>
                </c:pt>
                <c:pt idx="13">
                  <c:v>1321.875</c:v>
                </c:pt>
                <c:pt idx="14">
                  <c:v>1321.875</c:v>
                </c:pt>
                <c:pt idx="15">
                  <c:v>1321.875</c:v>
                </c:pt>
                <c:pt idx="16">
                  <c:v>1321.875</c:v>
                </c:pt>
                <c:pt idx="17">
                  <c:v>1321.875</c:v>
                </c:pt>
                <c:pt idx="18">
                  <c:v>1321.875</c:v>
                </c:pt>
                <c:pt idx="19">
                  <c:v>1321.875</c:v>
                </c:pt>
                <c:pt idx="20">
                  <c:v>1321.875</c:v>
                </c:pt>
                <c:pt idx="21">
                  <c:v>1321.875</c:v>
                </c:pt>
                <c:pt idx="22">
                  <c:v>1321.875</c:v>
                </c:pt>
                <c:pt idx="23">
                  <c:v>1321.875</c:v>
                </c:pt>
                <c:pt idx="24">
                  <c:v>1321.875</c:v>
                </c:pt>
                <c:pt idx="25">
                  <c:v>1321.875</c:v>
                </c:pt>
                <c:pt idx="26">
                  <c:v>1321.875</c:v>
                </c:pt>
                <c:pt idx="27">
                  <c:v>1321.875</c:v>
                </c:pt>
                <c:pt idx="28">
                  <c:v>1321.875</c:v>
                </c:pt>
                <c:pt idx="29">
                  <c:v>1321.875</c:v>
                </c:pt>
                <c:pt idx="30">
                  <c:v>1321.875</c:v>
                </c:pt>
                <c:pt idx="31">
                  <c:v>1321.875</c:v>
                </c:pt>
                <c:pt idx="32">
                  <c:v>1321.875</c:v>
                </c:pt>
                <c:pt idx="33">
                  <c:v>1321.875</c:v>
                </c:pt>
                <c:pt idx="34">
                  <c:v>1321.875</c:v>
                </c:pt>
                <c:pt idx="35">
                  <c:v>1321.875</c:v>
                </c:pt>
                <c:pt idx="36">
                  <c:v>1321.875</c:v>
                </c:pt>
                <c:pt idx="37">
                  <c:v>1321.875</c:v>
                </c:pt>
                <c:pt idx="38">
                  <c:v>1321.875</c:v>
                </c:pt>
                <c:pt idx="39">
                  <c:v>1321.875</c:v>
                </c:pt>
                <c:pt idx="40">
                  <c:v>1321.875</c:v>
                </c:pt>
                <c:pt idx="41">
                  <c:v>1321.875</c:v>
                </c:pt>
                <c:pt idx="42">
                  <c:v>1321.875</c:v>
                </c:pt>
                <c:pt idx="43">
                  <c:v>1321.875</c:v>
                </c:pt>
                <c:pt idx="44">
                  <c:v>1321.875</c:v>
                </c:pt>
                <c:pt idx="45">
                  <c:v>1321.875</c:v>
                </c:pt>
                <c:pt idx="46">
                  <c:v>1321.875</c:v>
                </c:pt>
                <c:pt idx="47">
                  <c:v>1321.875</c:v>
                </c:pt>
                <c:pt idx="48">
                  <c:v>1321.875</c:v>
                </c:pt>
                <c:pt idx="49">
                  <c:v>1321.875</c:v>
                </c:pt>
                <c:pt idx="50">
                  <c:v>1321.875</c:v>
                </c:pt>
                <c:pt idx="51">
                  <c:v>1321.875</c:v>
                </c:pt>
                <c:pt idx="52">
                  <c:v>1321.875</c:v>
                </c:pt>
                <c:pt idx="53">
                  <c:v>1321.875</c:v>
                </c:pt>
                <c:pt idx="54">
                  <c:v>1321.875</c:v>
                </c:pt>
                <c:pt idx="55">
                  <c:v>1321.875</c:v>
                </c:pt>
                <c:pt idx="56">
                  <c:v>1321.875</c:v>
                </c:pt>
                <c:pt idx="57">
                  <c:v>1321.875</c:v>
                </c:pt>
                <c:pt idx="58">
                  <c:v>1321.875</c:v>
                </c:pt>
                <c:pt idx="59">
                  <c:v>1321.875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32-4B1C-A51E-2521998A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544992"/>
        <c:axId val="1049542496"/>
      </c:lineChart>
      <c:catAx>
        <c:axId val="10495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42496"/>
        <c:crosses val="autoZero"/>
        <c:auto val="1"/>
        <c:lblAlgn val="ctr"/>
        <c:lblOffset val="100"/>
        <c:noMultiLvlLbl val="0"/>
      </c:catAx>
      <c:valAx>
        <c:axId val="1049542496"/>
        <c:scaling>
          <c:orientation val="minMax"/>
          <c:max val="1700"/>
          <c:min val="9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64423298879165"/>
          <c:y val="0.20720562601430548"/>
          <c:w val="0.15474990381902584"/>
          <c:h val="0.5581075915128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chart" Target="../charts/chart4.xml"/><Relationship Id="rId4" Type="http://schemas.openxmlformats.org/officeDocument/2006/relationships/image" Target="../media/image2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71438</xdr:colOff>
      <xdr:row>17</xdr:row>
      <xdr:rowOff>47626</xdr:rowOff>
    </xdr:from>
    <xdr:to>
      <xdr:col>13</xdr:col>
      <xdr:colOff>631032</xdr:colOff>
      <xdr:row>30</xdr:row>
      <xdr:rowOff>59532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D4B7CA-880D-404B-89D9-24538DEDC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11908</xdr:colOff>
      <xdr:row>3</xdr:row>
      <xdr:rowOff>154781</xdr:rowOff>
    </xdr:from>
    <xdr:to>
      <xdr:col>13</xdr:col>
      <xdr:colOff>500062</xdr:colOff>
      <xdr:row>17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5B3CD1-1EF0-429B-BA95-0311BD63A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26194</xdr:colOff>
      <xdr:row>0</xdr:row>
      <xdr:rowOff>0</xdr:rowOff>
    </xdr:from>
    <xdr:to>
      <xdr:col>13</xdr:col>
      <xdr:colOff>501250</xdr:colOff>
      <xdr:row>3</xdr:row>
      <xdr:rowOff>126206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ÊS">
              <a:extLst>
                <a:ext uri="{FF2B5EF4-FFF2-40B4-BE49-F238E27FC236}">
                  <a16:creationId xmlns:a16="http://schemas.microsoft.com/office/drawing/2014/main" id="{F4839BCF-868F-4C69-820C-37147382AE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2132" y="0"/>
              <a:ext cx="5178025" cy="68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71438</xdr:colOff>
      <xdr:row>0</xdr:row>
      <xdr:rowOff>0</xdr:rowOff>
    </xdr:from>
    <xdr:to>
      <xdr:col>32</xdr:col>
      <xdr:colOff>687305</xdr:colOff>
      <xdr:row>25</xdr:row>
      <xdr:rowOff>85149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0157744-1577-46AA-B1A7-4CF7A3E8B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18719" y="0"/>
          <a:ext cx="7009524" cy="4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48921</xdr:rowOff>
    </xdr:from>
    <xdr:to>
      <xdr:col>11</xdr:col>
      <xdr:colOff>1547813</xdr:colOff>
      <xdr:row>42</xdr:row>
      <xdr:rowOff>80730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E0B9A57-8686-4624-9C3E-12B940DA2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835359"/>
          <a:ext cx="8893969" cy="18177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71438</xdr:rowOff>
    </xdr:from>
    <xdr:to>
      <xdr:col>11</xdr:col>
      <xdr:colOff>1539558</xdr:colOff>
      <xdr:row>55</xdr:row>
      <xdr:rowOff>83052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6F2527C-7739-4E42-83F4-62396FBAF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643813"/>
          <a:ext cx="8885714" cy="2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23812</xdr:rowOff>
    </xdr:from>
    <xdr:to>
      <xdr:col>11</xdr:col>
      <xdr:colOff>1559719</xdr:colOff>
      <xdr:row>81</xdr:row>
      <xdr:rowOff>10720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8135730-B36B-42D2-89DB-E3D988D48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239625"/>
          <a:ext cx="8905875" cy="23086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11907</xdr:rowOff>
    </xdr:from>
    <xdr:to>
      <xdr:col>11</xdr:col>
      <xdr:colOff>1524000</xdr:colOff>
      <xdr:row>94</xdr:row>
      <xdr:rowOff>155665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55EC77A-797D-4536-8099-E9FD3F596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49438"/>
          <a:ext cx="8870156" cy="2465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83343</xdr:rowOff>
    </xdr:from>
    <xdr:to>
      <xdr:col>11</xdr:col>
      <xdr:colOff>1559719</xdr:colOff>
      <xdr:row>68</xdr:row>
      <xdr:rowOff>30279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3182EE8B-1092-4851-A07D-E16F556CF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9977437"/>
          <a:ext cx="8905875" cy="2268655"/>
        </a:xfrm>
        <a:prstGeom prst="rect">
          <a:avLst/>
        </a:prstGeom>
      </xdr:spPr>
    </xdr:pic>
    <xdr:clientData/>
  </xdr:twoCellAnchor>
  <xdr:twoCellAnchor>
    <xdr:from>
      <xdr:col>16</xdr:col>
      <xdr:colOff>95248</xdr:colOff>
      <xdr:row>2</xdr:row>
      <xdr:rowOff>51197</xdr:rowOff>
    </xdr:from>
    <xdr:to>
      <xdr:col>21</xdr:col>
      <xdr:colOff>285750</xdr:colOff>
      <xdr:row>16</xdr:row>
      <xdr:rowOff>35718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B66C52-8022-442D-878B-90A826EDB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214313</xdr:colOff>
      <xdr:row>33</xdr:row>
      <xdr:rowOff>83344</xdr:rowOff>
    </xdr:from>
    <xdr:to>
      <xdr:col>21</xdr:col>
      <xdr:colOff>154782</xdr:colOff>
      <xdr:row>54</xdr:row>
      <xdr:rowOff>85726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25E2D5F-3601-4BBF-8FC1-F23C2F8B1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</xdr:colOff>
      <xdr:row>25</xdr:row>
      <xdr:rowOff>140074</xdr:rowOff>
    </xdr:from>
    <xdr:to>
      <xdr:col>9</xdr:col>
      <xdr:colOff>275165</xdr:colOff>
      <xdr:row>46</xdr:row>
      <xdr:rowOff>149598</xdr:rowOff>
    </xdr:to>
    <xdr:graphicFrame macro="">
      <xdr:nvGraphicFramePr>
        <xdr:cNvPr id="4" name="Demanda SBC">
          <a:extLst>
            <a:ext uri="{FF2B5EF4-FFF2-40B4-BE49-F238E27FC236}">
              <a16:creationId xmlns:a16="http://schemas.microsoft.com/office/drawing/2014/main" id="{42C747AC-26DA-4AAA-AD30-1136D71BB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539750</xdr:colOff>
      <xdr:row>3</xdr:row>
      <xdr:rowOff>169333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NO">
              <a:extLst>
                <a:ext uri="{FF2B5EF4-FFF2-40B4-BE49-F238E27FC236}">
                  <a16:creationId xmlns:a16="http://schemas.microsoft.com/office/drawing/2014/main" id="{B3BE927C-0062-4079-93C3-5A7168DFE0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3768917" cy="709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190500</xdr:colOff>
      <xdr:row>4</xdr:row>
      <xdr:rowOff>84666</xdr:rowOff>
    </xdr:from>
    <xdr:to>
      <xdr:col>13</xdr:col>
      <xdr:colOff>539750</xdr:colOff>
      <xdr:row>25</xdr:row>
      <xdr:rowOff>116416</xdr:rowOff>
    </xdr:to>
    <xdr:graphicFrame macro="">
      <xdr:nvGraphicFramePr>
        <xdr:cNvPr id="12" name="Consumo SA">
          <a:extLst>
            <a:ext uri="{FF2B5EF4-FFF2-40B4-BE49-F238E27FC236}">
              <a16:creationId xmlns:a16="http://schemas.microsoft.com/office/drawing/2014/main" id="{2AF3784A-32B6-4F1B-9DF5-C4B40D399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201083</xdr:colOff>
      <xdr:row>25</xdr:row>
      <xdr:rowOff>126999</xdr:rowOff>
    </xdr:from>
    <xdr:to>
      <xdr:col>13</xdr:col>
      <xdr:colOff>539750</xdr:colOff>
      <xdr:row>46</xdr:row>
      <xdr:rowOff>137583</xdr:rowOff>
    </xdr:to>
    <xdr:graphicFrame macro="">
      <xdr:nvGraphicFramePr>
        <xdr:cNvPr id="14" name="Consumo SBC">
          <a:extLst>
            <a:ext uri="{FF2B5EF4-FFF2-40B4-BE49-F238E27FC236}">
              <a16:creationId xmlns:a16="http://schemas.microsoft.com/office/drawing/2014/main" id="{79E0035D-B379-4BD4-BEF3-66FF6FA85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9</xdr:col>
      <xdr:colOff>243417</xdr:colOff>
      <xdr:row>28</xdr:row>
      <xdr:rowOff>149225</xdr:rowOff>
    </xdr:to>
    <xdr:graphicFrame macro="">
      <xdr:nvGraphicFramePr>
        <xdr:cNvPr id="7" name="Demanda SA">
          <a:extLst>
            <a:ext uri="{FF2B5EF4-FFF2-40B4-BE49-F238E27FC236}">
              <a16:creationId xmlns:a16="http://schemas.microsoft.com/office/drawing/2014/main" id="{5C79C8CA-704F-4902-8F9D-1A2798AA4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46</xdr:row>
      <xdr:rowOff>137583</xdr:rowOff>
    </xdr:from>
    <xdr:to>
      <xdr:col>11</xdr:col>
      <xdr:colOff>1492250</xdr:colOff>
      <xdr:row>69</xdr:row>
      <xdr:rowOff>158750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990B6C1-3ADE-4E99-9CEF-A6E1F8E68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70</xdr:row>
      <xdr:rowOff>31750</xdr:rowOff>
    </xdr:from>
    <xdr:to>
      <xdr:col>11</xdr:col>
      <xdr:colOff>1619250</xdr:colOff>
      <xdr:row>88</xdr:row>
      <xdr:rowOff>148166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EB850DE-DD8F-4567-AE42-FB1624CFD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152399</xdr:rowOff>
    </xdr:from>
    <xdr:to>
      <xdr:col>11</xdr:col>
      <xdr:colOff>371475</xdr:colOff>
      <xdr:row>22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EE372B-58C8-4273-B23D-659836BB4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cesilla de souza" refreshedDate="44172.569681712965" createdVersion="6" refreshedVersion="6" minRefreshableVersion="3" recordCount="63" xr:uid="{004AF995-78CE-4AE4-8030-A096D57E1812}">
  <cacheSource type="worksheet">
    <worksheetSource name="Tabela1"/>
  </cacheSource>
  <cacheFields count="7">
    <cacheField name="Data Medicao" numFmtId="14">
      <sharedItems containsSemiMixedTypes="0" containsNonDate="0" containsDate="1" containsString="0" minDate="2015-01-31T00:00:00" maxDate="2020-04-01T00:00:00"/>
    </cacheField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PRECIPITACAO TOTAL, MENSAL(mm)" numFmtId="0">
      <sharedItems containsMixedTypes="1" containsNumber="1" minValue="0.8" maxValue="505.7"/>
    </cacheField>
    <cacheField name="TEMPERATURA MAXIMA MEDIA, MENSAL(Â°C)" numFmtId="0">
      <sharedItems containsSemiMixedTypes="0" containsString="0" containsNumber="1" minValue="20.94" maxValue="31.851613"/>
    </cacheField>
    <cacheField name="TEMPERATURA MEDIA COMPENSADA, MENSAL(Â°C)" numFmtId="0">
      <sharedItems containsSemiMixedTypes="0" containsString="0" containsNumber="1" minValue="15.384667" maxValue="25.218710000000002"/>
    </cacheField>
    <cacheField name="TEMPERATURA MINIMA MEDIA, MENSAL(Â°C)" numFmtId="0">
      <sharedItems containsSemiMixedTypes="0" containsString="0" containsNumber="1" minValue="11.24" maxValue="21.148387"/>
    </cacheField>
  </cacheFields>
  <extLst>
    <ext xmlns:x14="http://schemas.microsoft.com/office/spreadsheetml/2009/9/main" uri="{725AE2AE-9491-48be-B2B4-4EB974FC3084}">
      <x14:pivotCacheDefinition pivotCacheId="202665301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cesilla de souza" refreshedDate="44172.581986805555" createdVersion="6" refreshedVersion="6" minRefreshableVersion="3" recordCount="12" xr:uid="{EDBD3020-AD16-46F0-9D76-EDD045725DFC}">
  <cacheSource type="worksheet">
    <worksheetSource name="Tabela4"/>
  </cacheSource>
  <cacheFields count="8">
    <cacheField name="UC" numFmtId="0">
      <sharedItems count="2">
        <s v="SA"/>
        <s v="SBC"/>
      </sharedItems>
    </cacheField>
    <cacheField name="Ano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Matutino" numFmtId="3">
      <sharedItems containsSemiMixedTypes="0" containsString="0" containsNumber="1" containsInteger="1" minValue="2125" maxValue="8640" count="12">
        <n v="3688"/>
        <n v="3438"/>
        <n v="3652"/>
        <n v="8640"/>
        <n v="3983"/>
        <n v="4237"/>
        <n v="2125"/>
        <n v="2172"/>
        <n v="2413"/>
        <n v="6027"/>
        <n v="2857"/>
        <n v="3077"/>
      </sharedItems>
    </cacheField>
    <cacheField name="Noturno" numFmtId="3">
      <sharedItems containsMixedTypes="1" containsNumber="1" containsInteger="1" minValue="2523" maxValue="5610" count="11">
        <n v="4699"/>
        <n v="4344"/>
        <n v="4647"/>
        <s v="-"/>
        <n v="5271"/>
        <n v="5610"/>
        <n v="2523"/>
        <n v="2672"/>
        <n v="3117"/>
        <n v="3798"/>
        <n v="4178"/>
      </sharedItems>
    </cacheField>
    <cacheField name="Pós" numFmtId="3">
      <sharedItems containsSemiMixedTypes="0" containsString="0" containsNumber="1" containsInteger="1" minValue="277" maxValue="1189"/>
    </cacheField>
    <cacheField name="TOTAL" numFmtId="3">
      <sharedItems containsSemiMixedTypes="0" containsString="0" containsNumber="1" containsInteger="1" minValue="4925" maxValue="11017"/>
    </cacheField>
    <cacheField name="% ref 2015" numFmtId="9">
      <sharedItems containsSemiMixedTypes="0" containsString="0" containsNumber="1" minValue="0.95337011792707993" maxValue="1.5888324873096447"/>
    </cacheField>
    <cacheField name="Obs" numFmtId="3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cesilla de souza" refreshedDate="44175.606387615742" createdVersion="6" refreshedVersion="6" minRefreshableVersion="3" recordCount="128" xr:uid="{07933B7F-D28B-49AB-A0C2-4E7B6B78C986}">
  <cacheSource type="worksheet">
    <worksheetSource name="Dados_SA"/>
  </cacheSource>
  <cacheFields count="46">
    <cacheField name="UC" numFmtId="9">
      <sharedItems count="3">
        <s v="SA"/>
        <s v="SBC"/>
        <s v="UC" u="1"/>
      </sharedItems>
    </cacheField>
    <cacheField name="DATA" numFmtId="14">
      <sharedItems containsDate="1" containsMixedTypes="1" minDate="2015-01-01T00:00:00" maxDate="2020-04-02T00:00:00"/>
    </cacheField>
    <cacheField name="ANO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ERIODO" numFmtId="0">
      <sharedItems containsSemiMixedTypes="0" containsString="0" containsNumber="1" containsInteger="1" minValue="27" maxValue="33"/>
    </cacheField>
    <cacheField name="PIS/PASEP" numFmtId="0">
      <sharedItems containsString="0" containsBlank="1" containsNumber="1" minValue="2.3E-3" maxValue="9.2999999999999999E-2"/>
    </cacheField>
    <cacheField name="COFINS" numFmtId="0">
      <sharedItems containsString="0" containsBlank="1" containsNumber="1" minValue="1.06E-2" maxValue="0.52900000000000003"/>
    </cacheField>
    <cacheField name="ICMS" numFmtId="0">
      <sharedItems containsSemiMixedTypes="0" containsString="0" containsNumber="1" minValue="0.18" maxValue="0.18"/>
    </cacheField>
    <cacheField name="DEMANDA_CONTRATADA_P" numFmtId="0">
      <sharedItems containsSemiMixedTypes="0" containsString="0" containsNumber="1" containsInteger="1" minValue="400" maxValue="1400"/>
    </cacheField>
    <cacheField name="DEMANDA_CONTRATADA_FP" numFmtId="0">
      <sharedItems containsSemiMixedTypes="0" containsString="0" containsNumber="1" containsInteger="1" minValue="400" maxValue="1400"/>
    </cacheField>
    <cacheField name="DEMANDA_REGISTRADA_P" numFmtId="0">
      <sharedItems containsSemiMixedTypes="0" containsString="0" containsNumber="1" minValue="291.5" maxValue="1464.1"/>
    </cacheField>
    <cacheField name="DEMANDA_REGISTRADA_FP" numFmtId="0">
      <sharedItems containsSemiMixedTypes="0" containsString="0" containsNumber="1" minValue="304.10000000000002" maxValue="1664"/>
    </cacheField>
    <cacheField name="DEMANDA_ISENTA_P" numFmtId="0">
      <sharedItems containsNonDate="0" containsString="0" containsBlank="1"/>
    </cacheField>
    <cacheField name="DEMANDA_ISENTA_FP" numFmtId="0">
      <sharedItems containsNonDate="0" containsString="0" containsBlank="1"/>
    </cacheField>
    <cacheField name="TAR_TUSD_KW_P" numFmtId="0">
      <sharedItems containsString="0" containsBlank="1" containsNumber="1" minValue="7.2061299999999999" maxValue="12.96"/>
    </cacheField>
    <cacheField name="TAR_TUSD_KW_FP" numFmtId="0">
      <sharedItems containsNonDate="0" containsString="0" containsBlank="1"/>
    </cacheField>
    <cacheField name="ENERGIA_PONTA" numFmtId="0">
      <sharedItems containsString="0" containsBlank="1" containsNumber="1" minValue="8301.9" maxValue="84936.2"/>
    </cacheField>
    <cacheField name="ENERGIA_FPONTA" numFmtId="0">
      <sharedItems containsString="0" containsBlank="1" containsNumber="1" minValue="103051.4" maxValue="629192.69999999995"/>
    </cacheField>
    <cacheField name="TAR_TUSD_KWH_P" numFmtId="0">
      <sharedItems containsString="0" containsBlank="1" containsNumber="1" minValue="0.30130000000000001" maxValue="0.56227000000000005"/>
    </cacheField>
    <cacheField name="TAR_TUSD_KWH_FP" numFmtId="0">
      <sharedItems containsString="0" containsBlank="1" containsNumber="1" minValue="2.179E-2" maxValue="7.2061299999999999"/>
    </cacheField>
    <cacheField name="TAR_TE_KWH_P" numFmtId="0">
      <sharedItems containsString="0" containsBlank="1" containsNumber="1" minValue="0.27045999999999998" maxValue="0.41154000000000002"/>
    </cacheField>
    <cacheField name="TAR_TE_KWH_FP" numFmtId="0">
      <sharedItems containsString="0" containsBlank="1" containsNumber="1" minValue="0.16225999999999999" maxValue="0.2622666666666667"/>
    </cacheField>
    <cacheField name="REAT_KVAR_PONTA" numFmtId="0">
      <sharedItems containsString="0" containsBlank="1" containsNumber="1" minValue="0" maxValue="19703.7"/>
    </cacheField>
    <cacheField name="REAT_KVAR_FPONTA" numFmtId="0">
      <sharedItems containsString="0" containsBlank="1" containsNumber="1" minValue="0" maxValue="135765.4"/>
    </cacheField>
    <cacheField name="TAR_REAT_PONTA" numFmtId="0">
      <sharedItems containsNonDate="0" containsString="0" containsBlank="1"/>
    </cacheField>
    <cacheField name="TAR_REAT_FPONTA" numFmtId="0">
      <sharedItems containsNonDate="0" containsString="0" containsBlank="1"/>
    </cacheField>
    <cacheField name="Valor da Fatura" numFmtId="4">
      <sharedItems containsSemiMixedTypes="0" containsString="0" containsNumber="1" minValue="44655.7" maxValue="337241.77"/>
    </cacheField>
    <cacheField name="Consumo Total" numFmtId="4">
      <sharedItems containsSemiMixedTypes="0" containsString="0" containsNumber="1" minValue="125091.8" maxValue="714128.9"/>
    </cacheField>
    <cacheField name="Acrescimo_Bamar" numFmtId="4">
      <sharedItems containsString="0" containsBlank="1" containsNumber="1" minValue="0" maxValue="11407.12"/>
    </cacheField>
    <cacheField name="Acrescimo_Bverm1" numFmtId="4">
      <sharedItems containsString="0" containsBlank="1" containsNumber="1" minValue="0" maxValue="135742.28"/>
    </cacheField>
    <cacheField name="Acrescimo_Bverm2" numFmtId="4">
      <sharedItems containsString="0" containsBlank="1" containsNumber="1" minValue="0" maxValue="104746.78"/>
    </cacheField>
    <cacheField name="Categoria Tarifa" numFmtId="0">
      <sharedItems/>
    </cacheField>
    <cacheField name="% Demanda contratada P" numFmtId="9">
      <sharedItems containsSemiMixedTypes="0" containsString="0" containsNumber="1" minValue="0.58299999999999996" maxValue="1.5349999999999999"/>
    </cacheField>
    <cacheField name="% Demanda contratada FP" numFmtId="9">
      <sharedItems containsSemiMixedTypes="0" containsString="0" containsNumber="1" minValue="0.60820000000000007" maxValue="1.3965000000000001"/>
    </cacheField>
    <cacheField name="Acima 5%_P" numFmtId="0">
      <sharedItems containsSemiMixedTypes="0" containsString="0" containsNumber="1" containsInteger="1" minValue="0" maxValue="1"/>
    </cacheField>
    <cacheField name="Acima 5%_FP" numFmtId="0">
      <sharedItems containsSemiMixedTypes="0" containsString="0" containsNumber="1" containsInteger="1" minValue="0" maxValue="1"/>
    </cacheField>
    <cacheField name="%Acresc_amar" numFmtId="9">
      <sharedItems containsSemiMixedTypes="0" containsString="0" containsNumber="1" minValue="0" maxValue="4.8316140699594438E-2"/>
    </cacheField>
    <cacheField name="%Acresc_verm1" numFmtId="9">
      <sharedItems containsSemiMixedTypes="0" containsString="0" containsNumber="1" minValue="0" maxValue="0.58071709174939379"/>
    </cacheField>
    <cacheField name="%Acresc_verm2" numFmtId="9">
      <sharedItems containsSemiMixedTypes="0" containsString="0" containsNumber="1" minValue="0" maxValue="0.456149153644206"/>
    </cacheField>
    <cacheField name="Ref" numFmtId="9">
      <sharedItems containsSemiMixedTypes="0" containsString="0" containsNumber="1" minValue="1.05" maxValue="1.05"/>
    </cacheField>
    <cacheField name="Ref2" numFmtId="9">
      <sharedItems containsSemiMixedTypes="0" containsString="0" containsNumber="1" containsInteger="1" minValue="1" maxValue="1"/>
    </cacheField>
    <cacheField name="Exced" numFmtId="9">
      <sharedItems/>
    </cacheField>
    <cacheField name="Contagem Exced" numFmtId="0">
      <sharedItems containsSemiMixedTypes="0" containsString="0" containsNumber="1" containsInteger="1" minValue="0" maxValue="1"/>
    </cacheField>
    <cacheField name="Média 2015 demanda P" numFmtId="0">
      <sharedItems containsSemiMixedTypes="0" containsString="0" containsNumber="1" minValue="410.04999999999995" maxValue="1203.3000000000002"/>
    </cacheField>
    <cacheField name="Média 2015 FP" numFmtId="0">
      <sharedItems containsSemiMixedTypes="0" containsString="0" containsNumber="1" minValue="410.82499999999999" maxValue="1321.875"/>
    </cacheField>
    <cacheField name="Média 2015 consumo" numFmtId="0">
      <sharedItems containsSemiMixedTypes="0" containsString="0" containsNumber="1" minValue="157561.57999999999" maxValue="501634.58"/>
    </cacheField>
  </cacheFields>
  <extLst>
    <ext xmlns:x14="http://schemas.microsoft.com/office/spreadsheetml/2009/9/main" uri="{725AE2AE-9491-48be-B2B4-4EB974FC3084}">
      <x14:pivotCacheDefinition pivotCacheId="13729878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d v="2015-01-31T00:00:00"/>
    <x v="0"/>
    <x v="0"/>
    <n v="156.19999999999999"/>
    <n v="31.490323"/>
    <n v="25.218064999999999"/>
    <n v="21.148387"/>
  </r>
  <r>
    <d v="2015-02-28T00:00:00"/>
    <x v="1"/>
    <x v="0"/>
    <n v="273"/>
    <n v="29.007142999999999"/>
    <n v="23.555"/>
    <n v="19.935714000000001"/>
  </r>
  <r>
    <d v="2015-03-31T00:00:00"/>
    <x v="2"/>
    <x v="0"/>
    <n v="332.7"/>
    <n v="27.248387000000001"/>
    <n v="22.167096999999998"/>
    <n v="19.012903000000001"/>
  </r>
  <r>
    <d v="2015-04-30T00:00:00"/>
    <x v="3"/>
    <x v="0"/>
    <n v="108.1"/>
    <n v="25.966667000000001"/>
    <n v="20.837333000000001"/>
    <n v="17.783332999999999"/>
  </r>
  <r>
    <d v="2015-05-31T00:00:00"/>
    <x v="4"/>
    <x v="0"/>
    <n v="50.7"/>
    <n v="22.867742"/>
    <n v="18.596774"/>
    <n v="15.612902999999999"/>
  </r>
  <r>
    <d v="2015-06-30T00:00:00"/>
    <x v="5"/>
    <x v="0"/>
    <n v="20.3"/>
    <n v="23.22"/>
    <n v="18.07"/>
    <n v="14.073333"/>
  </r>
  <r>
    <d v="2015-07-31T00:00:00"/>
    <x v="6"/>
    <x v="0"/>
    <n v="65.099999999999994"/>
    <n v="22.832257999999999"/>
    <n v="17.887097000000001"/>
    <n v="14.209676999999999"/>
  </r>
  <r>
    <d v="2015-08-31T00:00:00"/>
    <x v="7"/>
    <x v="0"/>
    <n v="31.6"/>
    <n v="26.316129"/>
    <n v="19.899999999999999"/>
    <n v="14.887097000000001"/>
  </r>
  <r>
    <d v="2015-09-30T00:00:00"/>
    <x v="8"/>
    <x v="0"/>
    <n v="201.7"/>
    <n v="26.673333"/>
    <n v="21.000667"/>
    <n v="16.62"/>
  </r>
  <r>
    <d v="2015-10-31T00:00:00"/>
    <x v="9"/>
    <x v="0"/>
    <n v="92.1"/>
    <n v="27.832257999999999"/>
    <n v="21.905805999999998"/>
    <n v="17.819355000000002"/>
  </r>
  <r>
    <d v="2015-11-30T00:00:00"/>
    <x v="10"/>
    <x v="0"/>
    <n v="247.2"/>
    <n v="27.04"/>
    <n v="22.193999999999999"/>
    <n v="18.850000000000001"/>
  </r>
  <r>
    <d v="2015-12-31T00:00:00"/>
    <x v="11"/>
    <x v="0"/>
    <n v="318.10000000000002"/>
    <n v="28.961290000000002"/>
    <n v="23.519355000000001"/>
    <n v="19.741935000000002"/>
  </r>
  <r>
    <d v="2016-01-31T00:00:00"/>
    <x v="0"/>
    <x v="1"/>
    <n v="175.9"/>
    <n v="27.929031999999999"/>
    <n v="22.957419000000002"/>
    <n v="19.161290000000001"/>
  </r>
  <r>
    <d v="2016-02-29T00:00:00"/>
    <x v="1"/>
    <x v="1"/>
    <n v="275.10000000000002"/>
    <n v="29.817240999999999"/>
    <n v="24.46"/>
    <n v="20.555171999999999"/>
  </r>
  <r>
    <d v="2016-03-31T00:00:00"/>
    <x v="2"/>
    <x v="1"/>
    <n v="256.60000000000002"/>
    <n v="28.548387000000002"/>
    <n v="23.161290000000001"/>
    <n v="19.2"/>
  </r>
  <r>
    <d v="2016-04-30T00:00:00"/>
    <x v="3"/>
    <x v="1"/>
    <n v="2.4"/>
    <n v="29.456666999999999"/>
    <n v="23.673999999999999"/>
    <n v="18.966667000000001"/>
  </r>
  <r>
    <d v="2016-05-31T00:00:00"/>
    <x v="4"/>
    <x v="1"/>
    <n v="105.7"/>
    <n v="22.887097000000001"/>
    <n v="18.039355"/>
    <n v="14.283871"/>
  </r>
  <r>
    <d v="2016-06-30T00:00:00"/>
    <x v="5"/>
    <x v="1"/>
    <n v="206.8"/>
    <n v="20.94"/>
    <n v="15.384667"/>
    <n v="11.24"/>
  </r>
  <r>
    <d v="2016-07-31T00:00:00"/>
    <x v="6"/>
    <x v="1"/>
    <n v="6.4"/>
    <n v="23.93871"/>
    <n v="17.685805999999999"/>
    <n v="12.554838999999999"/>
  </r>
  <r>
    <d v="2016-08-31T00:00:00"/>
    <x v="7"/>
    <x v="1"/>
    <n v="82.4"/>
    <n v="24.341934999999999"/>
    <n v="18.075483999999999"/>
    <n v="13.035484"/>
  </r>
  <r>
    <d v="2016-09-30T00:00:00"/>
    <x v="8"/>
    <x v="1"/>
    <n v="22.2"/>
    <n v="24.476666999999999"/>
    <n v="18.610666999999999"/>
    <n v="14.32"/>
  </r>
  <r>
    <d v="2016-10-31T00:00:00"/>
    <x v="9"/>
    <x v="1"/>
    <n v="104.1"/>
    <n v="26.458065000000001"/>
    <n v="20.498065"/>
    <n v="16.174194"/>
  </r>
  <r>
    <d v="2016-11-30T00:00:00"/>
    <x v="10"/>
    <x v="1"/>
    <n v="166.8"/>
    <n v="26.516667000000002"/>
    <n v="20.683333000000001"/>
    <n v="16.399999999999999"/>
  </r>
  <r>
    <d v="2016-12-31T00:00:00"/>
    <x v="11"/>
    <x v="1"/>
    <n v="165.4"/>
    <n v="29.680644999999998"/>
    <n v="23.319355000000002"/>
    <n v="18.432258000000001"/>
  </r>
  <r>
    <d v="2017-01-31T00:00:00"/>
    <x v="0"/>
    <x v="2"/>
    <n v="454"/>
    <n v="28.219355"/>
    <n v="23.241935000000002"/>
    <n v="19.093547999999998"/>
  </r>
  <r>
    <d v="2017-02-28T00:00:00"/>
    <x v="1"/>
    <x v="2"/>
    <n v="127.3"/>
    <n v="30.475000000000001"/>
    <n v="24.572143000000001"/>
    <n v="19.614286"/>
  </r>
  <r>
    <d v="2017-03-31T00:00:00"/>
    <x v="2"/>
    <x v="2"/>
    <n v="160.4"/>
    <n v="27.341934999999999"/>
    <n v="22.101935000000001"/>
    <n v="17.764516"/>
  </r>
  <r>
    <d v="2017-04-30T00:00:00"/>
    <x v="3"/>
    <x v="2"/>
    <n v="143.1"/>
    <n v="24.896667000000001"/>
    <n v="20.326000000000001"/>
    <n v="17.036667000000001"/>
  </r>
  <r>
    <d v="2017-05-31T00:00:00"/>
    <x v="4"/>
    <x v="2"/>
    <n v="153.4"/>
    <n v="23.141935"/>
    <n v="18.810323"/>
    <n v="15.609677"/>
  </r>
  <r>
    <d v="2017-06-30T00:00:00"/>
    <x v="5"/>
    <x v="2"/>
    <n v="102.9"/>
    <n v="22.793333000000001"/>
    <n v="17.851333"/>
    <n v="14.163333"/>
  </r>
  <r>
    <d v="2017-07-31T00:00:00"/>
    <x v="6"/>
    <x v="2"/>
    <n v="0.8"/>
    <n v="22.229032"/>
    <n v="16.613548000000002"/>
    <n v="12.306452"/>
  </r>
  <r>
    <d v="2017-08-31T00:00:00"/>
    <x v="7"/>
    <x v="2"/>
    <n v="60.5"/>
    <n v="22.909676999999999"/>
    <n v="17.690968000000002"/>
    <n v="13.683871"/>
  </r>
  <r>
    <d v="2017-09-30T00:00:00"/>
    <x v="8"/>
    <x v="2"/>
    <n v="11.1"/>
    <n v="28.72"/>
    <n v="21.510667000000002"/>
    <n v="16.27"/>
  </r>
  <r>
    <d v="2017-10-31T00:00:00"/>
    <x v="9"/>
    <x v="2"/>
    <n v="149.4"/>
    <n v="27.129031999999999"/>
    <n v="21.688386999999999"/>
    <n v="17.387097000000001"/>
  </r>
  <r>
    <d v="2017-11-30T00:00:00"/>
    <x v="10"/>
    <x v="2"/>
    <n v="159.80000000000001"/>
    <n v="26.76"/>
    <n v="21.007999999999999"/>
    <n v="16.603332999999999"/>
  </r>
  <r>
    <d v="2017-12-31T00:00:00"/>
    <x v="11"/>
    <x v="2"/>
    <n v="151.30000000000001"/>
    <n v="27.932258000000001"/>
    <n v="22.865805999999999"/>
    <n v="19.393547999999999"/>
  </r>
  <r>
    <d v="2018-01-31T00:00:00"/>
    <x v="0"/>
    <x v="3"/>
    <n v="244.3"/>
    <n v="27.993548000000001"/>
    <n v="23.039355"/>
    <n v="19.529032000000001"/>
  </r>
  <r>
    <d v="2018-02-28T00:00:00"/>
    <x v="1"/>
    <x v="3"/>
    <n v="102.2"/>
    <n v="27.464286000000001"/>
    <n v="22.542857000000001"/>
    <n v="18.932143"/>
  </r>
  <r>
    <d v="2018-03-31T00:00:00"/>
    <x v="2"/>
    <x v="3"/>
    <n v="220.5"/>
    <n v="29.564516000000001"/>
    <n v="23.847097000000002"/>
    <n v="20.274194000000001"/>
  </r>
  <r>
    <d v="2018-04-30T00:00:00"/>
    <x v="3"/>
    <x v="3"/>
    <n v="28"/>
    <n v="26.876667000000001"/>
    <n v="21.356000000000002"/>
    <n v="17.753333000000001"/>
  </r>
  <r>
    <d v="2018-05-31T00:00:00"/>
    <x v="4"/>
    <x v="3"/>
    <n v="10.8"/>
    <n v="25.022580999999999"/>
    <n v="19.222581000000002"/>
    <n v="15.241935"/>
  </r>
  <r>
    <d v="2018-06-30T00:00:00"/>
    <x v="5"/>
    <x v="3"/>
    <n v="12.7"/>
    <n v="23.516667000000002"/>
    <n v="18.559999999999999"/>
    <n v="14.633333"/>
  </r>
  <r>
    <d v="2018-07-31T00:00:00"/>
    <x v="6"/>
    <x v="3"/>
    <n v="24.2"/>
    <n v="25.070968000000001"/>
    <n v="18.672257999999999"/>
    <n v="14.151612999999999"/>
  </r>
  <r>
    <d v="2018-08-31T00:00:00"/>
    <x v="7"/>
    <x v="3"/>
    <n v="48.8"/>
    <n v="22.287096999999999"/>
    <n v="17.13871"/>
    <n v="13.277419"/>
  </r>
  <r>
    <d v="2018-09-30T00:00:00"/>
    <x v="8"/>
    <x v="3"/>
    <n v="72.8"/>
    <n v="25.83"/>
    <n v="19.378667"/>
    <n v="15.543333000000001"/>
  </r>
  <r>
    <d v="2018-10-31T00:00:00"/>
    <x v="9"/>
    <x v="3"/>
    <n v="121"/>
    <n v="24.780645"/>
    <n v="19.898710000000001"/>
    <n v="16.835484000000001"/>
  </r>
  <r>
    <d v="2018-11-30T00:00:00"/>
    <x v="10"/>
    <x v="3"/>
    <n v="101.7"/>
    <n v="26.426666999999998"/>
    <n v="21.135999999999999"/>
    <n v="17.786667000000001"/>
  </r>
  <r>
    <d v="2018-12-31T00:00:00"/>
    <x v="11"/>
    <x v="3"/>
    <n v="191.1"/>
    <n v="29.783871000000001"/>
    <n v="23.609677000000001"/>
    <n v="19.254839"/>
  </r>
  <r>
    <d v="2019-01-31T00:00:00"/>
    <x v="0"/>
    <x v="4"/>
    <n v="305.89999999999998"/>
    <n v="31.851613"/>
    <n v="25.218710000000002"/>
    <n v="20.422581000000001"/>
  </r>
  <r>
    <d v="2019-02-28T00:00:00"/>
    <x v="1"/>
    <x v="4"/>
    <n v="323.2"/>
    <n v="28.557143"/>
    <n v="23.212143000000001"/>
    <n v="19.557143"/>
  </r>
  <r>
    <d v="2019-03-31T00:00:00"/>
    <x v="2"/>
    <x v="4"/>
    <n v="239.6"/>
    <n v="28.416129000000002"/>
    <n v="22.88129"/>
    <n v="19.267741999999998"/>
  </r>
  <r>
    <d v="2019-04-30T00:00:00"/>
    <x v="3"/>
    <x v="4"/>
    <n v="148.1"/>
    <n v="27.83"/>
    <n v="22.485333000000001"/>
    <n v="18.920000000000002"/>
  </r>
  <r>
    <d v="2019-05-31T00:00:00"/>
    <x v="4"/>
    <x v="4"/>
    <n v="53.7"/>
    <n v="25.635484000000002"/>
    <n v="20.631613000000002"/>
    <n v="17.183871"/>
  </r>
  <r>
    <d v="2019-06-30T00:00:00"/>
    <x v="5"/>
    <x v="4"/>
    <n v="42.3"/>
    <n v="24.293333000000001"/>
    <n v="19.146667000000001"/>
    <n v="15.296666999999999"/>
  </r>
  <r>
    <d v="2019-07-31T00:00:00"/>
    <x v="6"/>
    <x v="4"/>
    <n v="156"/>
    <n v="23.170967999999998"/>
    <n v="17.211613"/>
    <n v="12.848387000000001"/>
  </r>
  <r>
    <d v="2019-08-31T00:00:00"/>
    <x v="7"/>
    <x v="4"/>
    <n v="3.3"/>
    <n v="23.880645000000001"/>
    <n v="17.861934999999999"/>
    <n v="13.558064999999999"/>
  </r>
  <r>
    <d v="2019-09-30T00:00:00"/>
    <x v="8"/>
    <x v="4"/>
    <n v="78.5"/>
    <n v="25.873332999999999"/>
    <n v="20.139333000000001"/>
    <n v="16.043333000000001"/>
  </r>
  <r>
    <d v="2019-10-31T00:00:00"/>
    <x v="9"/>
    <x v="4"/>
    <n v="46.2"/>
    <n v="29.103225999999999"/>
    <n v="22.460645"/>
    <n v="17.858065"/>
  </r>
  <r>
    <d v="2019-11-30T00:00:00"/>
    <x v="10"/>
    <x v="4"/>
    <n v="111.2"/>
    <n v="27.293333000000001"/>
    <n v="21.557333"/>
    <n v="17.906666999999999"/>
  </r>
  <r>
    <d v="2019-12-31T00:00:00"/>
    <x v="11"/>
    <x v="4"/>
    <n v="266.5"/>
    <n v="28.258064999999998"/>
    <n v="22.752903"/>
    <n v="18.887097000000001"/>
  </r>
  <r>
    <d v="2020-01-31T00:00:00"/>
    <x v="0"/>
    <x v="5"/>
    <n v="287.39999999999998"/>
    <n v="28.503226000000002"/>
    <n v="23.214193999999999"/>
    <n v="19.383870999999999"/>
  </r>
  <r>
    <d v="2020-02-29T00:00:00"/>
    <x v="1"/>
    <x v="5"/>
    <n v="505.7"/>
    <n v="27.010345000000001"/>
    <n v="22.578261000000001"/>
    <n v="19.526087"/>
  </r>
  <r>
    <d v="2020-03-31T00:00:00"/>
    <x v="2"/>
    <x v="5"/>
    <s v="null"/>
    <n v="27.826087000000001"/>
    <n v="21.89913"/>
    <n v="18.173912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n v="856"/>
    <n v="9243"/>
    <n v="1"/>
    <m/>
  </r>
  <r>
    <x v="0"/>
    <x v="1"/>
    <x v="1"/>
    <x v="1"/>
    <n v="1030"/>
    <n v="8812"/>
    <n v="0.95337011792707993"/>
    <m/>
  </r>
  <r>
    <x v="0"/>
    <x v="2"/>
    <x v="2"/>
    <x v="2"/>
    <n v="1189"/>
    <n v="9488"/>
    <n v="1.0265065454938873"/>
    <m/>
  </r>
  <r>
    <x v="0"/>
    <x v="3"/>
    <x v="3"/>
    <x v="3"/>
    <n v="876"/>
    <n v="9516"/>
    <n v="1.029535864978903"/>
    <s v="*"/>
  </r>
  <r>
    <x v="0"/>
    <x v="4"/>
    <x v="4"/>
    <x v="4"/>
    <n v="971"/>
    <n v="10225"/>
    <n v="1.1062425619387646"/>
    <s v="**"/>
  </r>
  <r>
    <x v="0"/>
    <x v="5"/>
    <x v="5"/>
    <x v="5"/>
    <n v="1170"/>
    <n v="11017"/>
    <n v="1.1919290273720653"/>
    <s v="**"/>
  </r>
  <r>
    <x v="1"/>
    <x v="0"/>
    <x v="6"/>
    <x v="6"/>
    <n v="277"/>
    <n v="4925"/>
    <n v="1"/>
    <m/>
  </r>
  <r>
    <x v="1"/>
    <x v="1"/>
    <x v="7"/>
    <x v="7"/>
    <n v="398"/>
    <n v="5242"/>
    <n v="1.0643654822335025"/>
    <m/>
  </r>
  <r>
    <x v="1"/>
    <x v="2"/>
    <x v="8"/>
    <x v="8"/>
    <n v="328"/>
    <n v="5858"/>
    <n v="1.1894416243654822"/>
    <m/>
  </r>
  <r>
    <x v="1"/>
    <x v="3"/>
    <x v="9"/>
    <x v="3"/>
    <n v="412"/>
    <n v="6439"/>
    <n v="1.3074111675126903"/>
    <s v="*"/>
  </r>
  <r>
    <x v="1"/>
    <x v="4"/>
    <x v="10"/>
    <x v="9"/>
    <n v="475"/>
    <n v="7130"/>
    <n v="1.4477157360406092"/>
    <s v="**"/>
  </r>
  <r>
    <x v="1"/>
    <x v="5"/>
    <x v="11"/>
    <x v="10"/>
    <n v="570"/>
    <n v="7825"/>
    <n v="1.5888324873096447"/>
    <s v="**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d v="2015-01-01T00:00:00"/>
    <x v="0"/>
    <x v="0"/>
    <n v="31"/>
    <n v="6.6E-3"/>
    <n v="3.0200000000000001E-2"/>
    <n v="0.18"/>
    <n v="1400"/>
    <n v="1400"/>
    <n v="1009.7"/>
    <n v="1139.9000000000001"/>
    <m/>
    <m/>
    <n v="7.2863600000000002"/>
    <m/>
    <n v="41511.5"/>
    <n v="421700.20000000007"/>
    <n v="0.30453000000000002"/>
    <n v="2.18E-2"/>
    <n v="0.28789709677419351"/>
    <n v="0.17969709677419357"/>
    <n v="2489.1"/>
    <n v="23603.600000000002"/>
    <m/>
    <m/>
    <n v="142229.76000000001"/>
    <n v="463211.70000000007"/>
    <m/>
    <n v="18929.25"/>
    <n v="35137.72"/>
    <s v="Horária Verde"/>
    <n v="0.7212142857142857"/>
    <n v="0.81421428571428578"/>
    <n v="0"/>
    <n v="0"/>
    <n v="0"/>
    <n v="0.13308923533302733"/>
    <n v="0.24704900015299189"/>
    <n v="1.05"/>
    <n v="1"/>
    <s v=""/>
    <n v="0"/>
    <n v="1203.3000000000002"/>
    <n v="1321.875"/>
    <n v="501634.58"/>
  </r>
  <r>
    <x v="0"/>
    <d v="2015-02-01T00:00:00"/>
    <x v="0"/>
    <x v="1"/>
    <n v="28"/>
    <n v="1.2500000000000001E-2"/>
    <n v="5.7000000000000002E-2"/>
    <n v="0.18"/>
    <n v="1400"/>
    <n v="1400"/>
    <n v="1306.2"/>
    <n v="1392.7"/>
    <m/>
    <m/>
    <n v="7.77"/>
    <m/>
    <n v="56469.2"/>
    <n v="457617.1"/>
    <n v="0.32399"/>
    <n v="2.179E-2"/>
    <n v="0.30051"/>
    <n v="0.19231000000000001"/>
    <n v="5674.2"/>
    <n v="35088.9"/>
    <m/>
    <m/>
    <n v="180765.99"/>
    <n v="514086.3"/>
    <m/>
    <n v="104973.9"/>
    <m/>
    <s v="Horária Verde"/>
    <n v="0.93300000000000005"/>
    <n v="0.99478571428571427"/>
    <n v="0"/>
    <n v="0"/>
    <n v="0"/>
    <n v="0.58071709174939379"/>
    <n v="0"/>
    <n v="1.05"/>
    <n v="1"/>
    <s v=""/>
    <n v="0"/>
    <n v="1203.3000000000002"/>
    <n v="1321.875"/>
    <n v="501634.58"/>
  </r>
  <r>
    <x v="0"/>
    <d v="2015-03-01T00:00:00"/>
    <x v="0"/>
    <x v="2"/>
    <n v="31"/>
    <n v="9.4999999999999998E-3"/>
    <n v="4.36E-2"/>
    <n v="0.18"/>
    <n v="1400"/>
    <n v="1400"/>
    <n v="1338.1"/>
    <n v="1455.7"/>
    <m/>
    <m/>
    <n v="7.9582100000000002"/>
    <m/>
    <n v="66738.600000000006"/>
    <n v="468047.60000000003"/>
    <n v="0.36119000000000001"/>
    <n v="5.0700000000000002E-2"/>
    <n v="0.34238416979079567"/>
    <n v="0.21264895227050012"/>
    <n v="7578.5"/>
    <n v="44565.1"/>
    <m/>
    <m/>
    <n v="229632.74"/>
    <n v="534786.20000000007"/>
    <m/>
    <n v="22850.239999999998"/>
    <n v="104746.78"/>
    <s v="Horária Verde"/>
    <n v="0.95578571428571424"/>
    <n v="1.0397857142857143"/>
    <n v="0"/>
    <n v="0"/>
    <n v="0"/>
    <n v="9.9507761828735747E-2"/>
    <n v="0.456149153644206"/>
    <n v="1.05"/>
    <n v="1"/>
    <s v=""/>
    <n v="0"/>
    <n v="1203.3000000000002"/>
    <n v="1321.875"/>
    <n v="501634.58"/>
  </r>
  <r>
    <x v="0"/>
    <d v="2015-04-01T00:00:00"/>
    <x v="0"/>
    <x v="3"/>
    <n v="30"/>
    <n v="6.7000000000000002E-3"/>
    <n v="3.0800000000000001E-2"/>
    <n v="0.18"/>
    <n v="1400"/>
    <n v="1400"/>
    <n v="1249.9000000000001"/>
    <n v="1368.4"/>
    <m/>
    <m/>
    <n v="8.08"/>
    <m/>
    <n v="63900.7"/>
    <n v="456376.19999999995"/>
    <n v="0.38525999999999999"/>
    <n v="6.9409999999999999E-2"/>
    <n v="0.36798999999999998"/>
    <n v="0.24590999999999999"/>
    <n v="5526.4"/>
    <n v="35616.800000000003"/>
    <m/>
    <m/>
    <n v="244705.37"/>
    <n v="520276.89999999997"/>
    <m/>
    <n v="135742.28"/>
    <m/>
    <s v="Horária Verde"/>
    <n v="0.8927857142857144"/>
    <n v="0.97742857142857154"/>
    <n v="0"/>
    <n v="0"/>
    <n v="0"/>
    <n v="0.5547172095160805"/>
    <n v="0"/>
    <n v="1.05"/>
    <n v="1"/>
    <s v=""/>
    <n v="0"/>
    <n v="1203.3000000000002"/>
    <n v="1321.875"/>
    <n v="501634.58"/>
  </r>
  <r>
    <x v="0"/>
    <d v="2015-05-01T00:00:00"/>
    <x v="0"/>
    <x v="4"/>
    <n v="31"/>
    <n v="8.5000000000000006E-3"/>
    <n v="3.9E-2"/>
    <n v="0.18"/>
    <n v="1400"/>
    <n v="1400"/>
    <n v="1167.5999999999999"/>
    <n v="1269.2"/>
    <m/>
    <m/>
    <n v="8.08"/>
    <m/>
    <n v="53464.3"/>
    <n v="434005.5"/>
    <n v="0.38525999999999999"/>
    <n v="6.9409999999999999E-2"/>
    <n v="0.36798999999999998"/>
    <n v="0.24590999999999999"/>
    <n v="1844.9"/>
    <n v="18923.900000000001"/>
    <m/>
    <m/>
    <n v="229699.08"/>
    <n v="487469.8"/>
    <m/>
    <n v="126400.62"/>
    <m/>
    <s v="Horária Verde"/>
    <n v="0.83399999999999996"/>
    <n v="0.90657142857142858"/>
    <n v="0"/>
    <n v="0"/>
    <n v="0"/>
    <n v="0.55028788099630177"/>
    <n v="0"/>
    <n v="1.05"/>
    <n v="1"/>
    <s v=""/>
    <n v="0"/>
    <n v="1203.3000000000002"/>
    <n v="1321.875"/>
    <n v="501634.58"/>
  </r>
  <r>
    <x v="0"/>
    <d v="2015-06-01T00:00:00"/>
    <x v="0"/>
    <x v="5"/>
    <n v="30"/>
    <n v="7.9000000000000008E-3"/>
    <n v="3.6400000000000002E-2"/>
    <n v="0.18"/>
    <n v="1400"/>
    <n v="1400"/>
    <n v="1212.0999999999999"/>
    <n v="1268.4000000000001"/>
    <m/>
    <m/>
    <n v="8.08"/>
    <m/>
    <n v="55003.6"/>
    <n v="402350"/>
    <n v="0.38525999999999999"/>
    <n v="6.9409999999999999E-2"/>
    <n v="0.36798999999999998"/>
    <n v="0.24590999999999999"/>
    <n v="2677.3"/>
    <n v="18708.3"/>
    <m/>
    <m/>
    <n v="218046.32"/>
    <n v="457353.6"/>
    <m/>
    <n v="119182.64"/>
    <m/>
    <s v="Horária Verde"/>
    <n v="0.86578571428571427"/>
    <n v="0.90600000000000003"/>
    <n v="0"/>
    <n v="0"/>
    <n v="0"/>
    <n v="0.54659321927561078"/>
    <n v="0"/>
    <n v="1.05"/>
    <n v="1"/>
    <s v=""/>
    <n v="0"/>
    <n v="1203.3000000000002"/>
    <n v="1321.875"/>
    <n v="501634.58"/>
  </r>
  <r>
    <x v="0"/>
    <d v="2015-07-01T00:00:00"/>
    <x v="0"/>
    <x v="6"/>
    <n v="31"/>
    <n v="8.3999999999999995E-3"/>
    <n v="3.8900000000000004E-2"/>
    <n v="0.18"/>
    <n v="1400"/>
    <n v="1400"/>
    <n v="1074.4000000000001"/>
    <n v="1134"/>
    <m/>
    <m/>
    <n v="7.9326699999999999"/>
    <m/>
    <n v="58440.5"/>
    <n v="400517.9"/>
    <n v="0.38203999999999999"/>
    <n v="7.2969999999999993E-2"/>
    <n v="0.39004"/>
    <n v="0.2622666666666667"/>
    <n v="667.2"/>
    <n v="12715.9"/>
    <m/>
    <m/>
    <n v="230250.69"/>
    <n v="458958.4"/>
    <m/>
    <n v="75207.42"/>
    <n v="51069.41"/>
    <s v="Horária Verde"/>
    <n v="0.76742857142857146"/>
    <n v="0.81"/>
    <n v="0"/>
    <n v="0"/>
    <n v="0"/>
    <n v="0.32663276709398786"/>
    <n v="0.22179916160077523"/>
    <n v="1.05"/>
    <n v="1"/>
    <s v=""/>
    <n v="0"/>
    <n v="1203.3000000000002"/>
    <n v="1321.875"/>
    <n v="501634.58"/>
  </r>
  <r>
    <x v="0"/>
    <d v="2015-08-01T00:00:00"/>
    <x v="0"/>
    <x v="7"/>
    <n v="31"/>
    <n v="6.0000000000000001E-3"/>
    <n v="2.75E-2"/>
    <n v="0.18"/>
    <n v="1400"/>
    <n v="1400"/>
    <n v="1157.5"/>
    <n v="1150.8"/>
    <m/>
    <m/>
    <n v="7.74"/>
    <m/>
    <n v="63353"/>
    <n v="450612.4"/>
    <n v="0.37784000000000001"/>
    <n v="7.7630000000000005E-2"/>
    <n v="0.36024"/>
    <n v="0.22595999999999999"/>
    <n v="2385.8000000000002"/>
    <n v="11893.6"/>
    <m/>
    <m/>
    <n v="266587.52000000002"/>
    <n v="513965.4"/>
    <m/>
    <n v="28268.07"/>
    <m/>
    <s v="Horária Verde"/>
    <n v="0.82678571428571423"/>
    <n v="0.82199999999999995"/>
    <n v="0"/>
    <n v="0"/>
    <n v="0"/>
    <n v="0.10603673420271136"/>
    <n v="0"/>
    <n v="1.05"/>
    <n v="1"/>
    <s v=""/>
    <n v="0"/>
    <n v="1203.3000000000002"/>
    <n v="1321.875"/>
    <n v="501634.58"/>
  </r>
  <r>
    <x v="0"/>
    <d v="2015-09-01T00:00:00"/>
    <x v="0"/>
    <x v="8"/>
    <n v="30"/>
    <n v="1.1200000000000002E-2"/>
    <n v="5.1399999999999994E-2"/>
    <n v="0.18"/>
    <n v="1400"/>
    <n v="1400"/>
    <n v="951.7"/>
    <n v="1037.4000000000001"/>
    <m/>
    <m/>
    <n v="7.74"/>
    <m/>
    <n v="47254"/>
    <n v="369840"/>
    <n v="0.37784000000000001"/>
    <n v="7.7630000000000005E-2"/>
    <n v="0.36024"/>
    <n v="0.22595999999999999"/>
    <n v="549.20000000000005"/>
    <n v="9855.1"/>
    <m/>
    <m/>
    <n v="222681.96"/>
    <n v="417094"/>
    <m/>
    <n v="20843.260000000002"/>
    <m/>
    <s v="Horária Verde"/>
    <n v="0.67978571428571433"/>
    <n v="0.7410000000000001"/>
    <n v="0"/>
    <n v="0"/>
    <n v="0"/>
    <n v="9.3601026324718908E-2"/>
    <n v="0"/>
    <n v="1.05"/>
    <n v="1"/>
    <s v=""/>
    <n v="0"/>
    <n v="1203.3000000000002"/>
    <n v="1321.875"/>
    <n v="501634.58"/>
  </r>
  <r>
    <x v="0"/>
    <d v="2015-10-01T00:00:00"/>
    <x v="0"/>
    <x v="9"/>
    <n v="31"/>
    <n v="1.18E-2"/>
    <n v="5.4600000000000003E-2"/>
    <n v="0.18"/>
    <n v="1400"/>
    <n v="1400"/>
    <n v="1411.2"/>
    <n v="1488.5"/>
    <m/>
    <m/>
    <n v="7.74"/>
    <m/>
    <n v="68672.3"/>
    <n v="471332"/>
    <n v="0.37784000000000001"/>
    <n v="7.7630000000000005E-2"/>
    <n v="0.36024"/>
    <n v="0.22595999999999999"/>
    <n v="8661.7000000000007"/>
    <n v="45990"/>
    <m/>
    <m/>
    <n v="288617.38"/>
    <n v="540004.30000000005"/>
    <m/>
    <n v="24300.18"/>
    <m/>
    <s v="Horária Verde"/>
    <n v="1.008"/>
    <n v="1.0632142857142857"/>
    <n v="0"/>
    <n v="1"/>
    <n v="0"/>
    <n v="8.4195137520824276E-2"/>
    <n v="0"/>
    <n v="1.05"/>
    <n v="1"/>
    <s v="FP"/>
    <n v="1"/>
    <n v="1203.3000000000002"/>
    <n v="1321.875"/>
    <n v="501634.58"/>
  </r>
  <r>
    <x v="0"/>
    <d v="2015-11-01T00:00:00"/>
    <x v="0"/>
    <x v="10"/>
    <n v="30"/>
    <n v="1.1000000000000001E-2"/>
    <n v="5.0599999999999999E-2"/>
    <n v="0.18"/>
    <n v="1400"/>
    <n v="1400"/>
    <n v="1302"/>
    <n v="1575.8"/>
    <m/>
    <m/>
    <n v="7.74"/>
    <m/>
    <n v="64220.3"/>
    <n v="493639.6"/>
    <n v="0.37784000000000001"/>
    <n v="7.7630000000000005E-2"/>
    <n v="0.36024"/>
    <n v="0.22595999999999999"/>
    <n v="7494.3"/>
    <n v="45804.600000000006"/>
    <m/>
    <m/>
    <n v="294627.44"/>
    <n v="557859.9"/>
    <m/>
    <n v="25103.69"/>
    <m/>
    <s v="Horária Verde"/>
    <n v="0.93"/>
    <n v="1.1255714285714284"/>
    <n v="0"/>
    <n v="1"/>
    <n v="0"/>
    <n v="8.520486075567163E-2"/>
    <n v="0"/>
    <n v="1.05"/>
    <n v="1"/>
    <s v="FP"/>
    <n v="1"/>
    <n v="1203.3000000000002"/>
    <n v="1321.875"/>
    <n v="501634.58"/>
  </r>
  <r>
    <x v="0"/>
    <d v="2015-12-01T00:00:00"/>
    <x v="0"/>
    <x v="11"/>
    <n v="31"/>
    <n v="1.1000000000000001E-2"/>
    <n v="5.0999999999999997E-2"/>
    <n v="0.18"/>
    <n v="1400"/>
    <n v="1400"/>
    <n v="1259.2"/>
    <n v="1581.7"/>
    <m/>
    <m/>
    <n v="7.74"/>
    <m/>
    <n v="66427.8"/>
    <n v="488120.69999999995"/>
    <n v="0.37784000000000001"/>
    <n v="7.7630000000000005E-2"/>
    <n v="0.36024"/>
    <n v="0.22595999999999999"/>
    <n v="9650.2999999999993"/>
    <n v="61790.2"/>
    <m/>
    <m/>
    <n v="294705.24"/>
    <n v="554548.5"/>
    <m/>
    <n v="24954.67"/>
    <m/>
    <s v="Horária Verde"/>
    <n v="0.89942857142857147"/>
    <n v="1.1297857142857144"/>
    <n v="0"/>
    <n v="1"/>
    <n v="0"/>
    <n v="8.4676709514903775E-2"/>
    <n v="0"/>
    <n v="1.05"/>
    <n v="1"/>
    <s v="FP"/>
    <n v="1"/>
    <n v="1203.3000000000002"/>
    <n v="1321.875"/>
    <n v="501634.58"/>
  </r>
  <r>
    <x v="0"/>
    <s v="01/01/2016"/>
    <x v="1"/>
    <x v="0"/>
    <n v="31"/>
    <n v="9.2999999999999992E-3"/>
    <n v="4.2599999999999999E-2"/>
    <n v="0.18"/>
    <n v="1400"/>
    <n v="1400"/>
    <n v="1034.9000000000001"/>
    <n v="1265"/>
    <m/>
    <m/>
    <n v="7.74"/>
    <m/>
    <n v="36844.1"/>
    <n v="375281.1"/>
    <n v="0.37784000000000001"/>
    <n v="7.7630000000000005E-2"/>
    <n v="0.36024"/>
    <n v="0.22595999999999999"/>
    <n v="3509.9"/>
    <n v="31277.800000000003"/>
    <m/>
    <m/>
    <n v="209040.48"/>
    <n v="412125.19999999995"/>
    <m/>
    <n v="18545.63"/>
    <m/>
    <s v="Horária Verde"/>
    <n v="0.73921428571428582"/>
    <n v="0.90357142857142858"/>
    <n v="0"/>
    <n v="0"/>
    <n v="0"/>
    <n v="8.8717888516138113E-2"/>
    <n v="0"/>
    <n v="1.05"/>
    <n v="1"/>
    <s v=""/>
    <n v="0"/>
    <n v="1203.3000000000002"/>
    <n v="1321.875"/>
    <n v="501634.58"/>
  </r>
  <r>
    <x v="0"/>
    <s v="01/02/2016"/>
    <x v="1"/>
    <x v="1"/>
    <n v="29"/>
    <n v="9.1999999999999998E-3"/>
    <n v="4.2200000000000001E-2"/>
    <n v="0.18"/>
    <n v="1400"/>
    <n v="1400"/>
    <n v="1202"/>
    <n v="1454"/>
    <m/>
    <m/>
    <n v="7.74"/>
    <m/>
    <n v="45162.8"/>
    <n v="406399.4"/>
    <n v="0.37784000000000001"/>
    <n v="7.7630000000000005E-2"/>
    <n v="0.36024"/>
    <n v="0.22595999999999999"/>
    <n v="3634.5"/>
    <n v="31894.800000000003"/>
    <m/>
    <m/>
    <n v="226189.68"/>
    <n v="451562.2"/>
    <m/>
    <n v="16951.68"/>
    <m/>
    <s v="Horária Verde"/>
    <n v="0.85857142857142854"/>
    <n v="1.0385714285714285"/>
    <n v="0"/>
    <n v="0"/>
    <n v="0"/>
    <n v="7.4944533278441361E-2"/>
    <n v="0"/>
    <n v="1.05"/>
    <n v="1"/>
    <s v=""/>
    <n v="0"/>
    <n v="1203.3000000000002"/>
    <n v="1321.875"/>
    <n v="501634.58"/>
  </r>
  <r>
    <x v="0"/>
    <s v="01/03/2016"/>
    <x v="1"/>
    <x v="2"/>
    <n v="31"/>
    <n v="1.0200000000000001E-2"/>
    <n v="4.7E-2"/>
    <n v="0.18"/>
    <n v="1400"/>
    <n v="1400"/>
    <n v="1320.5"/>
    <n v="1473.4"/>
    <m/>
    <m/>
    <n v="7.74"/>
    <m/>
    <n v="66500.7"/>
    <n v="451496.6"/>
    <n v="0.37784000000000001"/>
    <n v="7.7630000000000005E-2"/>
    <n v="0.36024"/>
    <n v="0.22595999999999999"/>
    <n v="10135.9"/>
    <n v="53654"/>
    <m/>
    <m/>
    <n v="259365.53"/>
    <n v="517997.3"/>
    <n v="4127.54"/>
    <n v="7284.7999999999993"/>
    <m/>
    <s v="Horária Verde"/>
    <n v="0.94321428571428567"/>
    <n v="1.0524285714285715"/>
    <n v="0"/>
    <n v="1"/>
    <n v="1.5913988262048546E-2"/>
    <n v="2.8087001383722807E-2"/>
    <n v="0"/>
    <n v="1.05"/>
    <n v="1"/>
    <s v="FP"/>
    <n v="1"/>
    <n v="1203.3000000000002"/>
    <n v="1321.875"/>
    <n v="501634.58"/>
  </r>
  <r>
    <x v="0"/>
    <s v="01/04/2016"/>
    <x v="1"/>
    <x v="3"/>
    <n v="30"/>
    <n v="8.9999999999999993E-3"/>
    <n v="4.1200000000000001E-2"/>
    <n v="0.18"/>
    <n v="1400"/>
    <n v="1400"/>
    <n v="1357.4"/>
    <n v="1482.6"/>
    <m/>
    <m/>
    <n v="7.74"/>
    <m/>
    <n v="70824.399999999994"/>
    <n v="493308.5"/>
    <n v="0.37784000000000001"/>
    <n v="7.7630000000000005E-2"/>
    <n v="0.36024"/>
    <n v="0.22595999999999999"/>
    <n v="10613.6"/>
    <n v="63324.5"/>
    <m/>
    <m/>
    <n v="268204.61"/>
    <n v="564132.9"/>
    <n v="4471.71"/>
    <m/>
    <m/>
    <s v="Horária Verde"/>
    <n v="0.96957142857142864"/>
    <n v="1.0589999999999999"/>
    <n v="0"/>
    <n v="1"/>
    <n v="1.6672755923173729E-2"/>
    <n v="0"/>
    <n v="0"/>
    <n v="1.05"/>
    <n v="1"/>
    <s v="FP"/>
    <n v="1"/>
    <n v="1203.3000000000002"/>
    <n v="1321.875"/>
    <n v="501634.58"/>
  </r>
  <r>
    <x v="0"/>
    <s v="01/05/2016"/>
    <x v="1"/>
    <x v="4"/>
    <n v="31"/>
    <n v="1.2200000000000001E-2"/>
    <n v="5.62E-2"/>
    <n v="0.18"/>
    <n v="1400"/>
    <n v="1400"/>
    <n v="1438.9"/>
    <n v="1505.3"/>
    <m/>
    <m/>
    <n v="7.74"/>
    <m/>
    <n v="58421"/>
    <n v="444744.5"/>
    <n v="0.37784000000000001"/>
    <n v="7.7630000000000005E-2"/>
    <n v="0.36024"/>
    <n v="0.22595999999999999"/>
    <n v="5761.5"/>
    <n v="40590.1"/>
    <m/>
    <m/>
    <n v="239817.92"/>
    <n v="503165.5"/>
    <m/>
    <m/>
    <m/>
    <s v="Horária Verde"/>
    <n v="1.0277857142857143"/>
    <n v="1.0752142857142857"/>
    <n v="0"/>
    <n v="1"/>
    <n v="0"/>
    <n v="0"/>
    <n v="0"/>
    <n v="1.05"/>
    <n v="1"/>
    <s v="FP"/>
    <n v="1"/>
    <n v="1203.3000000000002"/>
    <n v="1321.875"/>
    <n v="501634.58"/>
  </r>
  <r>
    <x v="0"/>
    <s v="01/06/2016"/>
    <x v="1"/>
    <x v="5"/>
    <n v="30"/>
    <n v="1.2200000000000001E-2"/>
    <n v="5.62E-2"/>
    <n v="0.18"/>
    <n v="1400"/>
    <n v="1400"/>
    <n v="964.3"/>
    <n v="1044.0999999999999"/>
    <m/>
    <m/>
    <n v="7.74"/>
    <m/>
    <n v="47792.2"/>
    <n v="361433.3"/>
    <n v="0.37784000000000001"/>
    <n v="7.7630000000000005E-2"/>
    <n v="0.36024"/>
    <n v="0.22595999999999999"/>
    <n v="401.9"/>
    <n v="9647"/>
    <m/>
    <m/>
    <n v="195247.45"/>
    <n v="409225.5"/>
    <m/>
    <m/>
    <m/>
    <s v="Horária Verde"/>
    <n v="0.68878571428571422"/>
    <n v="0.74578571428571427"/>
    <n v="0"/>
    <n v="0"/>
    <n v="0"/>
    <n v="0"/>
    <n v="0"/>
    <n v="1.05"/>
    <n v="1"/>
    <s v=""/>
    <n v="0"/>
    <n v="1203.3000000000002"/>
    <n v="1321.875"/>
    <n v="501634.58"/>
  </r>
  <r>
    <x v="0"/>
    <s v="01/07/2016"/>
    <x v="1"/>
    <x v="6"/>
    <n v="31"/>
    <m/>
    <m/>
    <n v="0.18"/>
    <n v="1400"/>
    <n v="1400"/>
    <n v="964.3"/>
    <n v="1044.0999999999999"/>
    <m/>
    <m/>
    <m/>
    <m/>
    <m/>
    <m/>
    <m/>
    <m/>
    <m/>
    <m/>
    <m/>
    <m/>
    <m/>
    <m/>
    <n v="231078.34"/>
    <n v="491719.92500000005"/>
    <m/>
    <m/>
    <m/>
    <s v="Horária Verde"/>
    <n v="0.68878571428571422"/>
    <n v="0.74578571428571427"/>
    <n v="0"/>
    <n v="0"/>
    <n v="0"/>
    <n v="0"/>
    <n v="0"/>
    <n v="1.05"/>
    <n v="1"/>
    <s v=""/>
    <n v="0"/>
    <n v="1203.3000000000002"/>
    <n v="1321.875"/>
    <n v="501634.58"/>
  </r>
  <r>
    <x v="0"/>
    <s v="01/08/2016"/>
    <x v="1"/>
    <x v="7"/>
    <n v="31"/>
    <n v="1.26E-2"/>
    <n v="5.8200000000000002E-2"/>
    <n v="0.18"/>
    <n v="1400"/>
    <n v="1400"/>
    <n v="990.4"/>
    <n v="1017.2"/>
    <m/>
    <m/>
    <n v="8.01"/>
    <m/>
    <n v="55318.8"/>
    <n v="382499.3"/>
    <n v="0.36893999999999999"/>
    <n v="5.815E-2"/>
    <n v="0.32356000000000001"/>
    <n v="0.21496999999999999"/>
    <n v="219.7"/>
    <n v="6610.2000000000007"/>
    <m/>
    <m/>
    <n v="193559.54"/>
    <n v="437818.1"/>
    <m/>
    <m/>
    <m/>
    <s v="Horária Verde"/>
    <n v="0.70742857142857141"/>
    <n v="0.72657142857142865"/>
    <n v="0"/>
    <n v="0"/>
    <n v="0"/>
    <n v="0"/>
    <n v="0"/>
    <n v="1.05"/>
    <n v="1"/>
    <s v=""/>
    <n v="0"/>
    <n v="1203.3000000000002"/>
    <n v="1321.875"/>
    <n v="501634.58"/>
  </r>
  <r>
    <x v="0"/>
    <s v="01/09/2016"/>
    <x v="1"/>
    <x v="8"/>
    <n v="30"/>
    <n v="1.0200000000000001E-2"/>
    <n v="4.7300000000000002E-2"/>
    <n v="0.18"/>
    <n v="1400"/>
    <n v="1400"/>
    <n v="990.4"/>
    <n v="1017.2"/>
    <m/>
    <m/>
    <n v="8.01"/>
    <m/>
    <n v="57473.9"/>
    <n v="431268"/>
    <n v="0.36893999999999999"/>
    <n v="5.815E-2"/>
    <n v="0.32356000000000001"/>
    <n v="0.21496999999999999"/>
    <m/>
    <m/>
    <m/>
    <m/>
    <n v="208474.23"/>
    <n v="488741.9"/>
    <m/>
    <m/>
    <m/>
    <s v="Horária Verde"/>
    <n v="0.70742857142857141"/>
    <n v="0.72657142857142865"/>
    <n v="0"/>
    <n v="0"/>
    <n v="0"/>
    <n v="0"/>
    <n v="0"/>
    <n v="1.05"/>
    <n v="1"/>
    <s v=""/>
    <n v="0"/>
    <n v="1203.3000000000002"/>
    <n v="1321.875"/>
    <n v="501634.58"/>
  </r>
  <r>
    <x v="0"/>
    <s v="01/10/2016"/>
    <x v="1"/>
    <x v="9"/>
    <n v="31"/>
    <n v="0.01"/>
    <n v="4.6199999999999998E-2"/>
    <n v="0.18"/>
    <n v="1400"/>
    <n v="1400"/>
    <n v="1186.2916666666663"/>
    <n v="1329.075"/>
    <m/>
    <m/>
    <n v="8.01"/>
    <m/>
    <n v="47491.5"/>
    <n v="294300.3"/>
    <n v="0.36893999999999999"/>
    <n v="5.815E-2"/>
    <n v="0.32356000000000001"/>
    <n v="0.21496999999999999"/>
    <n v="605.6"/>
    <n v="13217"/>
    <m/>
    <m/>
    <n v="153498.57"/>
    <n v="341791.8"/>
    <m/>
    <m/>
    <m/>
    <s v="Horária Verde"/>
    <n v="0.84735119047619023"/>
    <n v="0.94933928571428572"/>
    <n v="0"/>
    <n v="0"/>
    <n v="0"/>
    <n v="0"/>
    <n v="0"/>
    <n v="1.05"/>
    <n v="1"/>
    <s v=""/>
    <n v="0"/>
    <n v="1203.3000000000002"/>
    <n v="1321.875"/>
    <n v="501634.58"/>
  </r>
  <r>
    <x v="0"/>
    <s v="01/11/2016"/>
    <x v="1"/>
    <x v="10"/>
    <n v="30"/>
    <n v="8.9999999999999993E-3"/>
    <n v="4.1500000000000002E-2"/>
    <n v="0.18"/>
    <n v="1400"/>
    <n v="1400"/>
    <n v="1373.4"/>
    <n v="1625.4"/>
    <m/>
    <m/>
    <n v="8.01"/>
    <m/>
    <n v="56436"/>
    <n v="421238.8"/>
    <n v="0.36893999999999999"/>
    <n v="5.815E-2"/>
    <n v="0.32356000000000001"/>
    <n v="0.21496999999999999"/>
    <n v="2134.9"/>
    <n v="16818.099999999999"/>
    <m/>
    <m/>
    <n v="210531.9"/>
    <n v="477674.8"/>
    <n v="264.49"/>
    <m/>
    <m/>
    <s v="Horária Verde"/>
    <n v="0.98100000000000009"/>
    <n v="1.161"/>
    <n v="0"/>
    <n v="1"/>
    <n v="1.2562941767969606E-3"/>
    <n v="0"/>
    <n v="0"/>
    <n v="1.05"/>
    <n v="1"/>
    <s v="FP"/>
    <n v="1"/>
    <n v="1203.3000000000002"/>
    <n v="1321.875"/>
    <n v="501634.58"/>
  </r>
  <r>
    <x v="0"/>
    <s v="01/12/2016"/>
    <x v="1"/>
    <x v="11"/>
    <n v="31"/>
    <n v="9.2999999999999999E-2"/>
    <n v="4.2700000000000002E-2"/>
    <n v="0.18"/>
    <n v="1400"/>
    <n v="1400"/>
    <n v="1167.5999999999999"/>
    <n v="1284.4000000000001"/>
    <m/>
    <m/>
    <n v="8.01"/>
    <m/>
    <n v="46766.8"/>
    <n v="402552.4"/>
    <n v="0.36893999999999999"/>
    <n v="5.815E-2"/>
    <n v="0.32356000000000001"/>
    <n v="0.21496999999999999"/>
    <n v="6686.4"/>
    <n v="49471.4"/>
    <m/>
    <m/>
    <n v="188148"/>
    <n v="449319.2"/>
    <m/>
    <m/>
    <m/>
    <s v="Horária Verde"/>
    <n v="0.83399999999999996"/>
    <n v="0.91742857142857148"/>
    <n v="0"/>
    <n v="0"/>
    <n v="0"/>
    <n v="0"/>
    <n v="0"/>
    <n v="1.05"/>
    <n v="1"/>
    <s v=""/>
    <n v="0"/>
    <n v="1203.3000000000002"/>
    <n v="1321.875"/>
    <n v="501634.58"/>
  </r>
  <r>
    <x v="0"/>
    <s v="01/01/2017"/>
    <x v="2"/>
    <x v="0"/>
    <n v="31"/>
    <n v="9.2999999999999992E-3"/>
    <n v="4.2700000000000002E-2"/>
    <n v="0.18"/>
    <n v="1400"/>
    <n v="1400"/>
    <n v="1167.5999999999999"/>
    <n v="1284.4000000000001"/>
    <m/>
    <m/>
    <n v="8.01"/>
    <m/>
    <n v="46766.8"/>
    <n v="402552.4"/>
    <n v="0.36893999999999999"/>
    <n v="0.32356000000000001"/>
    <n v="0.32356000000000001"/>
    <n v="0.21496999999999999"/>
    <n v="6686.4"/>
    <n v="47804.800000000003"/>
    <m/>
    <m/>
    <n v="188148"/>
    <n v="449319.15"/>
    <m/>
    <m/>
    <m/>
    <s v="Horária Verde"/>
    <n v="0.83399999999999996"/>
    <n v="0.91742857142857148"/>
    <n v="0"/>
    <n v="0"/>
    <n v="0"/>
    <n v="0"/>
    <n v="0"/>
    <n v="1.05"/>
    <n v="1"/>
    <s v=""/>
    <n v="0"/>
    <n v="1203.3000000000002"/>
    <n v="1321.875"/>
    <n v="501634.58"/>
  </r>
  <r>
    <x v="0"/>
    <s v="01/02/2017"/>
    <x v="2"/>
    <x v="1"/>
    <n v="30"/>
    <n v="1.1299999999999999E-2"/>
    <n v="5.2299999999999999E-2"/>
    <n v="0.18"/>
    <n v="1400"/>
    <n v="1400"/>
    <n v="944.2"/>
    <n v="1159.2"/>
    <m/>
    <m/>
    <n v="8.01"/>
    <m/>
    <n v="56065.8"/>
    <n v="417388.79999999999"/>
    <n v="0.36893999999999999"/>
    <n v="0.32356000000000001"/>
    <n v="0.32356000000000001"/>
    <n v="0.21496999999999999"/>
    <n v="0"/>
    <n v="0"/>
    <m/>
    <m/>
    <n v="204232.34"/>
    <n v="473453.82"/>
    <m/>
    <m/>
    <m/>
    <s v="Horária Verde"/>
    <n v="0.67442857142857149"/>
    <n v="0.82800000000000007"/>
    <n v="0"/>
    <n v="0"/>
    <n v="0"/>
    <n v="0"/>
    <n v="0"/>
    <n v="1.05"/>
    <n v="1"/>
    <s v=""/>
    <n v="0"/>
    <n v="1203.3000000000002"/>
    <n v="1321.875"/>
    <n v="501634.58"/>
  </r>
  <r>
    <x v="0"/>
    <s v="01/03/2017"/>
    <x v="2"/>
    <x v="2"/>
    <n v="28"/>
    <n v="1.14E-2"/>
    <n v="0.52900000000000003"/>
    <n v="0.18"/>
    <n v="1400"/>
    <n v="1400"/>
    <n v="1386.8"/>
    <n v="1601"/>
    <m/>
    <m/>
    <n v="8.01"/>
    <m/>
    <n v="57676.7"/>
    <n v="544436.80000000005"/>
    <n v="0.36893999999999999"/>
    <n v="0.32356000000000001"/>
    <n v="0.32356000000000001"/>
    <n v="0.21496999999999999"/>
    <n v="19703.7"/>
    <n v="135765.4"/>
    <m/>
    <m/>
    <n v="256132.43"/>
    <n v="602113.47"/>
    <n v="860.04000000000008"/>
    <m/>
    <m/>
    <s v="Horária Verde"/>
    <n v="0.99057142857142855"/>
    <n v="1.1435714285714285"/>
    <n v="0"/>
    <n v="1"/>
    <n v="3.3577942472962133E-3"/>
    <n v="0"/>
    <n v="0"/>
    <n v="1.05"/>
    <n v="1"/>
    <s v="FP"/>
    <n v="1"/>
    <n v="1203.3000000000002"/>
    <n v="1321.875"/>
    <n v="501634.58"/>
  </r>
  <r>
    <x v="0"/>
    <s v="01/04/2017"/>
    <x v="2"/>
    <x v="3"/>
    <n v="33"/>
    <n v="9.9000000000000008E-3"/>
    <n v="4.5600000000000002E-2"/>
    <n v="0.18"/>
    <n v="1400"/>
    <n v="1400"/>
    <n v="1381.8"/>
    <n v="1517"/>
    <m/>
    <m/>
    <n v="8.01"/>
    <m/>
    <n v="70051.100000000006"/>
    <n v="533399.4"/>
    <n v="0.36893999999999999"/>
    <n v="0.32356000000000001"/>
    <n v="0.32356000000000001"/>
    <n v="0.21496999999999999"/>
    <n v="11898.2"/>
    <n v="73188.2"/>
    <m/>
    <m/>
    <n v="267226.43"/>
    <n v="603450.32999999996"/>
    <n v="10606.08"/>
    <n v="2194.37"/>
    <m/>
    <s v="Horária Verde"/>
    <n v="0.98699999999999999"/>
    <n v="1.0835714285714286"/>
    <n v="0"/>
    <n v="1"/>
    <n v="3.9689487301087699E-2"/>
    <n v="8.2116503221631183E-3"/>
    <n v="0"/>
    <n v="1.05"/>
    <n v="1"/>
    <s v="FP"/>
    <n v="1"/>
    <n v="1203.3000000000002"/>
    <n v="1321.875"/>
    <n v="501634.58"/>
  </r>
  <r>
    <x v="0"/>
    <s v="01/05/2017"/>
    <x v="2"/>
    <x v="4"/>
    <n v="29"/>
    <n v="1.2E-2"/>
    <n v="5.5399999999999998E-2"/>
    <n v="0.18"/>
    <n v="1400"/>
    <n v="1400"/>
    <n v="1291.9000000000001"/>
    <n v="1431.4"/>
    <m/>
    <m/>
    <n v="8.01"/>
    <m/>
    <n v="59212.4"/>
    <n v="469502"/>
    <n v="0.36893999999999999"/>
    <n v="5.815E-2"/>
    <n v="0.31818999999999997"/>
    <n v="0.20960000000000001"/>
    <n v="6175.7"/>
    <n v="38652.400000000001"/>
    <m/>
    <m/>
    <n v="212548.97"/>
    <n v="528714.48"/>
    <m/>
    <n v="15861.41"/>
    <m/>
    <s v="Horária Verde"/>
    <n v="0.92278571428571432"/>
    <n v="1.0224285714285715"/>
    <n v="0"/>
    <n v="0"/>
    <n v="0"/>
    <n v="7.4624732361676466E-2"/>
    <n v="0"/>
    <n v="1.05"/>
    <n v="1"/>
    <s v=""/>
    <n v="0"/>
    <n v="1203.3000000000002"/>
    <n v="1321.875"/>
    <n v="501634.58"/>
  </r>
  <r>
    <x v="0"/>
    <s v="01/06/2017"/>
    <x v="2"/>
    <x v="5"/>
    <n v="30"/>
    <n v="1.15E-2"/>
    <n v="5.2699999999999997E-2"/>
    <n v="0.18"/>
    <n v="1400"/>
    <n v="1400"/>
    <n v="1162.5999999999999"/>
    <n v="1163.4000000000001"/>
    <m/>
    <m/>
    <n v="8.01"/>
    <m/>
    <n v="59655.8"/>
    <n v="445003.9"/>
    <n v="0.36893999999999999"/>
    <n v="5.815E-2"/>
    <n v="0.31818999999999997"/>
    <n v="0.20960000000000001"/>
    <n v="2808.5"/>
    <n v="23541.599999999999"/>
    <m/>
    <m/>
    <n v="231106.78"/>
    <n v="504659.61"/>
    <m/>
    <n v="14130.45"/>
    <m/>
    <s v="Horária Verde"/>
    <n v="0.8304285714285714"/>
    <n v="0.83100000000000007"/>
    <n v="0"/>
    <n v="0"/>
    <n v="0"/>
    <n v="6.1142516026574389E-2"/>
    <n v="0"/>
    <n v="1.05"/>
    <n v="1"/>
    <s v=""/>
    <n v="0"/>
    <n v="1203.3000000000002"/>
    <n v="1321.875"/>
    <n v="501634.58"/>
  </r>
  <r>
    <x v="0"/>
    <s v="01/07/2017"/>
    <x v="2"/>
    <x v="6"/>
    <n v="33"/>
    <n v="1.1599999999999999E-2"/>
    <n v="5.3499999999999999E-2"/>
    <n v="0.18"/>
    <n v="1400"/>
    <n v="1400"/>
    <n v="1070.2"/>
    <n v="1087.8"/>
    <m/>
    <m/>
    <n v="8.17727"/>
    <m/>
    <n v="63765.2"/>
    <n v="479746.1"/>
    <n v="0.37324000000000002"/>
    <n v="5.6849999999999998E-2"/>
    <n v="0.31818999999999997"/>
    <n v="0.20960000000000001"/>
    <n v="421.1"/>
    <n v="2966.3"/>
    <m/>
    <m/>
    <n v="231933.76"/>
    <n v="402496.6"/>
    <n v="2218.17"/>
    <m/>
    <m/>
    <s v="Horária Verde"/>
    <n v="0.76442857142857146"/>
    <n v="0.77699999999999991"/>
    <n v="0"/>
    <n v="0"/>
    <n v="9.5638082183464798E-3"/>
    <n v="0"/>
    <n v="0"/>
    <n v="1.05"/>
    <n v="1"/>
    <s v=""/>
    <n v="0"/>
    <n v="1203.3000000000002"/>
    <n v="1321.875"/>
    <n v="501634.58"/>
  </r>
  <r>
    <x v="0"/>
    <s v="01/08/2017"/>
    <x v="2"/>
    <x v="7"/>
    <n v="28"/>
    <n v="1.26E-2"/>
    <n v="5.8299999999999998E-2"/>
    <n v="0.18"/>
    <n v="1400"/>
    <n v="1400"/>
    <n v="1070.2"/>
    <n v="1087.8"/>
    <m/>
    <m/>
    <n v="10.77"/>
    <m/>
    <n v="54911.199999999997"/>
    <n v="394598.2"/>
    <n v="0.43986999999999998"/>
    <n v="3.6769999999999997E-2"/>
    <n v="0.34899000000000002"/>
    <n v="0.22885"/>
    <n v="1728.1"/>
    <n v="13274.1"/>
    <m/>
    <m/>
    <n v="217013.75"/>
    <n v="406698.6"/>
    <n v="10088.450000000001"/>
    <n v="1592.9099999999999"/>
    <m/>
    <s v="Horária Verde"/>
    <n v="0.76442857142857146"/>
    <n v="0.77699999999999991"/>
    <n v="0"/>
    <n v="0"/>
    <n v="4.6487607352068708E-2"/>
    <n v="7.3401339776857453E-3"/>
    <n v="0"/>
    <n v="1.05"/>
    <n v="1"/>
    <s v=""/>
    <n v="0"/>
    <n v="1203.3000000000002"/>
    <n v="1321.875"/>
    <n v="501634.58"/>
  </r>
  <r>
    <x v="0"/>
    <s v="01/09/2017"/>
    <x v="2"/>
    <x v="8"/>
    <n v="33"/>
    <n v="8.0000000000000002E-3"/>
    <n v="3.6700000000000003E-2"/>
    <n v="0.18"/>
    <n v="1400"/>
    <n v="1400"/>
    <n v="1070.2"/>
    <n v="998.8"/>
    <m/>
    <m/>
    <n v="10.77"/>
    <m/>
    <n v="61373.3"/>
    <n v="469526.8"/>
    <n v="0.43986999999999998"/>
    <n v="3.6769999999999997E-2"/>
    <n v="0.34899000000000002"/>
    <n v="0.22885"/>
    <n v="1831.2"/>
    <n v="15712"/>
    <m/>
    <m/>
    <n v="247139.45"/>
    <n v="530846.1"/>
    <n v="1635.3899999999999"/>
    <n v="17171.61"/>
    <m/>
    <s v="Horária Verde"/>
    <n v="0.76442857142857146"/>
    <n v="0.71342857142857141"/>
    <n v="0"/>
    <n v="0"/>
    <n v="6.6172761977094296E-3"/>
    <n v="6.9481460770427383E-2"/>
    <n v="0"/>
    <n v="1.05"/>
    <n v="1"/>
    <s v=""/>
    <n v="0"/>
    <n v="1203.3000000000002"/>
    <n v="1321.875"/>
    <n v="501634.58"/>
  </r>
  <r>
    <x v="0"/>
    <s v="01/10/2017"/>
    <x v="2"/>
    <x v="9"/>
    <n v="29"/>
    <n v="7.1999999999999998E-3"/>
    <n v="3.3399999999999999E-2"/>
    <n v="0.18"/>
    <n v="1400"/>
    <n v="1400"/>
    <n v="1268.4000000000001"/>
    <n v="1454"/>
    <m/>
    <m/>
    <n v="10.77"/>
    <m/>
    <n v="59960"/>
    <n v="456851.6"/>
    <n v="0.43986999999999998"/>
    <n v="3.6769999999999997E-2"/>
    <n v="0.34899000000000002"/>
    <n v="0.22885"/>
    <n v="7104.1"/>
    <n v="44190.9"/>
    <m/>
    <m/>
    <n v="236093.36"/>
    <n v="463348.2"/>
    <n v="11407.12"/>
    <n v="2303.3500000000004"/>
    <m/>
    <s v="Horária Verde"/>
    <n v="0.90600000000000003"/>
    <n v="1.0385714285714285"/>
    <n v="0"/>
    <n v="0"/>
    <n v="4.8316140699594438E-2"/>
    <n v="9.7560981808213522E-3"/>
    <n v="0"/>
    <n v="1.05"/>
    <n v="1"/>
    <s v=""/>
    <n v="0"/>
    <n v="1203.3000000000002"/>
    <n v="1321.875"/>
    <n v="501634.58"/>
  </r>
  <r>
    <x v="0"/>
    <s v="01/11/2017"/>
    <x v="2"/>
    <x v="10"/>
    <n v="31"/>
    <n v="7.0000000000000001E-3"/>
    <n v="3.2199999999999999E-2"/>
    <n v="0.18"/>
    <n v="1400"/>
    <n v="1400"/>
    <n v="1361.6"/>
    <n v="1545.6"/>
    <m/>
    <m/>
    <n v="10.77"/>
    <m/>
    <n v="59442.6"/>
    <n v="488330"/>
    <n v="0.43986999999999998"/>
    <n v="3.6769999999999997E-2"/>
    <n v="0.34899000000000002"/>
    <n v="0.22885"/>
    <n v="8154.8"/>
    <n v="1422.3"/>
    <m/>
    <m/>
    <n v="260930.32"/>
    <n v="547772.6"/>
    <m/>
    <n v="24570.26"/>
    <m/>
    <s v="Horária Verde"/>
    <n v="0.97257142857142853"/>
    <n v="1.1039999999999999"/>
    <n v="0"/>
    <n v="1"/>
    <n v="0"/>
    <n v="9.4164066483343134E-2"/>
    <n v="0"/>
    <n v="1.05"/>
    <n v="1"/>
    <s v="FP"/>
    <n v="1"/>
    <n v="1203.3000000000002"/>
    <n v="1321.875"/>
    <n v="501634.58"/>
  </r>
  <r>
    <x v="0"/>
    <s v="01/12/2017"/>
    <x v="2"/>
    <x v="11"/>
    <n v="32"/>
    <n v="8.8000000000000005E-3"/>
    <n v="4.07E-2"/>
    <n v="0.18"/>
    <n v="1400"/>
    <n v="1400"/>
    <n v="1207.9000000000001"/>
    <n v="1427.2"/>
    <m/>
    <m/>
    <n v="10.77"/>
    <m/>
    <n v="68477.899999999994"/>
    <n v="539184.69999999995"/>
    <n v="0.43986999999999998"/>
    <n v="3.6769999999999997E-2"/>
    <n v="0.34899000000000002"/>
    <n v="0.22885"/>
    <n v="9838.5"/>
    <n v="1323.6"/>
    <m/>
    <m/>
    <n v="294762.75"/>
    <n v="607662.6"/>
    <m/>
    <n v="35138.47"/>
    <m/>
    <s v="Horária Verde"/>
    <n v="0.86278571428571438"/>
    <n v="1.0194285714285714"/>
    <n v="0"/>
    <n v="0"/>
    <n v="0"/>
    <n v="0.11920933021557167"/>
    <n v="0"/>
    <n v="1.05"/>
    <n v="1"/>
    <s v=""/>
    <n v="0"/>
    <n v="1203.3000000000002"/>
    <n v="1321.875"/>
    <n v="501634.58"/>
  </r>
  <r>
    <x v="0"/>
    <d v="2018-01-01T00:00:00"/>
    <x v="3"/>
    <x v="0"/>
    <n v="29"/>
    <n v="9.1000000000000004E-3"/>
    <n v="4.1599999999999998E-2"/>
    <n v="0.18"/>
    <n v="1400"/>
    <n v="1400"/>
    <n v="1106.3"/>
    <n v="1342.3"/>
    <m/>
    <m/>
    <n v="10.77"/>
    <m/>
    <n v="46514.8"/>
    <n v="466741.5"/>
    <n v="0.43986999999999998"/>
    <n v="3.6769999999999997E-2"/>
    <n v="0.34899000000000002"/>
    <n v="0.22885"/>
    <n v="5790.8"/>
    <n v="41235.199999999997"/>
    <m/>
    <m/>
    <n v="217087.98"/>
    <n v="513256.3"/>
    <n v="0"/>
    <n v="15650.72"/>
    <m/>
    <s v="Horária Verde"/>
    <n v="0.79021428571428565"/>
    <n v="0.95878571428571424"/>
    <n v="0"/>
    <n v="0"/>
    <n v="0"/>
    <n v="7.2093904047566326E-2"/>
    <n v="0"/>
    <n v="1.05"/>
    <n v="1"/>
    <s v=""/>
    <n v="0"/>
    <n v="1203.3000000000002"/>
    <n v="1321.875"/>
    <n v="501634.58"/>
  </r>
  <r>
    <x v="0"/>
    <d v="2018-01-02T00:00:00"/>
    <x v="3"/>
    <x v="1"/>
    <n v="30"/>
    <n v="1.0699999999999999E-2"/>
    <n v="4.9099999999999998E-2"/>
    <n v="0.18"/>
    <n v="1400"/>
    <n v="1400"/>
    <n v="939.1"/>
    <n v="1191.0999999999999"/>
    <m/>
    <m/>
    <n v="10.77"/>
    <m/>
    <n v="51952.1"/>
    <n v="478717.7"/>
    <n v="0.43986999999999998"/>
    <n v="3.6769999999999997E-2"/>
    <n v="0.34899000000000002"/>
    <n v="0.22885"/>
    <n v="5755.7"/>
    <n v="42178.9"/>
    <m/>
    <m/>
    <n v="227330"/>
    <n v="530669.80000000005"/>
    <n v="0"/>
    <m/>
    <m/>
    <s v="Horária Verde"/>
    <n v="0.67078571428571432"/>
    <n v="0.85078571428571426"/>
    <n v="0"/>
    <n v="0"/>
    <n v="0"/>
    <n v="0"/>
    <n v="0"/>
    <n v="1.05"/>
    <n v="1"/>
    <s v=""/>
    <n v="0"/>
    <n v="1203.3000000000002"/>
    <n v="1321.875"/>
    <n v="501634.58"/>
  </r>
  <r>
    <x v="0"/>
    <d v="2018-01-03T00:00:00"/>
    <x v="3"/>
    <x v="2"/>
    <n v="28"/>
    <n v="1.0200000000000001E-2"/>
    <n v="4.6800000000000001E-2"/>
    <n v="0.18"/>
    <n v="1400"/>
    <n v="1400"/>
    <n v="1438.1"/>
    <n v="1574.2"/>
    <m/>
    <m/>
    <n v="10.77"/>
    <m/>
    <n v="55441.3"/>
    <n v="480901.1"/>
    <n v="0.43986999999999998"/>
    <n v="3.6769999999999997E-2"/>
    <n v="0.34899000000000002"/>
    <n v="0.22885"/>
    <n v="8975.2000000000007"/>
    <n v="60990.5"/>
    <m/>
    <m/>
    <n v="237184.3"/>
    <n v="536342.4"/>
    <n v="0"/>
    <m/>
    <m/>
    <s v="Horária Verde"/>
    <n v="1.0272142857142856"/>
    <n v="1.1244285714285716"/>
    <n v="0"/>
    <n v="1"/>
    <n v="0"/>
    <n v="0"/>
    <n v="0"/>
    <n v="1.05"/>
    <n v="1"/>
    <s v="FP"/>
    <n v="1"/>
    <n v="1203.3000000000002"/>
    <n v="1321.875"/>
    <n v="501634.58"/>
  </r>
  <r>
    <x v="0"/>
    <d v="2018-01-04T00:00:00"/>
    <x v="3"/>
    <x v="3"/>
    <n v="32"/>
    <n v="8.0000000000000002E-3"/>
    <n v="3.7100000000000001E-2"/>
    <n v="0.18"/>
    <n v="1400"/>
    <n v="1400"/>
    <n v="1278.5"/>
    <n v="1395.2"/>
    <m/>
    <m/>
    <n v="10.77"/>
    <m/>
    <n v="84936.2"/>
    <n v="629192.69999999995"/>
    <n v="0.43986999999999998"/>
    <n v="3.6769999999999997E-2"/>
    <n v="0.34899000000000002"/>
    <n v="0.22885"/>
    <n v="17125.099999999999"/>
    <n v="99353.8"/>
    <m/>
    <m/>
    <n v="302834.68"/>
    <n v="714128.9"/>
    <n v="0"/>
    <m/>
    <m/>
    <s v="Horária Verde"/>
    <n v="0.91321428571428576"/>
    <n v="0.99657142857142855"/>
    <n v="0"/>
    <n v="0"/>
    <n v="0"/>
    <n v="0"/>
    <n v="0"/>
    <n v="1.05"/>
    <n v="1"/>
    <s v=""/>
    <n v="0"/>
    <n v="1203.3000000000002"/>
    <n v="1321.875"/>
    <n v="501634.58"/>
  </r>
  <r>
    <x v="0"/>
    <d v="2018-01-05T00:00:00"/>
    <x v="3"/>
    <x v="4"/>
    <n v="30"/>
    <n v="8.9999999999999993E-3"/>
    <n v="4.1200000000000001E-2"/>
    <n v="0.18"/>
    <n v="1400"/>
    <n v="1400"/>
    <n v="1370"/>
    <n v="1450.7"/>
    <m/>
    <m/>
    <n v="10.77"/>
    <m/>
    <n v="67031.8"/>
    <n v="519119.5"/>
    <n v="0.43986999999999998"/>
    <n v="3.6769999999999997E-2"/>
    <n v="0.34899000000000002"/>
    <n v="0.22885"/>
    <n v="11008.6"/>
    <n v="66379.100000000006"/>
    <m/>
    <m/>
    <n v="253189.61"/>
    <n v="586151.30000000005"/>
    <n v="723.2"/>
    <m/>
    <m/>
    <s v="Horária Verde"/>
    <n v="0.97857142857142854"/>
    <n v="1.0362142857142858"/>
    <n v="0"/>
    <n v="0"/>
    <n v="2.8563573363061781E-3"/>
    <n v="0"/>
    <n v="0"/>
    <n v="1.05"/>
    <n v="1"/>
    <s v=""/>
    <n v="0"/>
    <n v="1203.3000000000002"/>
    <n v="1321.875"/>
    <n v="501634.58"/>
  </r>
  <r>
    <x v="0"/>
    <d v="2018-01-06T00:00:00"/>
    <x v="3"/>
    <x v="5"/>
    <n v="32"/>
    <n v="5.7999999999999996E-3"/>
    <n v="2.69E-2"/>
    <n v="0.18"/>
    <n v="1400"/>
    <n v="1400"/>
    <n v="1199.5"/>
    <n v="1238.2"/>
    <m/>
    <m/>
    <n v="10.77"/>
    <m/>
    <n v="60678"/>
    <n v="467907.5"/>
    <n v="0.43986999999999998"/>
    <n v="3.6769999999999997E-2"/>
    <n v="0.34899000000000002"/>
    <n v="0.22885"/>
    <n v="6878.8"/>
    <n v="39115.699999999997"/>
    <m/>
    <m/>
    <n v="232041.39"/>
    <n v="528585.5"/>
    <n v="6039.03"/>
    <n v="2276.56"/>
    <m/>
    <s v="Horária Verde"/>
    <n v="0.85678571428571426"/>
    <n v="0.88442857142857145"/>
    <n v="0"/>
    <n v="0"/>
    <n v="2.6025658612026069E-2"/>
    <n v="9.8110082860648259E-3"/>
    <n v="0"/>
    <n v="1.05"/>
    <n v="1"/>
    <s v=""/>
    <n v="0"/>
    <n v="1203.3000000000002"/>
    <n v="1321.875"/>
    <n v="501634.58"/>
  </r>
  <r>
    <x v="0"/>
    <d v="2018-01-07T00:00:00"/>
    <x v="3"/>
    <x v="6"/>
    <n v="29"/>
    <n v="6.3E-3"/>
    <n v="2.92E-2"/>
    <n v="0.18"/>
    <n v="1400"/>
    <n v="1400"/>
    <n v="1180.2"/>
    <n v="1176"/>
    <m/>
    <m/>
    <n v="10.77"/>
    <m/>
    <n v="60880.1"/>
    <n v="431640.8"/>
    <n v="0.43986999999999998"/>
    <n v="3.6769999999999997E-2"/>
    <n v="0.34899000000000002"/>
    <n v="0.22885"/>
    <n v="5293.1"/>
    <n v="27310.3"/>
    <m/>
    <m/>
    <n v="242930.02"/>
    <n v="492520.9"/>
    <m/>
    <n v="30270.36"/>
    <m/>
    <s v="Horária Verde"/>
    <n v="0.84300000000000008"/>
    <n v="0.84"/>
    <n v="0"/>
    <n v="0"/>
    <n v="0"/>
    <n v="0.12460526698182466"/>
    <n v="0"/>
    <n v="1.05"/>
    <n v="1"/>
    <s v=""/>
    <n v="0"/>
    <n v="1203.3000000000002"/>
    <n v="1321.875"/>
    <n v="501634.58"/>
  </r>
  <r>
    <x v="0"/>
    <d v="2018-01-08T00:00:00"/>
    <x v="3"/>
    <x v="7"/>
    <n v="31"/>
    <n v="5.8999999999999999E-3"/>
    <n v="2.7199999999999998E-2"/>
    <n v="0.18"/>
    <n v="1400"/>
    <n v="1400"/>
    <n v="1160.9000000000001"/>
    <n v="1186.9000000000001"/>
    <m/>
    <m/>
    <n v="11.17"/>
    <m/>
    <n v="62498.7"/>
    <n v="442960.1"/>
    <n v="0.47503000000000001"/>
    <n v="5.7279999999999998E-2"/>
    <n v="0.41154000000000002"/>
    <n v="0.25807999999999998"/>
    <n v="6362.6"/>
    <n v="36031.599999999999"/>
    <m/>
    <m/>
    <n v="282517.84999999998"/>
    <n v="505458.8"/>
    <m/>
    <n v="31054"/>
    <m/>
    <s v="Horária Verde"/>
    <n v="0.82921428571428579"/>
    <n v="0.84778571428571436"/>
    <n v="0"/>
    <n v="0"/>
    <n v="0"/>
    <n v="0.10991871841018187"/>
    <n v="0"/>
    <n v="1.05"/>
    <n v="1"/>
    <s v=""/>
    <n v="0"/>
    <n v="1203.3000000000002"/>
    <n v="1321.875"/>
    <n v="501634.58"/>
  </r>
  <r>
    <x v="0"/>
    <d v="2018-01-09T00:00:00"/>
    <x v="3"/>
    <x v="8"/>
    <n v="32"/>
    <n v="8.9999999999999993E-3"/>
    <n v="4.1399999999999999E-2"/>
    <n v="0.18"/>
    <n v="1400"/>
    <n v="1400"/>
    <n v="1087.8"/>
    <n v="1116.4000000000001"/>
    <m/>
    <m/>
    <n v="11.17"/>
    <m/>
    <n v="58810.3"/>
    <n v="438786.6"/>
    <n v="0.47503000000000001"/>
    <n v="5.7279999999999998E-2"/>
    <n v="0.41154000000000002"/>
    <n v="0.25807999999999998"/>
    <n v="4196.3999999999996"/>
    <n v="27751.1"/>
    <m/>
    <m/>
    <n v="282682.28000000003"/>
    <n v="497596.9"/>
    <m/>
    <n v="30698.92"/>
    <m/>
    <s v="Horária Verde"/>
    <n v="0.77699999999999991"/>
    <n v="0.79742857142857149"/>
    <n v="0"/>
    <n v="0"/>
    <n v="0"/>
    <n v="0.10859867127150663"/>
    <n v="0"/>
    <n v="1.05"/>
    <n v="1"/>
    <s v=""/>
    <n v="0"/>
    <n v="1203.3000000000002"/>
    <n v="1321.875"/>
    <n v="501634.58"/>
  </r>
  <r>
    <x v="0"/>
    <d v="2018-01-10T00:00:00"/>
    <x v="3"/>
    <x v="9"/>
    <n v="29"/>
    <n v="9.2999999999999992E-3"/>
    <n v="4.2599999999999999E-2"/>
    <n v="0.18"/>
    <n v="1400"/>
    <n v="1400"/>
    <n v="1310.4000000000001"/>
    <n v="1423.8"/>
    <m/>
    <m/>
    <n v="11.17"/>
    <m/>
    <n v="67688.5"/>
    <n v="498665.6"/>
    <n v="0.47503000000000001"/>
    <n v="5.7279999999999998E-2"/>
    <n v="0.41154000000000002"/>
    <n v="0.25807999999999998"/>
    <n v="7754"/>
    <n v="40195.1"/>
    <m/>
    <m/>
    <n v="320561.5"/>
    <n v="566354.1"/>
    <m/>
    <n v="34953.78"/>
    <m/>
    <s v="Horária Verde"/>
    <n v="0.93600000000000005"/>
    <n v="1.0169999999999999"/>
    <n v="0"/>
    <n v="0"/>
    <n v="0"/>
    <n v="0.10903923272133428"/>
    <n v="0"/>
    <n v="1.05"/>
    <n v="1"/>
    <s v=""/>
    <n v="0"/>
    <n v="1203.3000000000002"/>
    <n v="1321.875"/>
    <n v="501634.58"/>
  </r>
  <r>
    <x v="0"/>
    <d v="2018-01-11T00:00:00"/>
    <x v="3"/>
    <x v="10"/>
    <n v="33"/>
    <n v="8.5000000000000006E-3"/>
    <n v="3.9399999999999998E-2"/>
    <n v="0.18"/>
    <n v="1400"/>
    <n v="1400"/>
    <n v="1005.5"/>
    <n v="1101.2"/>
    <m/>
    <m/>
    <n v="11.17"/>
    <m/>
    <n v="65275.6"/>
    <n v="503420"/>
    <n v="0.47503000000000001"/>
    <n v="5.7279999999999998E-2"/>
    <n v="0.41154000000000002"/>
    <n v="0.25807999999999998"/>
    <n v="7544.9"/>
    <n v="44122.3"/>
    <m/>
    <m/>
    <n v="313746.3"/>
    <n v="568695.6"/>
    <n v="1062.52"/>
    <n v="29751.07"/>
    <m/>
    <s v="Horária Verde"/>
    <n v="0.71821428571428569"/>
    <n v="0.78657142857142859"/>
    <n v="0"/>
    <n v="0"/>
    <n v="3.3865578653835917E-3"/>
    <n v="9.482524574791798E-2"/>
    <n v="0"/>
    <n v="1.05"/>
    <n v="1"/>
    <s v=""/>
    <n v="0"/>
    <n v="1203.3000000000002"/>
    <n v="1321.875"/>
    <n v="501634.58"/>
  </r>
  <r>
    <x v="0"/>
    <d v="2018-01-12T00:00:00"/>
    <x v="3"/>
    <x v="11"/>
    <n v="29"/>
    <n v="1.0800000000000001E-2"/>
    <n v="4.9599999999999998E-2"/>
    <n v="0.18"/>
    <n v="1400"/>
    <n v="1400"/>
    <n v="1283.5"/>
    <n v="1533.8"/>
    <m/>
    <m/>
    <n v="11.17"/>
    <m/>
    <n v="12479.8"/>
    <n v="446821.8"/>
    <n v="0.47503000000000001"/>
    <n v="5.7279999999999998E-2"/>
    <n v="0.41154000000000002"/>
    <n v="0.25807999999999998"/>
    <n v="8924.7999999999993"/>
    <n v="56475.1"/>
    <m/>
    <m/>
    <n v="266194.02"/>
    <n v="459301.6"/>
    <n v="5358.41"/>
    <m/>
    <m/>
    <s v="Horária Verde"/>
    <n v="0.91678571428571431"/>
    <n v="1.0955714285714286"/>
    <n v="0"/>
    <n v="1"/>
    <n v="2.0129715911724837E-2"/>
    <n v="0"/>
    <n v="0"/>
    <n v="1.05"/>
    <n v="1"/>
    <s v="FP"/>
    <n v="1"/>
    <n v="1203.3000000000002"/>
    <n v="1321.875"/>
    <n v="501634.58"/>
  </r>
  <r>
    <x v="0"/>
    <d v="2019-01-01T00:00:00"/>
    <x v="4"/>
    <x v="0"/>
    <n v="30"/>
    <n v="1.0800000000000001E-2"/>
    <n v="4.9599999999999998E-2"/>
    <n v="0.18"/>
    <n v="1400"/>
    <n v="1400"/>
    <n v="1258.3"/>
    <n v="1559.9"/>
    <m/>
    <m/>
    <n v="11.17"/>
    <m/>
    <n v="48326.7"/>
    <n v="452707.1"/>
    <n v="0.47503000000000001"/>
    <n v="5.7279999999999998E-2"/>
    <n v="0.41154000000000002"/>
    <n v="0.25807999999999998"/>
    <n v="10608.2"/>
    <n v="74001.899999999994"/>
    <m/>
    <m/>
    <n v="253859.49"/>
    <n v="501033.8"/>
    <n v="0"/>
    <n v="0"/>
    <n v="0"/>
    <s v="Horária Verde"/>
    <n v="0.8987857142857143"/>
    <n v="1.1142142857142858"/>
    <n v="0"/>
    <n v="1"/>
    <n v="0"/>
    <n v="0"/>
    <n v="0"/>
    <n v="1.05"/>
    <n v="1"/>
    <s v="FP"/>
    <n v="1"/>
    <n v="1203.3000000000002"/>
    <n v="1321.875"/>
    <n v="501634.58"/>
  </r>
  <r>
    <x v="0"/>
    <d v="2019-02-01T00:00:00"/>
    <x v="4"/>
    <x v="1"/>
    <n v="32"/>
    <n v="9.5999999999999992E-3"/>
    <n v="4.3999999999999997E-2"/>
    <n v="0.18"/>
    <n v="1400"/>
    <n v="1400"/>
    <n v="1209.3166666666664"/>
    <n v="1039.9000000000001"/>
    <m/>
    <m/>
    <n v="11.17"/>
    <m/>
    <n v="61923.1"/>
    <n v="561112.4"/>
    <n v="0.47503000000000001"/>
    <n v="5.7279999999999998E-2"/>
    <n v="0.41154000000000002"/>
    <n v="0.25807999999999998"/>
    <n v="14563.7"/>
    <n v="99169.8"/>
    <m/>
    <m/>
    <n v="306528.99"/>
    <n v="623035.5"/>
    <n v="0"/>
    <n v="0"/>
    <n v="0"/>
    <s v="Horária Verde"/>
    <n v="0.86379761904761887"/>
    <n v="0.74278571428571438"/>
    <n v="0"/>
    <n v="0"/>
    <n v="0"/>
    <n v="0"/>
    <n v="0"/>
    <n v="1.05"/>
    <n v="1"/>
    <s v=""/>
    <n v="0"/>
    <n v="1203.3000000000002"/>
    <n v="1321.875"/>
    <n v="501634.58"/>
  </r>
  <r>
    <x v="0"/>
    <d v="2019-03-01T00:00:00"/>
    <x v="4"/>
    <x v="2"/>
    <n v="30"/>
    <n v="1.11E-2"/>
    <n v="5.0999999999999997E-2"/>
    <n v="0.18"/>
    <n v="1400"/>
    <n v="1400"/>
    <n v="1231.8347222222221"/>
    <n v="1425.5"/>
    <m/>
    <m/>
    <n v="11.17"/>
    <m/>
    <n v="67196"/>
    <n v="524148.7"/>
    <n v="0.47503000000000001"/>
    <n v="5.7279999999999998E-2"/>
    <n v="0.41154000000000002"/>
    <n v="0.25807999999999998"/>
    <n v="15316.4"/>
    <n v="90817.4"/>
    <m/>
    <m/>
    <n v="297435.84999999998"/>
    <n v="591344.69999999995"/>
    <n v="0"/>
    <n v="0"/>
    <n v="0"/>
    <s v="Horária Verde"/>
    <n v="0.87988194444444434"/>
    <n v="1.0182142857142857"/>
    <n v="0"/>
    <n v="0"/>
    <n v="0"/>
    <n v="0"/>
    <n v="0"/>
    <n v="1.05"/>
    <n v="1"/>
    <s v=""/>
    <n v="0"/>
    <n v="1203.3000000000002"/>
    <n v="1321.875"/>
    <n v="501634.58"/>
  </r>
  <r>
    <x v="0"/>
    <d v="2019-04-01T00:00:00"/>
    <x v="4"/>
    <x v="3"/>
    <n v="29"/>
    <n v="1.0200000000000001E-2"/>
    <n v="4.7199999999999999E-2"/>
    <n v="0.18"/>
    <n v="1400"/>
    <n v="1400"/>
    <n v="1464.1"/>
    <n v="1664"/>
    <m/>
    <m/>
    <n v="11.17"/>
    <m/>
    <n v="77599"/>
    <n v="551728.6"/>
    <n v="0.47503000000000001"/>
    <n v="5.7279999999999998E-2"/>
    <n v="0.41154000000000002"/>
    <n v="0.25807999999999998"/>
    <n v="16471.099999999999"/>
    <n v="93475.4"/>
    <m/>
    <m/>
    <n v="322952.25"/>
    <n v="629327.6"/>
    <n v="0"/>
    <n v="0"/>
    <n v="0"/>
    <s v="Horária Verde"/>
    <n v="1.0457857142857143"/>
    <n v="1.1885714285714286"/>
    <n v="0"/>
    <n v="1"/>
    <n v="0"/>
    <n v="0"/>
    <n v="0"/>
    <n v="1.05"/>
    <n v="1"/>
    <s v="FP"/>
    <n v="1"/>
    <n v="1203.3000000000002"/>
    <n v="1321.875"/>
    <n v="501634.58"/>
  </r>
  <r>
    <x v="0"/>
    <d v="2019-05-01T00:00:00"/>
    <x v="4"/>
    <x v="4"/>
    <n v="32"/>
    <n v="7.3000000000000001E-3"/>
    <n v="3.3399999999999999E-2"/>
    <n v="0.18"/>
    <n v="1400"/>
    <n v="1400"/>
    <n v="1411.2"/>
    <n v="1533"/>
    <m/>
    <m/>
    <n v="11.17"/>
    <m/>
    <n v="68075.5"/>
    <n v="531769.1"/>
    <n v="0.47503000000000001"/>
    <n v="5.7279999999999998E-2"/>
    <n v="0.41154000000000002"/>
    <n v="0.25807999999999998"/>
    <n v="13048.8"/>
    <n v="77461.899999999994"/>
    <m/>
    <m/>
    <n v="303892.33"/>
    <n v="599844.6"/>
    <n v="1386.79"/>
    <n v="0"/>
    <n v="0"/>
    <s v="Horária Verde"/>
    <n v="1.008"/>
    <n v="1.095"/>
    <n v="0"/>
    <n v="1"/>
    <n v="4.5634254737524959E-3"/>
    <n v="0"/>
    <n v="0"/>
    <n v="1.05"/>
    <n v="1"/>
    <s v="FP"/>
    <n v="1"/>
    <n v="1203.3000000000002"/>
    <n v="1321.875"/>
    <n v="501634.58"/>
  </r>
  <r>
    <x v="0"/>
    <d v="2019-06-01T00:00:00"/>
    <x v="4"/>
    <x v="5"/>
    <n v="29"/>
    <n v="8.5000000000000006E-3"/>
    <n v="3.9100000000000003E-2"/>
    <n v="0.18"/>
    <n v="1400"/>
    <n v="1400"/>
    <n v="1181"/>
    <n v="1281"/>
    <m/>
    <m/>
    <n v="11.17"/>
    <m/>
    <n v="57229.4"/>
    <n v="433761.3"/>
    <n v="0.47503000000000001"/>
    <n v="5.7279999999999998E-2"/>
    <n v="0.41154000000000002"/>
    <n v="0.25807999999999998"/>
    <n v="7467.8"/>
    <n v="44050.7"/>
    <m/>
    <m/>
    <n v="253860.52"/>
    <n v="490990.7"/>
    <n v="5224.18"/>
    <n v="0"/>
    <n v="0"/>
    <s v="Horária Verde"/>
    <n v="0.84357142857142853"/>
    <n v="0.91500000000000004"/>
    <n v="0"/>
    <n v="0"/>
    <n v="2.0578938387111161E-2"/>
    <n v="0"/>
    <n v="0"/>
    <n v="1.05"/>
    <n v="1"/>
    <s v=""/>
    <n v="0"/>
    <n v="1203.3000000000002"/>
    <n v="1321.875"/>
    <n v="501634.58"/>
  </r>
  <r>
    <x v="0"/>
    <d v="2019-07-01T00:00:00"/>
    <x v="4"/>
    <x v="6"/>
    <n v="28"/>
    <n v="9.1999999999999998E-3"/>
    <n v="4.24E-2"/>
    <n v="0.18"/>
    <n v="1400"/>
    <n v="1400"/>
    <n v="1134.8"/>
    <n v="1175.2"/>
    <m/>
    <m/>
    <n v="11.17"/>
    <m/>
    <n v="54180.2"/>
    <n v="405040.2"/>
    <n v="0.47503000000000001"/>
    <n v="5.7279999999999998E-2"/>
    <n v="0.41154000000000002"/>
    <n v="0.25807999999999998"/>
    <n v="5559.3"/>
    <n v="33415.4"/>
    <m/>
    <m/>
    <n v="235724.1"/>
    <n v="459220.4"/>
    <n v="607.83000000000004"/>
    <n v="0"/>
    <n v="0"/>
    <s v="Horária Verde"/>
    <n v="0.8105714285714285"/>
    <n v="0.83942857142857141"/>
    <n v="0"/>
    <n v="0"/>
    <n v="2.5785653651875223E-3"/>
    <n v="0"/>
    <n v="0"/>
    <n v="1.05"/>
    <n v="1"/>
    <s v=""/>
    <n v="0"/>
    <n v="1203.3000000000002"/>
    <n v="1321.875"/>
    <n v="501634.58"/>
  </r>
  <r>
    <x v="0"/>
    <d v="2019-08-01T00:00:00"/>
    <x v="4"/>
    <x v="7"/>
    <n v="31"/>
    <n v="9.9000000000000008E-3"/>
    <n v="4.5400000000000003E-2"/>
    <n v="0.18"/>
    <n v="1400"/>
    <n v="1400"/>
    <n v="1134.8"/>
    <n v="946.7"/>
    <m/>
    <m/>
    <n v="12.90226"/>
    <m/>
    <n v="55910.8"/>
    <n v="415130.3"/>
    <n v="0.55945999999999996"/>
    <n v="7.5029999999999999E-2"/>
    <n v="0.40514"/>
    <n v="0.24284"/>
    <n v="3654.6"/>
    <n v="27306.3"/>
    <m/>
    <m/>
    <n v="259244.7"/>
    <n v="471041.1"/>
    <n v="8164.5700000000006"/>
    <n v="1501.53"/>
    <n v="0"/>
    <s v="Horária Verde"/>
    <n v="0.8105714285714285"/>
    <n v="0.67621428571428577"/>
    <n v="0"/>
    <n v="0"/>
    <n v="3.1493681452311274E-2"/>
    <n v="5.7919409731423625E-3"/>
    <n v="0"/>
    <n v="1.05"/>
    <n v="1"/>
    <s v=""/>
    <n v="0"/>
    <n v="1203.3000000000002"/>
    <n v="1321.875"/>
    <n v="501634.58"/>
  </r>
  <r>
    <x v="0"/>
    <d v="2019-09-01T00:00:00"/>
    <x v="4"/>
    <x v="8"/>
    <n v="32"/>
    <n v="9.7999999999999997E-3"/>
    <n v="4.4999999999999998E-2"/>
    <n v="0.18"/>
    <n v="1400"/>
    <n v="1400"/>
    <n v="1011.4"/>
    <n v="1097"/>
    <m/>
    <m/>
    <n v="12.96"/>
    <m/>
    <n v="27610.1"/>
    <n v="420541"/>
    <n v="0.56227000000000005"/>
    <n v="7.5620000000000007E-2"/>
    <n v="0.40493000000000001"/>
    <n v="0.24232999999999999"/>
    <n v="2291.5"/>
    <n v="16554.3"/>
    <m/>
    <m/>
    <n v="277921.91999999998"/>
    <n v="448151.1"/>
    <n v="0"/>
    <n v="23622.739999999998"/>
    <n v="0"/>
    <s v="Horária Verde"/>
    <n v="0.72242857142857142"/>
    <n v="0.78357142857142859"/>
    <n v="0"/>
    <n v="0"/>
    <n v="0"/>
    <n v="8.499775764358565E-2"/>
    <n v="0"/>
    <n v="1.05"/>
    <n v="1"/>
    <s v=""/>
    <n v="0"/>
    <n v="1203.3000000000002"/>
    <n v="1321.875"/>
    <n v="501634.58"/>
  </r>
  <r>
    <x v="0"/>
    <d v="2019-10-01T00:00:00"/>
    <x v="4"/>
    <x v="9"/>
    <n v="29"/>
    <n v="9.7000000000000003E-3"/>
    <n v="4.4699999999999997E-2"/>
    <n v="0.18"/>
    <n v="1400"/>
    <n v="1400"/>
    <n v="1127.3"/>
    <n v="1261.7"/>
    <m/>
    <m/>
    <n v="12.96"/>
    <m/>
    <n v="54350.3"/>
    <n v="402919"/>
    <n v="0.56227000000000005"/>
    <n v="7.5620000000000007E-2"/>
    <n v="0.40493000000000001"/>
    <n v="0.24232999999999999"/>
    <n v="7337.2"/>
    <n v="42010.3"/>
    <m/>
    <m/>
    <n v="263562.09000000003"/>
    <n v="457269.3"/>
    <n v="583.36"/>
    <n v="21001.43"/>
    <n v="0"/>
    <s v="Horária Verde"/>
    <n v="0.80521428571428566"/>
    <n v="0.90121428571428575"/>
    <n v="0"/>
    <n v="0"/>
    <n v="2.213368394521382E-3"/>
    <n v="7.9683045463784255E-2"/>
    <n v="0"/>
    <n v="1.05"/>
    <n v="1"/>
    <s v=""/>
    <n v="0"/>
    <n v="1203.3000000000002"/>
    <n v="1321.875"/>
    <n v="501634.58"/>
  </r>
  <r>
    <x v="0"/>
    <d v="2019-11-01T00:00:00"/>
    <x v="4"/>
    <x v="10"/>
    <n v="33"/>
    <n v="8.6E-3"/>
    <n v="3.9699999999999999E-2"/>
    <n v="0.18"/>
    <n v="1400"/>
    <n v="1400"/>
    <n v="1464.1"/>
    <n v="1619.5"/>
    <m/>
    <m/>
    <n v="12.96"/>
    <m/>
    <n v="72538.8"/>
    <n v="528500.69999999995"/>
    <n v="0.56227000000000005"/>
    <n v="7.5620000000000007E-2"/>
    <n v="0.40493000000000001"/>
    <n v="0.24232999999999999"/>
    <n v="14994.8"/>
    <n v="87038.7"/>
    <m/>
    <m/>
    <n v="337241.77"/>
    <n v="601039.5"/>
    <n v="9774.369999999999"/>
    <n v="3747.07"/>
    <n v="0"/>
    <s v="Horária Verde"/>
    <n v="1.0457857142857143"/>
    <n v="1.1567857142857143"/>
    <n v="0"/>
    <n v="1"/>
    <n v="2.898327214923584E-2"/>
    <n v="1.111093089091544E-2"/>
    <n v="0"/>
    <n v="1.05"/>
    <n v="1"/>
    <s v="FP"/>
    <n v="1"/>
    <n v="1203.3000000000002"/>
    <n v="1321.875"/>
    <n v="501634.58"/>
  </r>
  <r>
    <x v="0"/>
    <d v="2019-12-01T00:00:00"/>
    <x v="4"/>
    <x v="11"/>
    <n v="31"/>
    <n v="8.8999999999999999E-3"/>
    <n v="4.0899999999999999E-2"/>
    <n v="0.18"/>
    <n v="1400"/>
    <n v="1400"/>
    <n v="1149.0999999999999"/>
    <n v="1302"/>
    <m/>
    <m/>
    <n v="12.96"/>
    <m/>
    <n v="60725.3"/>
    <n v="465373.4"/>
    <n v="0.56227000000000005"/>
    <n v="7.5620000000000007E-2"/>
    <n v="0.40493000000000001"/>
    <n v="0.24232999999999999"/>
    <n v="9753.9"/>
    <n v="64884.800000000003"/>
    <m/>
    <m/>
    <n v="299623.96999999997"/>
    <n v="526098.70000000007"/>
    <n v="1406.9099999999999"/>
    <n v="22710.81"/>
    <n v="0"/>
    <s v="Horária Verde"/>
    <n v="0.82078571428571423"/>
    <n v="0.93"/>
    <n v="0"/>
    <n v="0"/>
    <n v="4.6955856035149658E-3"/>
    <n v="7.5797707373011586E-2"/>
    <n v="0"/>
    <n v="1.05"/>
    <n v="1"/>
    <s v=""/>
    <n v="0"/>
    <n v="1203.3000000000002"/>
    <n v="1321.875"/>
    <n v="501634.58"/>
  </r>
  <r>
    <x v="0"/>
    <d v="2020-01-01T00:00:00"/>
    <x v="5"/>
    <x v="0"/>
    <n v="29"/>
    <n v="8.6E-3"/>
    <n v="3.9699999999999999E-2"/>
    <n v="0.18"/>
    <n v="1400"/>
    <n v="1400"/>
    <n v="1198.7"/>
    <n v="1286"/>
    <m/>
    <m/>
    <n v="12.96"/>
    <m/>
    <n v="49022.2"/>
    <n v="406632.9"/>
    <n v="0.56227000000000005"/>
    <n v="7.5620000000000007E-2"/>
    <n v="0.40493000000000001"/>
    <n v="0.24232999999999999"/>
    <n v="8741.9"/>
    <n v="61121.599999999999"/>
    <m/>
    <m/>
    <n v="244906.81"/>
    <n v="455655.1"/>
    <n v="6764.87"/>
    <n v="811.92"/>
    <n v="0"/>
    <s v="Horária Verde"/>
    <n v="0.85621428571428571"/>
    <n v="0.91857142857142859"/>
    <n v="0"/>
    <n v="0"/>
    <n v="2.7622220876585668E-2"/>
    <n v="3.315220185179824E-3"/>
    <n v="0"/>
    <n v="1.05"/>
    <n v="1"/>
    <s v=""/>
    <n v="0"/>
    <n v="1203.3000000000002"/>
    <n v="1321.875"/>
    <n v="501634.58"/>
  </r>
  <r>
    <x v="0"/>
    <d v="2020-02-01T00:00:00"/>
    <x v="5"/>
    <x v="1"/>
    <n v="32"/>
    <n v="9.5999999999999992E-3"/>
    <n v="4.41E-2"/>
    <n v="0.18"/>
    <n v="1400"/>
    <n v="1400"/>
    <n v="1102.9000000000001"/>
    <n v="1260.8"/>
    <m/>
    <m/>
    <n v="12.96"/>
    <m/>
    <n v="54860.6"/>
    <n v="458691.2"/>
    <n v="0.56227000000000005"/>
    <n v="7.5620000000000007E-2"/>
    <n v="0.40493000000000001"/>
    <n v="0.24232999999999999"/>
    <n v="9481.7000000000007"/>
    <n v="66829.100000000006"/>
    <m/>
    <m/>
    <n v="274129.59999999998"/>
    <n v="513551.9"/>
    <n v="6656.31"/>
    <n v="796.1"/>
    <n v="0"/>
    <s v="Horária Verde"/>
    <n v="0.78778571428571431"/>
    <n v="0.90057142857142858"/>
    <n v="0"/>
    <n v="0"/>
    <n v="2.4281617162101431E-2"/>
    <n v="2.9041008340580515E-3"/>
    <n v="0"/>
    <n v="1.05"/>
    <n v="1"/>
    <s v=""/>
    <n v="0"/>
    <n v="1203.3000000000002"/>
    <n v="1321.875"/>
    <n v="501634.58"/>
  </r>
  <r>
    <x v="0"/>
    <d v="2020-03-01T00:00:00"/>
    <x v="5"/>
    <x v="2"/>
    <n v="30"/>
    <n v="9.4999999999999998E-3"/>
    <n v="4.3900000000000002E-2"/>
    <n v="0.18"/>
    <n v="1400"/>
    <n v="1400"/>
    <n v="1291.0999999999999"/>
    <n v="1573.3"/>
    <m/>
    <m/>
    <n v="12.96"/>
    <m/>
    <n v="53632.9"/>
    <n v="421897.1"/>
    <n v="0.56227000000000005"/>
    <n v="7.5620000000000007E-2"/>
    <n v="0.40493000000000001"/>
    <n v="0.24232999999999999"/>
    <n v="10121.6"/>
    <n v="65970.5"/>
    <m/>
    <m/>
    <n v="259077.41"/>
    <n v="475530.1"/>
    <n v="0"/>
    <n v="0"/>
    <n v="0"/>
    <s v="Horária Verde"/>
    <n v="0.92221428571428565"/>
    <n v="1.1237857142857142"/>
    <n v="0"/>
    <n v="1"/>
    <n v="0"/>
    <n v="0"/>
    <n v="0"/>
    <n v="1.05"/>
    <n v="1"/>
    <s v="FP"/>
    <n v="1"/>
    <n v="1203.3000000000002"/>
    <n v="1321.875"/>
    <n v="501634.58"/>
  </r>
  <r>
    <x v="0"/>
    <d v="2020-04-01T00:00:00"/>
    <x v="5"/>
    <x v="3"/>
    <n v="28"/>
    <n v="2.3E-3"/>
    <n v="1.06E-2"/>
    <n v="0.18"/>
    <n v="1400"/>
    <n v="1400"/>
    <n v="1155"/>
    <n v="1239.8"/>
    <m/>
    <m/>
    <n v="12.96"/>
    <m/>
    <n v="46047.8"/>
    <n v="379505.3"/>
    <n v="0.56227000000000005"/>
    <n v="7.5620000000000007E-2"/>
    <n v="0.40493000000000001"/>
    <n v="0.24232999999999999"/>
    <n v="7715.4"/>
    <n v="51231.199999999997"/>
    <m/>
    <m/>
    <n v="213486.21"/>
    <n v="425553"/>
    <n v="0"/>
    <n v="0"/>
    <n v="0"/>
    <s v="Horária Verde"/>
    <n v="0.82499999999999996"/>
    <n v="0.88557142857142856"/>
    <n v="0"/>
    <n v="0"/>
    <n v="0"/>
    <n v="0"/>
    <n v="0"/>
    <n v="1.05"/>
    <n v="1"/>
    <s v=""/>
    <n v="0"/>
    <n v="1203.3000000000002"/>
    <n v="1321.875"/>
    <n v="501634.58"/>
  </r>
  <r>
    <x v="1"/>
    <d v="2015-01-01T00:00:00"/>
    <x v="0"/>
    <x v="0"/>
    <n v="31"/>
    <n v="6.6E-3"/>
    <n v="3.0200000000000001E-2"/>
    <n v="0.18"/>
    <n v="400"/>
    <n v="400"/>
    <n v="330.1"/>
    <n v="357"/>
    <m/>
    <m/>
    <n v="7.2061299999999999"/>
    <m/>
    <n v="14080"/>
    <n v="133278.40000000002"/>
    <n v="0.30130000000000001"/>
    <n v="7.2061299999999999"/>
    <n v="0.27045999999999998"/>
    <n v="0.16225999999999999"/>
    <n v="790.4"/>
    <n v="5381.5"/>
    <m/>
    <m/>
    <n v="44655.7"/>
    <n v="147358.40000000002"/>
    <m/>
    <n v="6139.52"/>
    <n v="7256.87"/>
    <s v="Horária Verde"/>
    <n v="0.82525000000000004"/>
    <n v="0.89249999999999996"/>
    <n v="0"/>
    <n v="0"/>
    <n v="0"/>
    <n v="0.13748569611494169"/>
    <n v="0.16250713794655555"/>
    <n v="1.05"/>
    <n v="1"/>
    <s v=""/>
    <n v="0"/>
    <n v="410.04999999999995"/>
    <n v="410.82499999999999"/>
    <n v="157561.57999999999"/>
  </r>
  <r>
    <x v="1"/>
    <d v="2015-02-01T00:00:00"/>
    <x v="0"/>
    <x v="1"/>
    <n v="28"/>
    <n v="1.2500000000000001E-2"/>
    <n v="5.7000000000000002E-2"/>
    <n v="0.18"/>
    <n v="400"/>
    <n v="400"/>
    <n v="401.5"/>
    <n v="393.1"/>
    <m/>
    <m/>
    <n v="7.77"/>
    <m/>
    <n v="15593.3"/>
    <n v="128378.79999999999"/>
    <n v="0.32399"/>
    <n v="2.179E-2"/>
    <n v="0.30051"/>
    <n v="0.19231000000000001"/>
    <n v="892.9"/>
    <n v="4020.9"/>
    <m/>
    <m/>
    <n v="50619.9"/>
    <n v="143972.09999999998"/>
    <m/>
    <n v="29374.52"/>
    <m/>
    <s v="Horária Verde"/>
    <n v="1.0037499999999999"/>
    <n v="0.98275000000000001"/>
    <n v="0"/>
    <n v="0"/>
    <n v="0"/>
    <n v="0.58029589153672767"/>
    <n v="0"/>
    <n v="1.05"/>
    <n v="1"/>
    <s v=""/>
    <n v="0"/>
    <n v="410.04999999999995"/>
    <n v="410.82499999999999"/>
    <n v="157561.57999999999"/>
  </r>
  <r>
    <x v="1"/>
    <d v="2015-03-01T00:00:00"/>
    <x v="0"/>
    <x v="2"/>
    <n v="31"/>
    <n v="9.4999999999999998E-3"/>
    <n v="4.36E-2"/>
    <n v="0.18"/>
    <n v="400"/>
    <n v="400"/>
    <n v="416.6"/>
    <n v="448.6"/>
    <m/>
    <m/>
    <n v="7.9153099999999998"/>
    <m/>
    <n v="19987.2"/>
    <n v="154744.29999999999"/>
    <n v="0.35271000000000002"/>
    <n v="4.4110000000000003E-2"/>
    <n v="0.33426499999999998"/>
    <n v="0.21911"/>
    <n v="1206.9000000000001"/>
    <n v="6626.2"/>
    <m/>
    <m/>
    <n v="71485.210000000006"/>
    <n v="174731.5"/>
    <m/>
    <n v="20122.620000000003"/>
    <n v="19903.97"/>
    <s v="Horária Verde"/>
    <n v="1.0415000000000001"/>
    <n v="1.1215000000000002"/>
    <n v="0"/>
    <n v="1"/>
    <n v="0"/>
    <n v="0.28149347256586366"/>
    <n v="0.27843479791134418"/>
    <n v="1.05"/>
    <n v="1"/>
    <s v="FP"/>
    <n v="1"/>
    <n v="410.04999999999995"/>
    <n v="410.82499999999999"/>
    <n v="157561.57999999999"/>
  </r>
  <r>
    <x v="1"/>
    <d v="2015-04-01T00:00:00"/>
    <x v="0"/>
    <x v="3"/>
    <n v="30"/>
    <n v="6.7000000000000002E-3"/>
    <n v="3.0800000000000001E-2"/>
    <n v="0.18"/>
    <n v="400"/>
    <n v="400"/>
    <n v="412.4"/>
    <n v="435.1"/>
    <m/>
    <m/>
    <n v="8.08"/>
    <m/>
    <n v="19337.099999999999"/>
    <n v="137819.1"/>
    <n v="0.38525999999999999"/>
    <n v="6.9409999999999999E-2"/>
    <n v="0.36798999999999998"/>
    <n v="0.24590999999999999"/>
    <n v="842.7"/>
    <n v="3717.8"/>
    <m/>
    <m/>
    <n v="74770.66"/>
    <n v="157156.20000000001"/>
    <m/>
    <n v="41021.65"/>
    <m/>
    <s v="Horária Verde"/>
    <n v="1.0309999999999999"/>
    <n v="1.08775"/>
    <n v="0"/>
    <n v="1"/>
    <n v="0"/>
    <n v="0.54863297983460357"/>
    <n v="0"/>
    <n v="1.05"/>
    <n v="1"/>
    <s v="FP"/>
    <n v="1"/>
    <n v="410.04999999999995"/>
    <n v="410.82499999999999"/>
    <n v="157561.57999999999"/>
  </r>
  <r>
    <x v="1"/>
    <d v="2015-05-01T00:00:00"/>
    <x v="0"/>
    <x v="4"/>
    <n v="31"/>
    <n v="8.5000000000000006E-3"/>
    <n v="3.9E-2"/>
    <n v="0.18"/>
    <n v="400"/>
    <n v="400"/>
    <n v="415.8"/>
    <n v="426.7"/>
    <m/>
    <m/>
    <n v="8.08"/>
    <m/>
    <n v="17394.099999999999"/>
    <n v="130229.90000000001"/>
    <n v="0.38525999999999999"/>
    <n v="6.4100000000000004E-2"/>
    <n v="0.36798999999999998"/>
    <n v="0.24590999999999999"/>
    <n v="846.1"/>
    <n v="2741.8"/>
    <m/>
    <m/>
    <n v="70753.3"/>
    <n v="147624"/>
    <m/>
    <n v="38425.660000000003"/>
    <m/>
    <s v="Horária Verde"/>
    <n v="1.0395000000000001"/>
    <n v="1.0667499999999999"/>
    <n v="0"/>
    <n v="1"/>
    <n v="0"/>
    <n v="0.54309353768658142"/>
    <n v="0"/>
    <n v="1.05"/>
    <n v="1"/>
    <s v="FP"/>
    <n v="1"/>
    <n v="410.04999999999995"/>
    <n v="410.82499999999999"/>
    <n v="157561.57999999999"/>
  </r>
  <r>
    <x v="1"/>
    <d v="2015-06-01T00:00:00"/>
    <x v="0"/>
    <x v="5"/>
    <n v="30"/>
    <n v="7.9000000000000008E-3"/>
    <n v="3.6400000000000002E-2"/>
    <n v="0.18"/>
    <n v="400"/>
    <n v="400"/>
    <n v="404"/>
    <n v="386.4"/>
    <m/>
    <m/>
    <n v="8.08"/>
    <m/>
    <n v="17451.599999999999"/>
    <n v="125393.5"/>
    <n v="0.38525999999999999"/>
    <n v="6.4100000000000004E-2"/>
    <n v="0.36798999999999998"/>
    <n v="0.24590999999999999"/>
    <n v="1017.5"/>
    <n v="2818.4"/>
    <m/>
    <m/>
    <n v="67916.61"/>
    <n v="142845.1"/>
    <m/>
    <n v="37257.54"/>
    <m/>
    <s v="Horária Verde"/>
    <n v="1.01"/>
    <n v="0.96599999999999997"/>
    <n v="0"/>
    <n v="0"/>
    <n v="0"/>
    <n v="0.54857773378264907"/>
    <n v="0"/>
    <n v="1.05"/>
    <n v="1"/>
    <s v=""/>
    <n v="0"/>
    <n v="410.04999999999995"/>
    <n v="410.82499999999999"/>
    <n v="157561.57999999999"/>
  </r>
  <r>
    <x v="1"/>
    <d v="2015-07-01T00:00:00"/>
    <x v="0"/>
    <x v="6"/>
    <n v="31"/>
    <n v="8.3999999999999995E-3"/>
    <n v="3.8900000000000004E-2"/>
    <n v="0.18"/>
    <n v="400"/>
    <n v="400"/>
    <n v="369.6"/>
    <n v="326.8"/>
    <m/>
    <m/>
    <n v="7.9631299999999996"/>
    <m/>
    <n v="19247"/>
    <n v="135506"/>
    <n v="0.38270999999999999"/>
    <n v="7.2239999999999999E-2"/>
    <n v="0.38373999999999997"/>
    <n v="0.25759333333333329"/>
    <n v="935.1"/>
    <n v="2807.5"/>
    <m/>
    <m/>
    <n v="75901.22"/>
    <n v="154753"/>
    <m/>
    <n v="29441.5"/>
    <n v="12503.32"/>
    <s v="Horária Verde"/>
    <n v="0.92400000000000004"/>
    <n v="0.81700000000000006"/>
    <n v="0"/>
    <n v="0"/>
    <n v="0"/>
    <n v="0.38789231582838851"/>
    <n v="0.16473147598945048"/>
    <n v="1.05"/>
    <n v="1"/>
    <s v=""/>
    <n v="0"/>
    <n v="410.04999999999995"/>
    <n v="410.82499999999999"/>
    <n v="157561.57999999999"/>
  </r>
  <r>
    <x v="1"/>
    <d v="2015-08-01T00:00:00"/>
    <x v="0"/>
    <x v="7"/>
    <n v="31"/>
    <n v="6.0000000000000001E-3"/>
    <n v="2.75E-2"/>
    <n v="0.18"/>
    <n v="400"/>
    <n v="400"/>
    <n v="352"/>
    <n v="353.6"/>
    <m/>
    <m/>
    <n v="7.74"/>
    <m/>
    <n v="19889.3"/>
    <n v="133409.5"/>
    <n v="0.37784000000000001"/>
    <n v="7.7630000000000005E-2"/>
    <n v="0.36024"/>
    <n v="0.22595999999999999"/>
    <n v="907.2"/>
    <n v="2772"/>
    <m/>
    <m/>
    <n v="79865.440000000002"/>
    <n v="153298.79999999999"/>
    <m/>
    <n v="8430.92"/>
    <m/>
    <s v="Horária Verde"/>
    <n v="0.88"/>
    <n v="0.88400000000000001"/>
    <n v="0"/>
    <n v="0"/>
    <n v="0"/>
    <n v="0.10556405874681214"/>
    <n v="0"/>
    <n v="1.05"/>
    <n v="1"/>
    <s v=""/>
    <n v="0"/>
    <n v="410.04999999999995"/>
    <n v="410.82499999999999"/>
    <n v="157561.57999999999"/>
  </r>
  <r>
    <x v="1"/>
    <d v="2015-09-01T00:00:00"/>
    <x v="0"/>
    <x v="8"/>
    <n v="30"/>
    <n v="1.1200000000000002E-2"/>
    <n v="5.1399999999999994E-2"/>
    <n v="0.18"/>
    <n v="400"/>
    <n v="400"/>
    <n v="325.10000000000002"/>
    <n v="311.60000000000002"/>
    <m/>
    <m/>
    <n v="7.74"/>
    <m/>
    <n v="14941.3"/>
    <n v="120934.9"/>
    <n v="0.37784000000000001"/>
    <n v="7.7630000000000005E-2"/>
    <n v="0.36024"/>
    <n v="0.22595999999999999"/>
    <n v="805.6"/>
    <n v="1819.9"/>
    <m/>
    <m/>
    <n v="71824.990000000005"/>
    <n v="135876.19999999998"/>
    <m/>
    <n v="6934.9"/>
    <m/>
    <s v="Horária Verde"/>
    <n v="0.81275000000000008"/>
    <n v="0.77900000000000003"/>
    <n v="0"/>
    <n v="0"/>
    <n v="0"/>
    <n v="9.6552745778314755E-2"/>
    <n v="0"/>
    <n v="1.05"/>
    <n v="1"/>
    <s v=""/>
    <n v="0"/>
    <n v="410.04999999999995"/>
    <n v="410.82499999999999"/>
    <n v="157561.57999999999"/>
  </r>
  <r>
    <x v="1"/>
    <d v="2015-10-01T00:00:00"/>
    <x v="0"/>
    <x v="9"/>
    <n v="31"/>
    <n v="1.18E-2"/>
    <n v="5.4600000000000003E-2"/>
    <n v="0.18"/>
    <n v="400"/>
    <n v="400"/>
    <n v="479.6"/>
    <n v="478.8"/>
    <m/>
    <m/>
    <n v="7.74"/>
    <m/>
    <n v="20946.7"/>
    <n v="142763.20000000001"/>
    <n v="0.37784000000000001"/>
    <n v="7.7630000000000005E-2"/>
    <n v="0.36024"/>
    <n v="0.22595999999999999"/>
    <n v="1719.9"/>
    <n v="6323.4"/>
    <m/>
    <m/>
    <n v="89186.84"/>
    <n v="163709.90000000002"/>
    <m/>
    <n v="7366.93"/>
    <m/>
    <s v="Horária Verde"/>
    <n v="1.1990000000000001"/>
    <n v="1.1970000000000001"/>
    <n v="1"/>
    <n v="1"/>
    <n v="0"/>
    <n v="8.2601087783803082E-2"/>
    <n v="0"/>
    <n v="1.05"/>
    <n v="1"/>
    <s v="P&amp;FP"/>
    <n v="1"/>
    <n v="410.04999999999995"/>
    <n v="410.82499999999999"/>
    <n v="157561.57999999999"/>
  </r>
  <r>
    <x v="1"/>
    <d v="2015-11-01T00:00:00"/>
    <x v="0"/>
    <x v="10"/>
    <n v="30"/>
    <n v="1.1000000000000001E-2"/>
    <n v="5.0599999999999999E-2"/>
    <n v="0.18"/>
    <n v="400"/>
    <n v="400"/>
    <n v="520.79999999999995"/>
    <n v="494.8"/>
    <m/>
    <m/>
    <n v="7.74"/>
    <m/>
    <n v="22475"/>
    <n v="154042.4"/>
    <n v="0.37784000000000001"/>
    <n v="7.7630000000000005E-2"/>
    <n v="0.36024"/>
    <n v="0.22595999999999999"/>
    <n v="1769.5"/>
    <n v="5828.2"/>
    <m/>
    <m/>
    <n v="95845.01"/>
    <n v="176517.4"/>
    <m/>
    <n v="7943.2699999999995"/>
    <m/>
    <s v="Horária Verde"/>
    <n v="1.3019999999999998"/>
    <n v="1.2370000000000001"/>
    <n v="1"/>
    <n v="1"/>
    <n v="0"/>
    <n v="8.2876197727977705E-2"/>
    <n v="0"/>
    <n v="1.05"/>
    <n v="1"/>
    <s v="P&amp;FP"/>
    <n v="1"/>
    <n v="410.04999999999995"/>
    <n v="410.82499999999999"/>
    <n v="157561.57999999999"/>
  </r>
  <r>
    <x v="1"/>
    <d v="2015-12-01T00:00:00"/>
    <x v="0"/>
    <x v="11"/>
    <n v="31"/>
    <n v="1.1000000000000001E-2"/>
    <n v="5.0999999999999997E-2"/>
    <n v="0.18"/>
    <n v="400"/>
    <n v="400"/>
    <n v="493.1"/>
    <n v="517.4"/>
    <m/>
    <m/>
    <n v="7.74"/>
    <m/>
    <n v="22970.6"/>
    <n v="169925.7"/>
    <n v="0.37784000000000001"/>
    <n v="7.7630000000000005E-2"/>
    <n v="0.36024"/>
    <n v="0.22595999999999999"/>
    <n v="2538.5"/>
    <n v="8464.2999999999993"/>
    <m/>
    <m/>
    <n v="103157.88"/>
    <n v="192896.30000000002"/>
    <m/>
    <n v="8680.32"/>
    <m/>
    <s v="Horária Verde"/>
    <n v="1.23275"/>
    <n v="1.2934999999999999"/>
    <n v="1"/>
    <n v="1"/>
    <n v="0"/>
    <n v="8.4145971204526493E-2"/>
    <n v="0"/>
    <n v="1.05"/>
    <n v="1"/>
    <s v="P&amp;FP"/>
    <n v="1"/>
    <n v="410.04999999999995"/>
    <n v="410.82499999999999"/>
    <n v="157561.57999999999"/>
  </r>
  <r>
    <x v="1"/>
    <s v="01/01/2016"/>
    <x v="1"/>
    <x v="0"/>
    <n v="31"/>
    <n v="9.2999999999999992E-3"/>
    <n v="4.2599999999999999E-2"/>
    <n v="0.18"/>
    <n v="400"/>
    <n v="400"/>
    <n v="420"/>
    <n v="458.6"/>
    <m/>
    <m/>
    <n v="7.74"/>
    <m/>
    <n v="15478.7"/>
    <n v="148543.5"/>
    <n v="0.37784000000000001"/>
    <n v="7.7630000000000005E-2"/>
    <n v="0.36024"/>
    <n v="0.22595999999999999"/>
    <n v="2234.4"/>
    <n v="9762.7000000000007"/>
    <m/>
    <m/>
    <n v="83801.63"/>
    <n v="164022.20000000001"/>
    <m/>
    <n v="7380.99"/>
    <m/>
    <s v="Horária Verde"/>
    <n v="1.05"/>
    <n v="1.1465000000000001"/>
    <n v="0"/>
    <n v="1"/>
    <n v="0"/>
    <n v="8.8076926427326049E-2"/>
    <n v="0"/>
    <n v="1.05"/>
    <n v="1"/>
    <s v="FP"/>
    <n v="1"/>
    <n v="410.04999999999995"/>
    <n v="410.82499999999999"/>
    <n v="157561.57999999999"/>
  </r>
  <r>
    <x v="1"/>
    <s v="01/02/2016"/>
    <x v="1"/>
    <x v="1"/>
    <n v="29"/>
    <n v="9.1999999999999998E-3"/>
    <n v="4.2200000000000001E-2"/>
    <n v="0.18"/>
    <n v="400"/>
    <n v="400"/>
    <n v="342.7"/>
    <n v="430.9"/>
    <m/>
    <m/>
    <n v="7.74"/>
    <m/>
    <n v="16802.900000000001"/>
    <n v="162906"/>
    <n v="0.37784000000000001"/>
    <n v="7.7630000000000005E-2"/>
    <n v="0.36024"/>
    <n v="0.22595999999999999"/>
    <n v="2239.4"/>
    <n v="9673.3000000000011"/>
    <m/>
    <m/>
    <n v="88354.5"/>
    <n v="179708.9"/>
    <m/>
    <n v="6779.0700000000006"/>
    <m/>
    <s v="Horária Verde"/>
    <n v="0.85675000000000001"/>
    <n v="1.07725"/>
    <n v="0"/>
    <n v="1"/>
    <n v="0"/>
    <n v="7.6725803439553167E-2"/>
    <n v="0"/>
    <n v="1.05"/>
    <n v="1"/>
    <s v="FP"/>
    <n v="1"/>
    <n v="410.04999999999995"/>
    <n v="410.82499999999999"/>
    <n v="157561.57999999999"/>
  </r>
  <r>
    <x v="1"/>
    <s v="01/03/2016"/>
    <x v="1"/>
    <x v="2"/>
    <n v="31"/>
    <n v="1.0200000000000001E-2"/>
    <n v="4.7E-2"/>
    <n v="0.18"/>
    <n v="400"/>
    <n v="400"/>
    <n v="609.79999999999995"/>
    <n v="556.9"/>
    <m/>
    <m/>
    <n v="7.74"/>
    <m/>
    <n v="26893"/>
    <n v="171365.3"/>
    <n v="0.37784000000000001"/>
    <n v="7.7630000000000005E-2"/>
    <n v="0.36024"/>
    <n v="0.22595999999999999"/>
    <n v="4045.2"/>
    <n v="13689.9"/>
    <m/>
    <m/>
    <n v="104171.93"/>
    <n v="198258.3"/>
    <n v="1253.04"/>
    <n v="3441.65"/>
    <m/>
    <s v="Horária Verde"/>
    <n v="1.5245"/>
    <n v="1.39225"/>
    <n v="1"/>
    <n v="1"/>
    <n v="1.2028576220100751E-2"/>
    <n v="3.3038170647313535E-2"/>
    <n v="0"/>
    <n v="1.05"/>
    <n v="1"/>
    <s v="P&amp;FP"/>
    <n v="1"/>
    <n v="410.04999999999995"/>
    <n v="410.82499999999999"/>
    <n v="157561.57999999999"/>
  </r>
  <r>
    <x v="1"/>
    <s v="01/04/2016"/>
    <x v="1"/>
    <x v="3"/>
    <n v="30"/>
    <n v="8.9999999999999993E-3"/>
    <n v="4.1200000000000001E-2"/>
    <n v="0.18"/>
    <n v="400"/>
    <n v="400"/>
    <n v="614"/>
    <n v="558.6"/>
    <m/>
    <m/>
    <n v="7.74"/>
    <m/>
    <n v="28753.8"/>
    <n v="196730.7"/>
    <n v="0.37784000000000001"/>
    <n v="7.7630000000000005E-2"/>
    <n v="0.36024"/>
    <n v="0.22595999999999999"/>
    <n v="4270.1000000000004"/>
    <n v="19820.900000000001"/>
    <m/>
    <m/>
    <n v="111256.22"/>
    <n v="225484.5"/>
    <n v="1944.24"/>
    <m/>
    <m/>
    <s v="Horária Verde"/>
    <n v="1.5349999999999999"/>
    <n v="1.3965000000000001"/>
    <n v="1"/>
    <n v="1"/>
    <n v="1.7475337558655147E-2"/>
    <n v="0"/>
    <n v="0"/>
    <n v="1.05"/>
    <n v="1"/>
    <s v="P&amp;FP"/>
    <n v="1"/>
    <n v="410.04999999999995"/>
    <n v="410.82499999999999"/>
    <n v="157561.57999999999"/>
  </r>
  <r>
    <x v="1"/>
    <s v="01/05/2016"/>
    <x v="1"/>
    <x v="4"/>
    <n v="31"/>
    <n v="1.2200000000000001E-2"/>
    <n v="5.62E-2"/>
    <n v="0.18"/>
    <n v="500"/>
    <n v="500"/>
    <n v="644.29999999999995"/>
    <n v="628.29999999999995"/>
    <m/>
    <m/>
    <n v="7.74"/>
    <m/>
    <n v="24466.3"/>
    <n v="169505.9"/>
    <n v="0.37784000000000001"/>
    <n v="7.7630000000000005E-2"/>
    <n v="0.36024"/>
    <n v="0.22595999999999999"/>
    <n v="2404.9"/>
    <n v="12164.5"/>
    <m/>
    <m/>
    <n v="96137.33"/>
    <n v="193972.19999999998"/>
    <m/>
    <m/>
    <m/>
    <s v="Horária Verde"/>
    <n v="1.2886"/>
    <n v="1.2565999999999999"/>
    <n v="1"/>
    <n v="1"/>
    <n v="0"/>
    <n v="0"/>
    <n v="0"/>
    <n v="1.05"/>
    <n v="1"/>
    <s v="P&amp;FP"/>
    <n v="1"/>
    <n v="410.04999999999995"/>
    <n v="410.82499999999999"/>
    <n v="157561.57999999999"/>
  </r>
  <r>
    <x v="1"/>
    <s v="01/06/2016"/>
    <x v="1"/>
    <x v="5"/>
    <n v="30"/>
    <n v="1.2200000000000001E-2"/>
    <n v="5.62E-2"/>
    <n v="0.18"/>
    <n v="500"/>
    <n v="500"/>
    <n v="446.9"/>
    <n v="394"/>
    <m/>
    <m/>
    <n v="7.74"/>
    <m/>
    <n v="19145.900000000001"/>
    <n v="155715.4"/>
    <n v="0.37784000000000001"/>
    <n v="7.7630000000000005E-2"/>
    <n v="0.36024"/>
    <n v="0.22595999999999999"/>
    <n v="1410.8"/>
    <n v="8308.1"/>
    <m/>
    <m/>
    <n v="81262.23"/>
    <n v="174861.3"/>
    <m/>
    <m/>
    <m/>
    <s v="Horária Verde"/>
    <n v="0.89379999999999993"/>
    <n v="0.78800000000000003"/>
    <n v="0"/>
    <n v="0"/>
    <n v="0"/>
    <n v="0"/>
    <n v="0"/>
    <n v="1.05"/>
    <n v="1"/>
    <s v=""/>
    <n v="0"/>
    <n v="410.04999999999995"/>
    <n v="410.82499999999999"/>
    <n v="157561.57999999999"/>
  </r>
  <r>
    <x v="1"/>
    <s v="01/07/2016"/>
    <x v="1"/>
    <x v="6"/>
    <n v="31"/>
    <n v="1.1299999999999999E-2"/>
    <n v="5.21E-2"/>
    <n v="0.18"/>
    <n v="500"/>
    <n v="500"/>
    <n v="459.5"/>
    <n v="404"/>
    <m/>
    <m/>
    <n v="7.8358100000000004"/>
    <m/>
    <n v="26501"/>
    <n v="163384.79999999999"/>
    <n v="0.37468000000000001"/>
    <n v="7.0720000000000005E-2"/>
    <n v="0.36746000000000001"/>
    <n v="0.22046499999999999"/>
    <n v="3498"/>
    <n v="14127.1"/>
    <m/>
    <m/>
    <n v="87825.96"/>
    <n v="189885.8"/>
    <m/>
    <m/>
    <m/>
    <s v="Horária Verde"/>
    <n v="0.91900000000000004"/>
    <n v="0.80800000000000005"/>
    <n v="0"/>
    <n v="0"/>
    <n v="0"/>
    <n v="0"/>
    <n v="0"/>
    <n v="1.05"/>
    <n v="1"/>
    <s v=""/>
    <n v="0"/>
    <n v="410.04999999999995"/>
    <n v="410.82499999999999"/>
    <n v="157561.57999999999"/>
  </r>
  <r>
    <x v="1"/>
    <s v="01/08/2016"/>
    <x v="1"/>
    <x v="7"/>
    <n v="31"/>
    <n v="1.26E-2"/>
    <n v="5.8200000000000002E-2"/>
    <n v="0.18"/>
    <n v="500"/>
    <n v="500"/>
    <n v="484.7"/>
    <n v="450"/>
    <m/>
    <m/>
    <n v="8.01"/>
    <m/>
    <n v="23303.1"/>
    <n v="148848"/>
    <n v="0.36893999999999999"/>
    <n v="5.815E-2"/>
    <n v="0.32356000000000001"/>
    <n v="0.21496999999999999"/>
    <n v="2391.6999999999998"/>
    <n v="11797.8"/>
    <m/>
    <m/>
    <n v="76410.399999999994"/>
    <n v="172151.1"/>
    <m/>
    <m/>
    <m/>
    <s v="Horária Verde"/>
    <n v="0.96939999999999993"/>
    <n v="0.9"/>
    <n v="0"/>
    <n v="0"/>
    <n v="0"/>
    <n v="0"/>
    <n v="0"/>
    <n v="1.05"/>
    <n v="1"/>
    <s v=""/>
    <n v="0"/>
    <n v="410.04999999999995"/>
    <n v="410.82499999999999"/>
    <n v="157561.57999999999"/>
  </r>
  <r>
    <x v="1"/>
    <s v="01/09/2016"/>
    <x v="1"/>
    <x v="8"/>
    <n v="30"/>
    <n v="1.0200000000000001E-2"/>
    <n v="4.7300000000000002E-2"/>
    <n v="0.18"/>
    <n v="500"/>
    <n v="500"/>
    <n v="426.7"/>
    <n v="392.3"/>
    <m/>
    <m/>
    <n v="8.01"/>
    <m/>
    <n v="20422.099999999999"/>
    <n v="152405"/>
    <n v="0.36893999999999999"/>
    <n v="5.815E-2"/>
    <n v="0.32356000000000001"/>
    <n v="0.21496999999999999"/>
    <n v="1419.2"/>
    <n v="7006.7"/>
    <m/>
    <m/>
    <n v="73813.850000000006"/>
    <n v="172827.1"/>
    <m/>
    <m/>
    <m/>
    <s v="Horária Verde"/>
    <n v="0.85339999999999994"/>
    <n v="0.78460000000000008"/>
    <n v="0"/>
    <n v="0"/>
    <n v="0"/>
    <n v="0"/>
    <n v="0"/>
    <n v="1.05"/>
    <n v="1"/>
    <s v=""/>
    <n v="0"/>
    <n v="410.04999999999995"/>
    <n v="410.82499999999999"/>
    <n v="157561.57999999999"/>
  </r>
  <r>
    <x v="1"/>
    <s v="01/10/2016"/>
    <x v="1"/>
    <x v="9"/>
    <n v="31"/>
    <n v="0.01"/>
    <n v="4.6199999999999998E-2"/>
    <n v="0.18"/>
    <n v="500"/>
    <n v="500"/>
    <n v="408.2"/>
    <n v="384.7"/>
    <m/>
    <m/>
    <n v="8.01"/>
    <m/>
    <n v="20508.599999999999"/>
    <n v="140315.70000000001"/>
    <n v="0.36893999999999999"/>
    <n v="5.815E-2"/>
    <n v="0.32356000000000001"/>
    <n v="0.21496999999999999"/>
    <n v="1110.3"/>
    <n v="5486.2"/>
    <m/>
    <m/>
    <n v="69692.100000000006"/>
    <n v="160824.30000000002"/>
    <m/>
    <m/>
    <m/>
    <s v="Horária Verde"/>
    <n v="0.81640000000000001"/>
    <n v="0.76939999999999997"/>
    <n v="0"/>
    <n v="0"/>
    <n v="0"/>
    <n v="0"/>
    <n v="0"/>
    <n v="1.05"/>
    <n v="1"/>
    <s v=""/>
    <n v="0"/>
    <n v="410.04999999999995"/>
    <n v="410.82499999999999"/>
    <n v="157561.57999999999"/>
  </r>
  <r>
    <x v="1"/>
    <s v="01/11/2016"/>
    <x v="1"/>
    <x v="10"/>
    <n v="30"/>
    <n v="8.9999999999999993E-3"/>
    <n v="4.1500000000000002E-2"/>
    <n v="0.18"/>
    <n v="500"/>
    <n v="500"/>
    <n v="557.79999999999995"/>
    <n v="579.6"/>
    <m/>
    <m/>
    <n v="8.01"/>
    <m/>
    <n v="22567.4"/>
    <n v="167213.29999999999"/>
    <n v="0.36893999999999999"/>
    <n v="5.815E-2"/>
    <n v="0.32356000000000001"/>
    <n v="0.21496999999999999"/>
    <n v="1810.4"/>
    <n v="8898.7000000000007"/>
    <m/>
    <m/>
    <n v="83657.23"/>
    <n v="189780.69999999998"/>
    <n v="1143.6300000000001"/>
    <m/>
    <m/>
    <s v="Horária Verde"/>
    <n v="1.1155999999999999"/>
    <n v="1.1592"/>
    <n v="1"/>
    <n v="1"/>
    <n v="1.3670426333743062E-2"/>
    <n v="0"/>
    <n v="0"/>
    <n v="1.05"/>
    <n v="1"/>
    <s v="P&amp;FP"/>
    <n v="1"/>
    <n v="410.04999999999995"/>
    <n v="410.82499999999999"/>
    <n v="157561.57999999999"/>
  </r>
  <r>
    <x v="1"/>
    <s v="01/12/2016"/>
    <x v="1"/>
    <x v="11"/>
    <n v="31"/>
    <n v="9.4000000000000004E-3"/>
    <n v="4.3099999999999999E-2"/>
    <n v="0.18"/>
    <n v="500"/>
    <n v="500"/>
    <n v="425"/>
    <n v="483.8"/>
    <m/>
    <m/>
    <n v="8.01"/>
    <m/>
    <n v="20263.099999999999"/>
    <n v="152726.9"/>
    <n v="0.36893999999999999"/>
    <n v="5.815E-2"/>
    <n v="0.32356000000000001"/>
    <n v="0.21496999999999999"/>
    <n v="1171"/>
    <n v="6749.4"/>
    <m/>
    <m/>
    <n v="75062.02"/>
    <n v="172990"/>
    <n v="1431.63"/>
    <m/>
    <m/>
    <s v="Horária Verde"/>
    <n v="0.85"/>
    <n v="0.96760000000000002"/>
    <n v="0"/>
    <n v="0"/>
    <n v="1.9072628207980547E-2"/>
    <n v="0"/>
    <n v="0"/>
    <n v="1.05"/>
    <n v="1"/>
    <s v=""/>
    <n v="0"/>
    <n v="410.04999999999995"/>
    <n v="410.82499999999999"/>
    <n v="157561.57999999999"/>
  </r>
  <r>
    <x v="1"/>
    <s v="01/01/2017"/>
    <x v="2"/>
    <x v="0"/>
    <n v="30"/>
    <n v="9.2999999999999992E-3"/>
    <n v="4.2700000000000002E-2"/>
    <n v="0.18"/>
    <n v="500"/>
    <n v="500"/>
    <n v="386.4"/>
    <n v="444.4"/>
    <m/>
    <m/>
    <n v="8.01"/>
    <m/>
    <n v="15847.2"/>
    <n v="117748.3"/>
    <n v="0.36893999999999999"/>
    <n v="0.32356000000000001"/>
    <n v="0.32356000000000001"/>
    <n v="0.21496999999999999"/>
    <n v="2439.8000000000002"/>
    <n v="12997.5"/>
    <m/>
    <m/>
    <n v="69249.600000000006"/>
    <n v="167798.2"/>
    <m/>
    <m/>
    <m/>
    <s v="Horária Verde"/>
    <n v="0.77279999999999993"/>
    <n v="0.88879999999999992"/>
    <n v="0"/>
    <n v="0"/>
    <n v="0"/>
    <n v="0"/>
    <n v="0"/>
    <n v="1.05"/>
    <n v="1"/>
    <s v=""/>
    <n v="0"/>
    <n v="410.04999999999995"/>
    <n v="410.82499999999999"/>
    <n v="157561.57999999999"/>
  </r>
  <r>
    <x v="1"/>
    <s v="01/02/2017"/>
    <x v="2"/>
    <x v="1"/>
    <n v="32"/>
    <n v="1.1299999999999999E-2"/>
    <n v="5.2299999999999999E-2"/>
    <n v="0.18"/>
    <n v="500"/>
    <n v="500"/>
    <n v="457"/>
    <n v="502.3"/>
    <m/>
    <m/>
    <n v="8.01"/>
    <m/>
    <n v="19273.2"/>
    <n v="137652.1"/>
    <n v="0.36893999999999999"/>
    <n v="0.32356000000000001"/>
    <n v="0.32356000000000001"/>
    <n v="0.21496999999999999"/>
    <n v="2773.7"/>
    <n v="15673.1"/>
    <m/>
    <m/>
    <n v="81299.77"/>
    <n v="194792.43"/>
    <m/>
    <m/>
    <m/>
    <s v="Horária Verde"/>
    <n v="0.91400000000000003"/>
    <n v="1.0045999999999999"/>
    <n v="0"/>
    <n v="0"/>
    <n v="0"/>
    <n v="0"/>
    <n v="0"/>
    <n v="1.05"/>
    <n v="1"/>
    <s v=""/>
    <n v="0"/>
    <n v="410.04999999999995"/>
    <n v="410.82499999999999"/>
    <n v="157561.57999999999"/>
  </r>
  <r>
    <x v="1"/>
    <s v="01/03/2017"/>
    <x v="2"/>
    <x v="2"/>
    <n v="29"/>
    <n v="1.14E-2"/>
    <n v="0.52900000000000003"/>
    <n v="0.18"/>
    <n v="500"/>
    <n v="500"/>
    <n v="567.79999999999995"/>
    <n v="573.70000000000005"/>
    <m/>
    <m/>
    <n v="8.01"/>
    <m/>
    <n v="14632.8"/>
    <n v="156441"/>
    <n v="0.36893999999999999"/>
    <n v="0.32356000000000001"/>
    <n v="0.32356000000000001"/>
    <n v="0.21496999999999999"/>
    <n v="3894.5"/>
    <n v="21224.9"/>
    <m/>
    <m/>
    <n v="98432.41"/>
    <n v="220635.24"/>
    <n v="1882.6399999999999"/>
    <m/>
    <m/>
    <s v="Horária Verde"/>
    <n v="1.1355999999999999"/>
    <n v="1.1474000000000002"/>
    <n v="1"/>
    <n v="1"/>
    <n v="1.9126220723438548E-2"/>
    <n v="0"/>
    <n v="0"/>
    <n v="1.05"/>
    <n v="1"/>
    <s v="P&amp;FP"/>
    <n v="1"/>
    <n v="410.04999999999995"/>
    <n v="410.82499999999999"/>
    <n v="157561.57999999999"/>
  </r>
  <r>
    <x v="1"/>
    <s v="01/04/2017"/>
    <x v="2"/>
    <x v="3"/>
    <n v="30"/>
    <n v="9.9000000000000008E-3"/>
    <n v="4.5600000000000002E-2"/>
    <n v="0.18"/>
    <n v="500"/>
    <n v="500"/>
    <n v="480.5"/>
    <n v="506.5"/>
    <m/>
    <m/>
    <n v="8.01"/>
    <m/>
    <n v="14198.1"/>
    <n v="136557.79999999999"/>
    <n v="0.36893999999999999"/>
    <n v="0.32356000000000001"/>
    <n v="0.32356000000000001"/>
    <n v="0.21496999999999999"/>
    <n v="2086.6"/>
    <n v="9510.7000000000007"/>
    <m/>
    <m/>
    <n v="83958.85"/>
    <n v="196115.22"/>
    <n v="2222.62"/>
    <n v="549.5"/>
    <m/>
    <s v="Horária Verde"/>
    <n v="0.96099999999999997"/>
    <n v="1.0129999999999999"/>
    <n v="0"/>
    <n v="0"/>
    <n v="2.6472730391138035E-2"/>
    <n v="6.5448728752239933E-3"/>
    <n v="0"/>
    <n v="1.05"/>
    <n v="1"/>
    <s v=""/>
    <n v="0"/>
    <n v="410.04999999999995"/>
    <n v="410.82499999999999"/>
    <n v="157561.57999999999"/>
  </r>
  <r>
    <x v="1"/>
    <s v="01/05/2017"/>
    <x v="2"/>
    <x v="4"/>
    <n v="29"/>
    <n v="1.2E-2"/>
    <n v="5.5399999999999998E-2"/>
    <n v="0.18"/>
    <n v="500"/>
    <n v="500"/>
    <n v="451.9"/>
    <n v="399.8"/>
    <m/>
    <m/>
    <n v="8.01"/>
    <m/>
    <n v="17352.5"/>
    <n v="108914.4"/>
    <n v="0.36893999999999999"/>
    <n v="5.815E-2"/>
    <n v="0.31818999999999997"/>
    <n v="0.20960000000000001"/>
    <n v="1258.3"/>
    <n v="6978.3"/>
    <m/>
    <m/>
    <n v="66039.66"/>
    <n v="154706.16"/>
    <m/>
    <n v="4641.16"/>
    <m/>
    <s v="Horária Verde"/>
    <n v="0.90379999999999994"/>
    <n v="0.79959999999999998"/>
    <n v="0"/>
    <n v="0"/>
    <n v="0"/>
    <n v="7.0278375146086453E-2"/>
    <n v="0"/>
    <n v="1.05"/>
    <n v="1"/>
    <s v=""/>
    <n v="0"/>
    <n v="410.04999999999995"/>
    <n v="410.82499999999999"/>
    <n v="157561.57999999999"/>
  </r>
  <r>
    <x v="1"/>
    <s v="01/06/2017"/>
    <x v="2"/>
    <x v="5"/>
    <n v="32"/>
    <n v="1.15E-2"/>
    <n v="5.2699999999999997E-2"/>
    <n v="0.18"/>
    <n v="500"/>
    <n v="500"/>
    <n v="414.1"/>
    <n v="410.8"/>
    <m/>
    <m/>
    <n v="8.01"/>
    <m/>
    <n v="19325.5"/>
    <n v="112709.9"/>
    <n v="0.36893999999999999"/>
    <n v="5.815E-2"/>
    <n v="0.31818999999999997"/>
    <n v="0.20960000000000001"/>
    <n v="1043.3"/>
    <n v="3988.5"/>
    <m/>
    <m/>
    <n v="72252.53"/>
    <n v="160642.79999999999"/>
    <m/>
    <n v="5841.68"/>
    <m/>
    <s v="Horária Verde"/>
    <n v="0.82820000000000005"/>
    <n v="0.8216"/>
    <n v="0"/>
    <n v="0"/>
    <n v="0"/>
    <n v="8.085087124284783E-2"/>
    <n v="0"/>
    <n v="1.05"/>
    <n v="1"/>
    <s v=""/>
    <n v="0"/>
    <n v="410.04999999999995"/>
    <n v="410.82499999999999"/>
    <n v="157561.57999999999"/>
  </r>
  <r>
    <x v="1"/>
    <s v="01/07/2017"/>
    <x v="2"/>
    <x v="6"/>
    <n v="31"/>
    <n v="1.1599999999999999E-2"/>
    <n v="5.3499999999999999E-2"/>
    <n v="0.18"/>
    <n v="500"/>
    <n v="500"/>
    <n v="373.8"/>
    <n v="332.6"/>
    <m/>
    <m/>
    <n v="10.77"/>
    <m/>
    <n v="20494.599999999999"/>
    <n v="106610.5"/>
    <n v="0.37324000000000002"/>
    <n v="5.6849999999999998E-2"/>
    <n v="0.31818999999999997"/>
    <n v="0.20960000000000001"/>
    <n v="255.2"/>
    <n v="797.2"/>
    <m/>
    <m/>
    <n v="68397.740000000005"/>
    <n v="152457"/>
    <n v="1574.02"/>
    <m/>
    <m/>
    <s v="Horária Verde"/>
    <n v="0.74760000000000004"/>
    <n v="0.66520000000000001"/>
    <n v="0"/>
    <n v="0"/>
    <n v="2.3012748666841915E-2"/>
    <n v="0"/>
    <n v="0"/>
    <n v="1.05"/>
    <n v="1"/>
    <s v=""/>
    <n v="0"/>
    <n v="410.04999999999995"/>
    <n v="410.82499999999999"/>
    <n v="157561.57999999999"/>
  </r>
  <r>
    <x v="1"/>
    <s v="01/08/2017"/>
    <x v="2"/>
    <x v="7"/>
    <n v="32"/>
    <n v="1.26E-2"/>
    <n v="5.8299999999999998E-2"/>
    <n v="0.18"/>
    <n v="500"/>
    <n v="500"/>
    <n v="377.2"/>
    <n v="344.4"/>
    <m/>
    <m/>
    <n v="10.77"/>
    <m/>
    <n v="21580.9"/>
    <n v="116279.29999999999"/>
    <n v="0.43986999999999998"/>
    <n v="3.6769999999999997E-2"/>
    <n v="0.34899000000000002"/>
    <n v="0.22885"/>
    <n v="344.4"/>
    <n v="955.3"/>
    <m/>
    <m/>
    <n v="81241.100000000006"/>
    <n v="165308.9"/>
    <n v="2268.41"/>
    <n v="2748.2799999999997"/>
    <m/>
    <s v="Horária Verde"/>
    <n v="0.75439999999999996"/>
    <n v="0.68879999999999997"/>
    <n v="0"/>
    <n v="0"/>
    <n v="2.7921950835229949E-2"/>
    <n v="3.3828690158060386E-2"/>
    <n v="0"/>
    <n v="1.05"/>
    <n v="1"/>
    <s v=""/>
    <n v="0"/>
    <n v="410.04999999999995"/>
    <n v="410.82499999999999"/>
    <n v="157561.57999999999"/>
  </r>
  <r>
    <x v="1"/>
    <s v="01/09/2017"/>
    <x v="2"/>
    <x v="8"/>
    <n v="31"/>
    <n v="8.0000000000000002E-3"/>
    <n v="3.6700000000000003E-2"/>
    <n v="0.18"/>
    <n v="500"/>
    <n v="500"/>
    <n v="352"/>
    <n v="337.7"/>
    <m/>
    <m/>
    <n v="10.77"/>
    <m/>
    <n v="17336.8"/>
    <n v="103051.4"/>
    <n v="0.43986999999999998"/>
    <n v="3.6769999999999997E-2"/>
    <n v="0.34899000000000002"/>
    <n v="0.22885"/>
    <n v="596.6"/>
    <n v="1610.9"/>
    <m/>
    <m/>
    <n v="69840.17"/>
    <n v="147845.5"/>
    <n v="1624.29"/>
    <n v="3028.6499999999996"/>
    <m/>
    <s v="Horária Verde"/>
    <n v="0.70399999999999996"/>
    <n v="0.6754"/>
    <n v="0"/>
    <n v="0"/>
    <n v="2.3257245794218426E-2"/>
    <n v="4.3365444270825795E-2"/>
    <n v="0"/>
    <n v="1.05"/>
    <n v="1"/>
    <s v=""/>
    <n v="0"/>
    <n v="410.04999999999995"/>
    <n v="410.82499999999999"/>
    <n v="157561.57999999999"/>
  </r>
  <r>
    <x v="1"/>
    <s v="01/10/2017"/>
    <x v="2"/>
    <x v="9"/>
    <n v="32"/>
    <n v="7.1999999999999998E-3"/>
    <n v="3.3399999999999999E-2"/>
    <n v="0.18"/>
    <n v="500"/>
    <n v="500"/>
    <n v="439.3"/>
    <n v="456.1"/>
    <m/>
    <m/>
    <n v="10.77"/>
    <m/>
    <n v="22186.5"/>
    <n v="131348.70000000001"/>
    <n v="0.43986999999999998"/>
    <n v="3.6769999999999997E-2"/>
    <n v="0.34899000000000002"/>
    <n v="0.22885"/>
    <n v="1332.7"/>
    <n v="4579.7"/>
    <m/>
    <m/>
    <n v="86576.8"/>
    <n v="186576.2"/>
    <n v="2330.5299999999997"/>
    <n v="3959.79"/>
    <m/>
    <s v="Horária Verde"/>
    <n v="0.87860000000000005"/>
    <n v="0.91220000000000001"/>
    <n v="0"/>
    <n v="0"/>
    <n v="2.6918643331700867E-2"/>
    <n v="4.5737310688313729E-2"/>
    <n v="0"/>
    <n v="1.05"/>
    <n v="1"/>
    <s v=""/>
    <n v="0"/>
    <n v="410.04999999999995"/>
    <n v="410.82499999999999"/>
    <n v="157561.57999999999"/>
  </r>
  <r>
    <x v="1"/>
    <s v="01/11/2017"/>
    <x v="2"/>
    <x v="10"/>
    <n v="28"/>
    <n v="7.0000000000000001E-3"/>
    <n v="3.2199999999999999E-2"/>
    <n v="0.18"/>
    <n v="500"/>
    <n v="500"/>
    <n v="430.1"/>
    <n v="456.1"/>
    <m/>
    <m/>
    <n v="10.77"/>
    <m/>
    <n v="18218.599999999999"/>
    <n v="107987.9"/>
    <n v="0.43986999999999998"/>
    <n v="3.6769999999999997E-2"/>
    <n v="0.34899000000000002"/>
    <n v="0.22885"/>
    <n v="613.6"/>
    <n v="1726.6"/>
    <m/>
    <m/>
    <n v="75426.600000000006"/>
    <n v="146268.79999999999"/>
    <m/>
    <n v="8067.86"/>
    <m/>
    <s v="Horária Verde"/>
    <n v="0.86020000000000008"/>
    <n v="0.91220000000000001"/>
    <n v="0"/>
    <n v="0"/>
    <n v="0"/>
    <n v="0.10696306077696727"/>
    <n v="0"/>
    <n v="1.05"/>
    <n v="1"/>
    <s v=""/>
    <n v="0"/>
    <n v="410.04999999999995"/>
    <n v="410.82499999999999"/>
    <n v="157561.57999999999"/>
  </r>
  <r>
    <x v="1"/>
    <s v="01/12/2017"/>
    <x v="2"/>
    <x v="11"/>
    <n v="30"/>
    <n v="8.8000000000000005E-3"/>
    <n v="4.07E-2"/>
    <n v="0.18"/>
    <n v="500"/>
    <n v="500"/>
    <n v="413.3"/>
    <n v="456.1"/>
    <m/>
    <m/>
    <n v="10.77"/>
    <m/>
    <n v="20189.599999999999"/>
    <n v="123493.9"/>
    <n v="0.43986999999999998"/>
    <n v="3.6769999999999997E-2"/>
    <n v="0.34899000000000002"/>
    <n v="0.22885"/>
    <n v="695.7"/>
    <n v="2722.7"/>
    <m/>
    <m/>
    <n v="85064.81"/>
    <n v="175187.5"/>
    <m/>
    <n v="8788.4"/>
    <m/>
    <s v="Horária Verde"/>
    <n v="0.8266"/>
    <n v="0.91220000000000001"/>
    <n v="0"/>
    <n v="0"/>
    <n v="0"/>
    <n v="0.10331416716266104"/>
    <n v="0"/>
    <n v="1.05"/>
    <n v="1"/>
    <s v=""/>
    <n v="0"/>
    <n v="410.04999999999995"/>
    <n v="410.82499999999999"/>
    <n v="157561.57999999999"/>
  </r>
  <r>
    <x v="1"/>
    <d v="2018-01-01T00:00:00"/>
    <x v="3"/>
    <x v="0"/>
    <n v="29"/>
    <n v="9.1000000000000004E-3"/>
    <n v="4.1599999999999998E-2"/>
    <n v="0.18"/>
    <n v="500"/>
    <n v="500"/>
    <n v="389.8"/>
    <n v="369.6"/>
    <m/>
    <m/>
    <n v="10.77"/>
    <m/>
    <n v="13811.1"/>
    <n v="134875"/>
    <n v="0.43986999999999998"/>
    <n v="3.6769999999999997E-2"/>
    <n v="0.34899000000000002"/>
    <n v="0.22885"/>
    <n v="827.2"/>
    <n v="5527.8"/>
    <m/>
    <m/>
    <n v="67257.55"/>
    <n v="148686.1"/>
    <m/>
    <n v="3500.29"/>
    <m/>
    <s v="Horária Verde"/>
    <n v="0.77960000000000007"/>
    <n v="0.73920000000000008"/>
    <n v="0"/>
    <n v="0"/>
    <n v="0"/>
    <n v="5.204307917847141E-2"/>
    <n v="0"/>
    <n v="1.05"/>
    <n v="1"/>
    <s v=""/>
    <n v="0"/>
    <n v="410.04999999999995"/>
    <n v="410.82499999999999"/>
    <n v="157561.57999999999"/>
  </r>
  <r>
    <x v="1"/>
    <d v="2018-01-02T00:00:00"/>
    <x v="3"/>
    <x v="1"/>
    <n v="33"/>
    <n v="1.0699999999999999E-2"/>
    <n v="4.9099999999999998E-2"/>
    <n v="0.18"/>
    <n v="500"/>
    <n v="500"/>
    <n v="304.89999999999998"/>
    <n v="416.6"/>
    <m/>
    <m/>
    <n v="10.77"/>
    <m/>
    <n v="16595.5"/>
    <n v="157617"/>
    <n v="0.43986999999999998"/>
    <n v="3.6769999999999997E-2"/>
    <n v="0.34899000000000002"/>
    <n v="0.22885"/>
    <n v="1051.7"/>
    <n v="6099.1"/>
    <m/>
    <m/>
    <n v="74751.09"/>
    <n v="174212.5"/>
    <m/>
    <m/>
    <m/>
    <s v="Horária Verde"/>
    <n v="0.60980000000000001"/>
    <n v="0.83320000000000005"/>
    <n v="0"/>
    <n v="0"/>
    <n v="0"/>
    <n v="0"/>
    <n v="0"/>
    <n v="1.05"/>
    <n v="1"/>
    <s v=""/>
    <n v="0"/>
    <n v="410.04999999999995"/>
    <n v="410.82499999999999"/>
    <n v="157561.57999999999"/>
  </r>
  <r>
    <x v="1"/>
    <d v="2018-01-03T00:00:00"/>
    <x v="3"/>
    <x v="2"/>
    <n v="27"/>
    <n v="1.0200000000000001E-2"/>
    <n v="4.6800000000000001E-2"/>
    <n v="0.18"/>
    <n v="500"/>
    <n v="500"/>
    <n v="488"/>
    <n v="502.3"/>
    <m/>
    <m/>
    <n v="10.77"/>
    <m/>
    <n v="20251.599999999999"/>
    <n v="150109.9"/>
    <n v="0.43986999999999998"/>
    <n v="3.6769999999999997E-2"/>
    <n v="0.34899000000000002"/>
    <n v="0.22885"/>
    <n v="1079.2"/>
    <n v="5999.5"/>
    <m/>
    <m/>
    <n v="75606.02"/>
    <n v="170361.5"/>
    <m/>
    <m/>
    <m/>
    <s v="Horária Verde"/>
    <n v="0.97599999999999998"/>
    <n v="1.0045999999999999"/>
    <n v="0"/>
    <n v="0"/>
    <n v="0"/>
    <n v="0"/>
    <n v="0"/>
    <n v="1.05"/>
    <n v="1"/>
    <s v=""/>
    <n v="0"/>
    <n v="410.04999999999995"/>
    <n v="410.82499999999999"/>
    <n v="157561.57999999999"/>
  </r>
  <r>
    <x v="1"/>
    <d v="2018-01-04T00:00:00"/>
    <x v="3"/>
    <x v="3"/>
    <n v="30"/>
    <n v="8.0000000000000002E-3"/>
    <n v="3.7100000000000001E-2"/>
    <n v="0.18"/>
    <n v="500"/>
    <n v="500"/>
    <n v="496.4"/>
    <n v="513.20000000000005"/>
    <m/>
    <m/>
    <n v="10.77"/>
    <m/>
    <n v="24442.1"/>
    <n v="174931.3"/>
    <n v="0.43986999999999998"/>
    <n v="3.6769999999999997E-2"/>
    <n v="0.34899000000000002"/>
    <n v="0.22885"/>
    <n v="1206.2"/>
    <n v="7718.5"/>
    <m/>
    <m/>
    <n v="86615.09"/>
    <n v="199373.4"/>
    <m/>
    <m/>
    <m/>
    <s v="Horária Verde"/>
    <n v="0.9927999999999999"/>
    <n v="1.0264000000000002"/>
    <n v="0"/>
    <n v="0"/>
    <n v="0"/>
    <n v="0"/>
    <n v="0"/>
    <n v="1.05"/>
    <n v="1"/>
    <s v=""/>
    <n v="0"/>
    <n v="410.04999999999995"/>
    <n v="410.82499999999999"/>
    <n v="157561.57999999999"/>
  </r>
  <r>
    <x v="1"/>
    <d v="2018-01-05T00:00:00"/>
    <x v="3"/>
    <x v="4"/>
    <n v="32"/>
    <n v="8.9999999999999993E-3"/>
    <n v="4.1200000000000001E-2"/>
    <n v="0.18"/>
    <n v="500"/>
    <n v="500"/>
    <n v="415"/>
    <n v="391.4"/>
    <m/>
    <m/>
    <n v="10.77"/>
    <m/>
    <n v="21035.200000000001"/>
    <n v="155978.6"/>
    <n v="0.43986999999999998"/>
    <n v="3.6769999999999997E-2"/>
    <n v="0.34899000000000002"/>
    <n v="0.22885"/>
    <n v="501.1"/>
    <n v="5594.9"/>
    <m/>
    <m/>
    <n v="78515.88"/>
    <n v="177013.8"/>
    <n v="955.48"/>
    <m/>
    <m/>
    <s v="Horária Verde"/>
    <n v="0.83"/>
    <n v="0.78279999999999994"/>
    <n v="0"/>
    <n v="0"/>
    <n v="1.2169257989593951E-2"/>
    <n v="0"/>
    <n v="0"/>
    <n v="1.05"/>
    <n v="1"/>
    <s v=""/>
    <n v="0"/>
    <n v="410.04999999999995"/>
    <n v="410.82499999999999"/>
    <n v="157561.57999999999"/>
  </r>
  <r>
    <x v="1"/>
    <d v="2018-01-06T00:00:00"/>
    <x v="3"/>
    <x v="5"/>
    <n v="30"/>
    <n v="5.7999999999999996E-3"/>
    <n v="2.69E-2"/>
    <n v="0.18"/>
    <n v="500"/>
    <n v="500"/>
    <n v="423.4"/>
    <n v="350.3"/>
    <m/>
    <m/>
    <n v="10.77"/>
    <m/>
    <n v="16911.099999999999"/>
    <n v="120721.60000000001"/>
    <n v="0.43986999999999998"/>
    <n v="3.6769999999999997E-2"/>
    <n v="0.34899000000000002"/>
    <n v="0.22885"/>
    <n v="337.1"/>
    <n v="5492.6"/>
    <m/>
    <m/>
    <n v="65255.53"/>
    <n v="137632.70000000001"/>
    <n v="958.2"/>
    <n v="3663.82"/>
    <m/>
    <s v="Horária Verde"/>
    <n v="0.8468"/>
    <n v="0.7006"/>
    <n v="0"/>
    <n v="0"/>
    <n v="1.468381300404732E-2"/>
    <n v="5.6145739679073943E-2"/>
    <n v="0"/>
    <n v="1.05"/>
    <n v="1"/>
    <s v=""/>
    <n v="0"/>
    <n v="410.04999999999995"/>
    <n v="410.82499999999999"/>
    <n v="157561.57999999999"/>
  </r>
  <r>
    <x v="1"/>
    <d v="2018-01-07T00:00:00"/>
    <x v="3"/>
    <x v="6"/>
    <n v="33"/>
    <n v="6.3E-3"/>
    <n v="2.92E-2"/>
    <n v="0.18"/>
    <n v="500"/>
    <n v="500"/>
    <n v="304"/>
    <n v="372.1"/>
    <m/>
    <m/>
    <n v="10.93"/>
    <m/>
    <n v="21105.5"/>
    <n v="140514.4"/>
    <n v="0.45372000000000001"/>
    <n v="4.4850000000000001E-2"/>
    <n v="0.34899000000000002"/>
    <n v="0.22885"/>
    <n v="554.79999999999995"/>
    <n v="5388.4"/>
    <m/>
    <m/>
    <n v="85327.13"/>
    <n v="161619.9"/>
    <m/>
    <n v="9935.44"/>
    <m/>
    <s v="Horária Verde"/>
    <n v="0.60799999999999998"/>
    <n v="0.74420000000000008"/>
    <n v="0"/>
    <n v="0"/>
    <n v="0"/>
    <n v="0.11643940209872287"/>
    <n v="0"/>
    <n v="1.05"/>
    <n v="1"/>
    <s v=""/>
    <n v="0"/>
    <n v="410.04999999999995"/>
    <n v="410.82499999999999"/>
    <n v="157561.57999999999"/>
  </r>
  <r>
    <x v="1"/>
    <d v="2018-01-08T00:00:00"/>
    <x v="3"/>
    <x v="7"/>
    <n v="29"/>
    <n v="5.8999999999999999E-3"/>
    <n v="2.7199999999999998E-2"/>
    <n v="0.18"/>
    <n v="500"/>
    <n v="500"/>
    <n v="387.2"/>
    <n v="352"/>
    <m/>
    <m/>
    <n v="11.17"/>
    <m/>
    <n v="19688.8"/>
    <n v="120935.5"/>
    <n v="0.47503000000000001"/>
    <n v="5.7279999999999998E-2"/>
    <n v="0.41154000000000002"/>
    <n v="0.25807999999999998"/>
    <n v="285"/>
    <n v="4451.2"/>
    <m/>
    <m/>
    <n v="81628.13"/>
    <n v="140624.29999999999"/>
    <m/>
    <n v="8639.5499999999993"/>
    <m/>
    <s v="Horária Verde"/>
    <n v="0.77439999999999998"/>
    <n v="0.70399999999999996"/>
    <n v="0"/>
    <n v="0"/>
    <n v="0"/>
    <n v="0.10584035184929508"/>
    <n v="0"/>
    <n v="1.05"/>
    <n v="1"/>
    <s v=""/>
    <n v="0"/>
    <n v="410.04999999999995"/>
    <n v="410.82499999999999"/>
    <n v="157561.57999999999"/>
  </r>
  <r>
    <x v="1"/>
    <d v="2018-01-09T00:00:00"/>
    <x v="3"/>
    <x v="8"/>
    <n v="31"/>
    <n v="8.9999999999999993E-3"/>
    <n v="4.1399999999999999E-2"/>
    <n v="0.18"/>
    <n v="500"/>
    <n v="500"/>
    <n v="357"/>
    <n v="350.3"/>
    <m/>
    <m/>
    <n v="11.17"/>
    <m/>
    <n v="16874.099999999999"/>
    <n v="120235.9"/>
    <n v="0.47503000000000001"/>
    <n v="5.7279999999999998E-2"/>
    <n v="0.41154000000000002"/>
    <n v="0.25807999999999998"/>
    <n v="312.3"/>
    <n v="5014.6000000000004"/>
    <m/>
    <m/>
    <n v="80022.350000000006"/>
    <n v="137110"/>
    <m/>
    <n v="8458.7000000000007"/>
    <m/>
    <s v="Horária Verde"/>
    <n v="0.71399999999999997"/>
    <n v="0.7006"/>
    <n v="0"/>
    <n v="0"/>
    <n v="0"/>
    <n v="0.10570421888384933"/>
    <n v="0"/>
    <n v="1.05"/>
    <n v="1"/>
    <s v=""/>
    <n v="0"/>
    <n v="410.04999999999995"/>
    <n v="410.82499999999999"/>
    <n v="157561.57999999999"/>
  </r>
  <r>
    <x v="1"/>
    <d v="2018-01-10T00:00:00"/>
    <x v="3"/>
    <x v="9"/>
    <n v="32"/>
    <n v="9.2999999999999992E-3"/>
    <n v="4.2599999999999999E-2"/>
    <n v="0.18"/>
    <n v="500"/>
    <n v="500"/>
    <n v="409.1"/>
    <n v="409.1"/>
    <m/>
    <m/>
    <n v="11.17"/>
    <m/>
    <n v="21337.5"/>
    <n v="150298"/>
    <n v="0.47503000000000001"/>
    <n v="5.7279999999999998E-2"/>
    <n v="0.41154000000000002"/>
    <n v="0.25807999999999998"/>
    <n v="1418.8"/>
    <n v="6595.7"/>
    <m/>
    <m/>
    <n v="98668.11"/>
    <n v="171635.5"/>
    <m/>
    <n v="10592.85"/>
    <m/>
    <s v="Horária Verde"/>
    <n v="0.81820000000000004"/>
    <n v="0.81820000000000004"/>
    <n v="0"/>
    <n v="0"/>
    <n v="0"/>
    <n v="0.10735839573698128"/>
    <n v="0"/>
    <n v="1.05"/>
    <n v="1"/>
    <s v=""/>
    <n v="0"/>
    <n v="410.04999999999995"/>
    <n v="410.82499999999999"/>
    <n v="157561.57999999999"/>
  </r>
  <r>
    <x v="1"/>
    <d v="2018-01-11T00:00:00"/>
    <x v="3"/>
    <x v="10"/>
    <n v="29"/>
    <n v="8.5000000000000006E-3"/>
    <n v="3.9399999999999998E-2"/>
    <n v="0.18"/>
    <n v="500"/>
    <n v="500"/>
    <n v="456.1"/>
    <n v="415"/>
    <m/>
    <m/>
    <n v="11.17"/>
    <m/>
    <n v="20078.099999999999"/>
    <n v="136410.6"/>
    <n v="0.47503000000000001"/>
    <n v="5.7279999999999998E-2"/>
    <n v="0.41154000000000002"/>
    <n v="0.25807999999999998"/>
    <n v="1466.9"/>
    <n v="6342.4"/>
    <m/>
    <m/>
    <n v="87138.49"/>
    <n v="156488.70000000001"/>
    <n v="857.78"/>
    <n v="5359.51"/>
    <m/>
    <s v="Horária Verde"/>
    <n v="0.91220000000000001"/>
    <n v="0.83"/>
    <n v="0"/>
    <n v="0"/>
    <n v="9.8438703723234128E-3"/>
    <n v="6.1505656111323477E-2"/>
    <n v="0"/>
    <n v="1.05"/>
    <n v="1"/>
    <s v=""/>
    <n v="0"/>
    <n v="410.04999999999995"/>
    <n v="410.82499999999999"/>
    <n v="157561.57999999999"/>
  </r>
  <r>
    <x v="1"/>
    <d v="2018-01-12T00:00:00"/>
    <x v="3"/>
    <x v="11"/>
    <n v="29"/>
    <n v="1.0800000000000001E-2"/>
    <n v="4.9599999999999998E-2"/>
    <n v="0.18"/>
    <n v="500"/>
    <n v="500"/>
    <n v="487"/>
    <n v="447.7"/>
    <m/>
    <m/>
    <n v="11.17"/>
    <m/>
    <n v="8301.9"/>
    <n v="149056.5"/>
    <n v="0.47503000000000001"/>
    <n v="5.7279999999999998E-2"/>
    <n v="0.41154000000000002"/>
    <n v="0.25807999999999998"/>
    <n v="1481.1"/>
    <n v="6830.3"/>
    <m/>
    <m/>
    <n v="87179.91"/>
    <n v="157358.39999999999"/>
    <n v="1163.7"/>
    <m/>
    <m/>
    <s v="Horária Verde"/>
    <n v="0.97399999999999998"/>
    <n v="0.89539999999999997"/>
    <n v="0"/>
    <n v="0"/>
    <n v="1.3348258790356631E-2"/>
    <n v="0"/>
    <n v="0"/>
    <n v="1.05"/>
    <n v="1"/>
    <s v=""/>
    <n v="0"/>
    <n v="410.04999999999995"/>
    <n v="410.82499999999999"/>
    <n v="157561.57999999999"/>
  </r>
  <r>
    <x v="1"/>
    <d v="2019-01-01T00:00:00"/>
    <x v="4"/>
    <x v="0"/>
    <n v="32"/>
    <n v="9.5999999999999992E-3"/>
    <n v="4.3999999999999997E-2"/>
    <n v="0.18"/>
    <n v="500"/>
    <n v="500"/>
    <n v="462"/>
    <n v="461.2"/>
    <m/>
    <m/>
    <n v="11.17"/>
    <m/>
    <n v="16075.9"/>
    <n v="165868.9"/>
    <n v="0.47503000000000001"/>
    <n v="5.7279999999999998E-2"/>
    <n v="0.41154000000000002"/>
    <n v="0.25807999999999998"/>
    <n v="2059.6999999999998"/>
    <n v="9862.3000000000011"/>
    <m/>
    <m/>
    <n v="88653.99"/>
    <n v="181944.8"/>
    <n v="0"/>
    <n v="0"/>
    <n v="0"/>
    <s v="Horária Verde"/>
    <n v="0.92400000000000004"/>
    <n v="0.9224"/>
    <n v="0"/>
    <n v="0"/>
    <n v="0"/>
    <n v="0"/>
    <n v="0"/>
    <n v="1.05"/>
    <n v="1"/>
    <s v=""/>
    <n v="0"/>
    <n v="410.04999999999995"/>
    <n v="410.82499999999999"/>
    <n v="157561.57999999999"/>
  </r>
  <r>
    <x v="1"/>
    <d v="2019-02-01T00:00:00"/>
    <x v="4"/>
    <x v="1"/>
    <n v="30"/>
    <n v="1.11E-2"/>
    <n v="5.0999999999999997E-2"/>
    <n v="0.18"/>
    <n v="500"/>
    <n v="500"/>
    <n v="485.5"/>
    <n v="468.7"/>
    <m/>
    <m/>
    <n v="11.17"/>
    <m/>
    <n v="19174.5"/>
    <n v="173086"/>
    <n v="0.47503000000000001"/>
    <n v="5.7279999999999998E-2"/>
    <n v="0.41154000000000002"/>
    <n v="0.25807999999999998"/>
    <n v="2365.6999999999998"/>
    <n v="10206.200000000001"/>
    <m/>
    <m/>
    <n v="96043.78"/>
    <n v="192260.5"/>
    <n v="0"/>
    <n v="0"/>
    <n v="0"/>
    <s v="Horária Verde"/>
    <n v="0.97099999999999997"/>
    <n v="0.93740000000000001"/>
    <n v="0"/>
    <n v="0"/>
    <n v="0"/>
    <n v="0"/>
    <n v="0"/>
    <n v="1.05"/>
    <n v="1"/>
    <s v=""/>
    <n v="0"/>
    <n v="410.04999999999995"/>
    <n v="410.82499999999999"/>
    <n v="157561.57999999999"/>
  </r>
  <r>
    <x v="1"/>
    <d v="2019-03-01T00:00:00"/>
    <x v="4"/>
    <x v="2"/>
    <n v="30"/>
    <n v="1.0200000000000001E-2"/>
    <n v="4.7199999999999999E-2"/>
    <n v="0.18"/>
    <n v="500"/>
    <n v="500"/>
    <n v="508.2"/>
    <n v="526.70000000000005"/>
    <m/>
    <m/>
    <n v="11.17"/>
    <m/>
    <n v="22883.9"/>
    <n v="173576.5"/>
    <n v="0.47503000000000001"/>
    <n v="5.7279999999999998E-2"/>
    <n v="0.41154000000000002"/>
    <n v="0.25807999999999998"/>
    <n v="2057"/>
    <n v="9600.4"/>
    <m/>
    <m/>
    <n v="100846.46"/>
    <n v="196460.4"/>
    <n v="0"/>
    <n v="0"/>
    <n v="0"/>
    <s v="Horária Verde"/>
    <n v="1.0164"/>
    <n v="1.0534000000000001"/>
    <n v="0"/>
    <n v="1"/>
    <n v="0"/>
    <n v="0"/>
    <n v="0"/>
    <n v="1.05"/>
    <n v="1"/>
    <s v="FP"/>
    <n v="1"/>
    <n v="410.04999999999995"/>
    <n v="410.82499999999999"/>
    <n v="157561.57999999999"/>
  </r>
  <r>
    <x v="1"/>
    <d v="2019-04-01T00:00:00"/>
    <x v="4"/>
    <x v="3"/>
    <n v="31"/>
    <n v="7.3000000000000001E-3"/>
    <n v="3.3399999999999999E-2"/>
    <n v="0.18"/>
    <n v="500"/>
    <n v="500"/>
    <n v="513.20000000000005"/>
    <n v="514.1"/>
    <m/>
    <m/>
    <n v="11.17"/>
    <m/>
    <n v="23540.400000000001"/>
    <n v="177302.6"/>
    <n v="0.47503000000000001"/>
    <n v="5.7279999999999998E-2"/>
    <n v="0.41154000000000002"/>
    <n v="0.25807999999999998"/>
    <n v="1793.8"/>
    <n v="7810.7999999999993"/>
    <m/>
    <m/>
    <n v="99728.18"/>
    <n v="200843"/>
    <n v="0"/>
    <n v="0"/>
    <n v="0"/>
    <s v="Horária Verde"/>
    <n v="1.0264000000000002"/>
    <n v="1.0282"/>
    <n v="0"/>
    <n v="0"/>
    <n v="0"/>
    <n v="0"/>
    <n v="0"/>
    <n v="1.05"/>
    <n v="1"/>
    <s v=""/>
    <n v="0"/>
    <n v="410.04999999999995"/>
    <n v="410.82499999999999"/>
    <n v="157561.57999999999"/>
  </r>
  <r>
    <x v="1"/>
    <d v="2019-05-01T00:00:00"/>
    <x v="4"/>
    <x v="4"/>
    <n v="30"/>
    <n v="8.5000000000000006E-3"/>
    <n v="3.9100000000000003E-2"/>
    <n v="0.18"/>
    <n v="500"/>
    <n v="500"/>
    <n v="462.8"/>
    <n v="436"/>
    <m/>
    <m/>
    <n v="11.17"/>
    <m/>
    <n v="21307"/>
    <n v="164498.70000000001"/>
    <n v="0.47503000000000001"/>
    <n v="5.7279999999999998E-2"/>
    <n v="0.41154000000000002"/>
    <n v="0.25807999999999998"/>
    <n v="1674.1"/>
    <n v="6245.7"/>
    <m/>
    <m/>
    <n v="93999.25"/>
    <n v="185805.7"/>
    <n v="1014.6600000000001"/>
    <n v="0"/>
    <n v="0"/>
    <s v="Horária Verde"/>
    <n v="0.92559999999999998"/>
    <n v="0.872"/>
    <n v="0"/>
    <n v="0"/>
    <n v="1.0794341444213651E-2"/>
    <n v="0"/>
    <n v="0"/>
    <n v="1.05"/>
    <n v="1"/>
    <s v=""/>
    <n v="0"/>
    <n v="410.04999999999995"/>
    <n v="410.82499999999999"/>
    <n v="157561.57999999999"/>
  </r>
  <r>
    <x v="1"/>
    <d v="2019-06-01T00:00:00"/>
    <x v="4"/>
    <x v="5"/>
    <n v="29"/>
    <n v="9.1999999999999998E-3"/>
    <n v="4.24E-2"/>
    <n v="0.18"/>
    <n v="500"/>
    <n v="500"/>
    <n v="363.7"/>
    <n v="318.39999999999998"/>
    <m/>
    <m/>
    <n v="11.17"/>
    <m/>
    <n v="16746.7"/>
    <n v="123970.1"/>
    <n v="0.47503000000000001"/>
    <n v="5.7279999999999998E-2"/>
    <n v="0.41154000000000002"/>
    <n v="0.25807999999999998"/>
    <n v="455.3"/>
    <n v="2117"/>
    <m/>
    <m/>
    <n v="73589.73"/>
    <n v="140716.80000000002"/>
    <n v="988.82999999999993"/>
    <n v="0"/>
    <n v="0"/>
    <s v="Horária Verde"/>
    <n v="0.72739999999999994"/>
    <n v="0.63679999999999992"/>
    <n v="0"/>
    <n v="0"/>
    <n v="1.3437065199179287E-2"/>
    <n v="0"/>
    <n v="0"/>
    <n v="1.05"/>
    <n v="1"/>
    <s v=""/>
    <n v="0"/>
    <n v="410.04999999999995"/>
    <n v="410.82499999999999"/>
    <n v="157561.57999999999"/>
  </r>
  <r>
    <x v="1"/>
    <d v="2019-07-01T00:00:00"/>
    <x v="4"/>
    <x v="6"/>
    <n v="32"/>
    <n v="9.9000000000000008E-3"/>
    <n v="4.5400000000000003E-2"/>
    <n v="0.18"/>
    <n v="500"/>
    <n v="500"/>
    <n v="446.9"/>
    <n v="422.5"/>
    <m/>
    <m/>
    <n v="11.84125"/>
    <m/>
    <n v="19346.5"/>
    <n v="143328.1"/>
    <n v="0.50771999999999995"/>
    <n v="6.4159999999999995E-2"/>
    <n v="0.40905999999999998"/>
    <n v="0.25217000000000001"/>
    <n v="671.6"/>
    <n v="3114.8"/>
    <m/>
    <m/>
    <n v="86234.33"/>
    <n v="162674.6"/>
    <n v="1413.02"/>
    <n v="0"/>
    <n v="0"/>
    <s v="Horária Verde"/>
    <n v="0.89379999999999993"/>
    <n v="0.84499999999999997"/>
    <n v="0"/>
    <n v="0"/>
    <n v="1.6385817574045045E-2"/>
    <n v="0"/>
    <n v="0"/>
    <n v="1.05"/>
    <n v="1"/>
    <s v=""/>
    <n v="0"/>
    <n v="410.04999999999995"/>
    <n v="410.82499999999999"/>
    <n v="157561.57999999999"/>
  </r>
  <r>
    <x v="1"/>
    <d v="2019-08-01T00:00:00"/>
    <x v="4"/>
    <x v="7"/>
    <n v="29"/>
    <n v="9.7999999999999997E-3"/>
    <n v="4.4999999999999998E-2"/>
    <n v="0.18"/>
    <n v="500"/>
    <n v="500"/>
    <n v="395.6"/>
    <n v="342.7"/>
    <m/>
    <m/>
    <n v="12.96"/>
    <m/>
    <n v="20194.2"/>
    <n v="129578.6"/>
    <n v="0.56227000000000005"/>
    <n v="7.5620000000000007E-2"/>
    <n v="0.40493000000000001"/>
    <n v="0.24232999999999999"/>
    <n v="680.6"/>
    <n v="1943.8000000000002"/>
    <m/>
    <m/>
    <n v="87094.94"/>
    <n v="149772.80000000002"/>
    <n v="1614.81"/>
    <n v="3093.92"/>
    <n v="0"/>
    <s v="Horária Verde"/>
    <n v="0.79120000000000001"/>
    <n v="0.68540000000000001"/>
    <n v="0"/>
    <n v="0"/>
    <n v="1.8540801566658178E-2"/>
    <n v="3.5523533284482427E-2"/>
    <n v="0"/>
    <n v="1.05"/>
    <n v="1"/>
    <s v=""/>
    <n v="0"/>
    <n v="410.04999999999995"/>
    <n v="410.82499999999999"/>
    <n v="157561.57999999999"/>
  </r>
  <r>
    <x v="1"/>
    <d v="2019-09-01T00:00:00"/>
    <x v="4"/>
    <x v="8"/>
    <n v="30"/>
    <n v="9.7000000000000003E-3"/>
    <n v="4.4699999999999997E-2"/>
    <n v="0.18"/>
    <n v="500"/>
    <n v="500"/>
    <n v="362"/>
    <n v="359.5"/>
    <m/>
    <m/>
    <n v="12.96"/>
    <m/>
    <n v="17633.5"/>
    <n v="126955.1"/>
    <n v="0.56227000000000005"/>
    <n v="7.5620000000000007E-2"/>
    <n v="0.40493000000000001"/>
    <n v="0.24232999999999999"/>
    <n v="677.5"/>
    <n v="2759.4"/>
    <m/>
    <m/>
    <n v="85300.57"/>
    <n v="144588.6"/>
    <n v="0"/>
    <n v="7143.32"/>
    <n v="0"/>
    <s v="Horária Verde"/>
    <n v="0.72399999999999998"/>
    <n v="0.71899999999999997"/>
    <n v="0"/>
    <n v="0"/>
    <n v="0"/>
    <n v="8.3742933956947763E-2"/>
    <n v="0"/>
    <n v="1.05"/>
    <n v="1"/>
    <s v=""/>
    <n v="0"/>
    <n v="410.04999999999995"/>
    <n v="410.82499999999999"/>
    <n v="157561.57999999999"/>
  </r>
  <r>
    <x v="1"/>
    <d v="2019-10-01T00:00:00"/>
    <x v="4"/>
    <x v="9"/>
    <n v="29"/>
    <n v="8.6E-3"/>
    <n v="3.9699999999999999E-2"/>
    <n v="0.18"/>
    <n v="500"/>
    <n v="500"/>
    <n v="403.2"/>
    <n v="365.4"/>
    <m/>
    <m/>
    <n v="12.96"/>
    <m/>
    <n v="19237.900000000001"/>
    <n v="140004.9"/>
    <n v="0.56227000000000005"/>
    <n v="7.5620000000000007E-2"/>
    <n v="0.40493000000000001"/>
    <n v="0.24232999999999999"/>
    <n v="802.2"/>
    <n v="2799.1"/>
    <m/>
    <m/>
    <n v="90562.1"/>
    <n v="159242.79999999999"/>
    <n v="1128.44"/>
    <n v="4846.1900000000005"/>
    <n v="0"/>
    <s v="Horária Verde"/>
    <n v="0.80640000000000001"/>
    <n v="0.73080000000000001"/>
    <n v="0"/>
    <n v="0"/>
    <n v="1.2460400101146064E-2"/>
    <n v="5.3512341255337499E-2"/>
    <n v="0"/>
    <n v="1.05"/>
    <n v="1"/>
    <s v=""/>
    <n v="0"/>
    <n v="410.04999999999995"/>
    <n v="410.82499999999999"/>
    <n v="157561.57999999999"/>
  </r>
  <r>
    <x v="1"/>
    <d v="2019-11-01T00:00:00"/>
    <x v="4"/>
    <x v="10"/>
    <n v="33"/>
    <n v="8.8999999999999999E-3"/>
    <n v="4.0899999999999999E-2"/>
    <n v="0.18"/>
    <n v="500"/>
    <n v="500"/>
    <n v="517.4"/>
    <n v="521.6"/>
    <m/>
    <m/>
    <n v="12.96"/>
    <m/>
    <n v="25125.5"/>
    <n v="188592"/>
    <n v="0.56227000000000005"/>
    <n v="7.5620000000000007E-2"/>
    <n v="0.40493000000000001"/>
    <n v="0.24232999999999999"/>
    <n v="1266.7"/>
    <n v="4652.7"/>
    <m/>
    <m/>
    <n v="117959.76"/>
    <n v="213717.5"/>
    <n v="2396.92"/>
    <n v="4330.24"/>
    <n v="0"/>
    <s v="Horária Verde"/>
    <n v="1.0347999999999999"/>
    <n v="1.0432000000000001"/>
    <n v="0"/>
    <n v="0"/>
    <n v="2.0319810755803507E-2"/>
    <n v="3.6709467703223538E-2"/>
    <n v="0"/>
    <n v="1.05"/>
    <n v="1"/>
    <s v=""/>
    <n v="0"/>
    <n v="410.04999999999995"/>
    <n v="410.82499999999999"/>
    <n v="157561.57999999999"/>
  </r>
  <r>
    <x v="1"/>
    <d v="2019-12-01T00:00:00"/>
    <x v="4"/>
    <x v="11"/>
    <n v="33"/>
    <n v="9.4000000000000004E-3"/>
    <n v="4.3299999999999998E-2"/>
    <n v="0.18"/>
    <n v="500"/>
    <n v="500"/>
    <n v="402.4"/>
    <n v="392.3"/>
    <m/>
    <m/>
    <n v="12.96"/>
    <m/>
    <n v="20911.2"/>
    <n v="159482"/>
    <n v="0.56227000000000005"/>
    <n v="7.5620000000000007E-2"/>
    <n v="0.40493000000000001"/>
    <n v="0.24232999999999999"/>
    <n v="1398.4"/>
    <n v="5032.2"/>
    <m/>
    <m/>
    <n v="100912.46"/>
    <n v="180393.2"/>
    <n v="1450.1799999999998"/>
    <n v="4783.08"/>
    <n v="0"/>
    <s v="Horária Verde"/>
    <n v="0.80479999999999996"/>
    <n v="0.78460000000000008"/>
    <n v="0"/>
    <n v="0"/>
    <n v="1.4370673353914867E-2"/>
    <n v="4.7398309386174904E-2"/>
    <n v="0"/>
    <n v="1.05"/>
    <n v="1"/>
    <s v=""/>
    <n v="0"/>
    <n v="410.04999999999995"/>
    <n v="410.82499999999999"/>
    <n v="157561.57999999999"/>
  </r>
  <r>
    <x v="1"/>
    <d v="2020-01-01T00:00:00"/>
    <x v="5"/>
    <x v="0"/>
    <n v="29"/>
    <n v="8.6E-3"/>
    <n v="3.9699999999999999E-2"/>
    <n v="0.18"/>
    <n v="500"/>
    <n v="500"/>
    <n v="406.6"/>
    <n v="410.8"/>
    <m/>
    <m/>
    <n v="12.96"/>
    <m/>
    <n v="14449.3"/>
    <n v="132347.70000000001"/>
    <n v="0.56227000000000005"/>
    <n v="7.5620000000000007E-2"/>
    <n v="0.40493000000000001"/>
    <n v="0.24232999999999999"/>
    <n v="1700.6"/>
    <n v="5552.4"/>
    <m/>
    <m/>
    <n v="78458.39"/>
    <n v="146796.9"/>
    <n v="2192.31"/>
    <n v="239.31"/>
    <n v="0"/>
    <s v="Horária Verde"/>
    <n v="0.81320000000000003"/>
    <n v="0.8216"/>
    <n v="0"/>
    <n v="0"/>
    <n v="2.7942327136715399E-2"/>
    <n v="3.0501518065818075E-3"/>
    <n v="0"/>
    <n v="1.05"/>
    <n v="1"/>
    <s v=""/>
    <n v="0"/>
    <n v="410.04999999999995"/>
    <n v="410.82499999999999"/>
    <n v="157561.57999999999"/>
  </r>
  <r>
    <x v="1"/>
    <d v="2020-02-01T00:00:00"/>
    <x v="5"/>
    <x v="1"/>
    <n v="30"/>
    <n v="9.5999999999999992E-3"/>
    <n v="4.41E-2"/>
    <n v="0.18"/>
    <n v="500"/>
    <n v="500"/>
    <n v="357.8"/>
    <n v="402.4"/>
    <m/>
    <m/>
    <n v="12.96"/>
    <m/>
    <n v="17830.900000000001"/>
    <n v="151330.6"/>
    <n v="0.56227000000000005"/>
    <n v="7.5620000000000007E-2"/>
    <n v="0.40493000000000001"/>
    <n v="0.24232999999999999"/>
    <n v="918.1"/>
    <n v="4652.6000000000004"/>
    <m/>
    <m/>
    <n v="89982.48"/>
    <n v="169161.5"/>
    <n v="1422.19"/>
    <n v="167.56"/>
    <n v="0"/>
    <s v="Horária Verde"/>
    <n v="0.71560000000000001"/>
    <n v="0.80479999999999996"/>
    <n v="0"/>
    <n v="0"/>
    <n v="1.5805187854346758E-2"/>
    <n v="1.8621402744178645E-3"/>
    <n v="0"/>
    <n v="1.05"/>
    <n v="1"/>
    <s v=""/>
    <n v="0"/>
    <n v="410.04999999999995"/>
    <n v="410.82499999999999"/>
    <n v="157561.57999999999"/>
  </r>
  <r>
    <x v="1"/>
    <d v="2020-03-01T00:00:00"/>
    <x v="5"/>
    <x v="2"/>
    <n v="32"/>
    <n v="9.4999999999999998E-3"/>
    <n v="4.3900000000000002E-2"/>
    <n v="0.18"/>
    <n v="500"/>
    <n v="500"/>
    <n v="492.2"/>
    <n v="483.8"/>
    <m/>
    <m/>
    <n v="12.96"/>
    <m/>
    <n v="20282.8"/>
    <n v="165251.9"/>
    <n v="0.56227000000000005"/>
    <n v="7.5620000000000007E-2"/>
    <n v="0.40493000000000001"/>
    <n v="0.24232999999999999"/>
    <n v="1004.6"/>
    <n v="5201.1000000000004"/>
    <m/>
    <m/>
    <n v="96582.44"/>
    <n v="185534.8"/>
    <n v="0"/>
    <n v="0"/>
    <n v="0"/>
    <s v="Horária Verde"/>
    <n v="0.98439999999999994"/>
    <n v="0.96760000000000002"/>
    <n v="0"/>
    <n v="0"/>
    <n v="0"/>
    <n v="0"/>
    <n v="0"/>
    <n v="1.05"/>
    <n v="1"/>
    <s v=""/>
    <n v="0"/>
    <n v="410.04999999999995"/>
    <n v="410.82499999999999"/>
    <n v="157561.57999999999"/>
  </r>
  <r>
    <x v="1"/>
    <d v="2020-04-01T00:00:00"/>
    <x v="5"/>
    <x v="3"/>
    <n v="29"/>
    <n v="2.3E-3"/>
    <n v="1.06E-2"/>
    <n v="0.18"/>
    <n v="500"/>
    <n v="500"/>
    <n v="291.5"/>
    <n v="304.10000000000002"/>
    <m/>
    <m/>
    <n v="12.96"/>
    <m/>
    <n v="11591"/>
    <n v="113500.8"/>
    <n v="0.56227000000000005"/>
    <n v="7.5620000000000007E-2"/>
    <n v="0.40493000000000001"/>
    <n v="0.24232999999999999"/>
    <n v="1002.8"/>
    <n v="3206.7"/>
    <m/>
    <m/>
    <n v="62218.45"/>
    <n v="125091.8"/>
    <n v="0"/>
    <n v="0"/>
    <n v="0"/>
    <s v="Horária Verde"/>
    <n v="0.58299999999999996"/>
    <n v="0.60820000000000007"/>
    <n v="0"/>
    <n v="0"/>
    <n v="0"/>
    <n v="0"/>
    <n v="0"/>
    <n v="1.05"/>
    <n v="1"/>
    <s v=""/>
    <n v="0"/>
    <n v="410.04999999999995"/>
    <n v="410.82499999999999"/>
    <n v="157561.57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E5474-4127-4CD0-BD96-54E0F64FB47F}" name="Tabela dinâmica6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 rowHeaderCaption="UC" colHeaderCaption="Ano">
  <location ref="O2:P17" firstHeaderRow="1" firstDataRow="1" firstDataCol="1"/>
  <pivotFields count="46">
    <pivotField axis="axisRow" showAll="0">
      <items count="4">
        <item x="0"/>
        <item x="1"/>
        <item m="1" x="2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showAll="0"/>
    <pivotField dataField="1" showAll="0"/>
    <pivotField showAll="0"/>
    <pivotField showAll="0"/>
    <pivotField showAll="0"/>
  </pivotFields>
  <rowFields count="2">
    <field x="0"/>
    <field x="2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Excedido 105%" fld="42" baseField="0" baseItem="0"/>
  </dataFields>
  <formats count="2">
    <format dxfId="90">
      <pivotArea outline="0" collapsedLevelsAreSubtotals="1" fieldPosition="0"/>
    </format>
    <format dxfId="8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D5518-8351-4C2D-A042-D046238C9090}" name="Tabela dinâmica6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U3:AY69" firstHeaderRow="0" firstDataRow="1" firstDataCol="1" rowPageCount="1" colPageCount="1"/>
  <pivotFields count="46">
    <pivotField axis="axisPage" multipleItemSelectionAllowed="1" showAll="0">
      <items count="4">
        <item x="0"/>
        <item h="1" x="1"/>
        <item m="1" x="2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showAll="0"/>
    <pivotField showAll="0"/>
    <pivotField showAll="0"/>
    <pivotField showAll="0"/>
    <pivotField numFmtId="9" showAll="0"/>
    <pivotField numFmtId="9"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showAll="0"/>
    <pivotField showAll="0"/>
    <pivotField dataField="1" showAll="0"/>
    <pivotField dataField="1" showAll="0"/>
    <pivotField showAll="0"/>
  </pivotFields>
  <rowFields count="2">
    <field x="2"/>
    <field x="3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Demanda P" fld="10" baseField="2" baseItem="0"/>
    <dataField name="Demanda FP" fld="11" baseField="2" baseItem="0"/>
    <dataField name="demanda P Média 2015" fld="43" baseField="3" baseItem="4"/>
    <dataField name="Demanda FP Média 2015" fld="44" baseField="3" baseItem="4"/>
  </dataFields>
  <chartFormats count="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6C1F8-4A70-46A3-BA57-0796F42496F8}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>
  <location ref="AI3:AK69" firstHeaderRow="0" firstDataRow="1" firstDataCol="1" rowPageCount="1" colPageCount="1"/>
  <pivotFields count="46">
    <pivotField axis="axisPage" multipleItemSelectionAllowed="1" showAll="0">
      <items count="4">
        <item x="0"/>
        <item h="1" x="1"/>
        <item m="1" x="2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dataField="1" showAll="0"/>
  </pivotFields>
  <rowFields count="2">
    <field x="2"/>
    <field x="3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nsumo mensal" fld="27" baseField="3" baseItem="1"/>
    <dataField name="Média 2015" fld="45" baseField="3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D5133-C694-44F4-A2F8-E8730D72933F}" name="Tabela dinâmica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8">
  <location ref="AC3:AG69" firstHeaderRow="0" firstDataRow="1" firstDataCol="1" rowPageCount="1" colPageCount="1"/>
  <pivotFields count="46">
    <pivotField axis="axisPage" multipleItemSelectionAllowed="1" showAll="0">
      <items count="4">
        <item x="0"/>
        <item h="1" x="1"/>
        <item h="1" m="1" x="2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numFmtId="9" showAll="0"/>
    <pivotField numFmtId="9" showAll="0"/>
    <pivotField numFmtId="9" showAll="0"/>
    <pivotField dataField="1" numFmtId="9" showAll="0"/>
    <pivotField dataField="1" numFmtId="9" showAll="0"/>
    <pivotField showAll="0"/>
    <pivotField showAll="0"/>
    <pivotField showAll="0"/>
    <pivotField showAll="0"/>
    <pivotField showAll="0"/>
  </pivotFields>
  <rowFields count="2">
    <field x="2"/>
    <field x="3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Demanda P" fld="32" subtotal="average" baseField="3" baseItem="0" numFmtId="168"/>
    <dataField name="Demanda FP" fld="33" subtotal="average" baseField="0" baseItem="148766720" numFmtId="168"/>
    <dataField name="Limite 105%" fld="39" baseField="3" baseItem="1"/>
    <dataField name="Referência contratada" fld="40" baseField="3" baseItem="1"/>
  </dataFields>
  <chartFormats count="4">
    <chartFormat chart="9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0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0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0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4CCD5-EF85-4266-9B2E-555B6D073FEC}" name="Tabela dinâmica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P9:R22" firstHeaderRow="0" firstDataRow="1" firstDataCol="1"/>
  <pivotFields count="8"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h="1" x="3"/>
        <item x="4"/>
        <item x="5"/>
        <item t="default"/>
      </items>
    </pivotField>
    <pivotField dataField="1" numFmtId="3" showAll="0">
      <items count="13">
        <item x="6"/>
        <item x="7"/>
        <item x="8"/>
        <item x="10"/>
        <item x="11"/>
        <item x="1"/>
        <item x="2"/>
        <item x="0"/>
        <item x="4"/>
        <item x="5"/>
        <item x="9"/>
        <item x="3"/>
        <item t="default"/>
      </items>
    </pivotField>
    <pivotField dataField="1" showAll="0">
      <items count="12">
        <item x="6"/>
        <item x="7"/>
        <item x="8"/>
        <item x="9"/>
        <item x="10"/>
        <item x="1"/>
        <item x="2"/>
        <item x="0"/>
        <item x="4"/>
        <item x="5"/>
        <item x="3"/>
        <item t="default"/>
      </items>
    </pivotField>
    <pivotField numFmtId="3" showAll="0"/>
    <pivotField numFmtId="3" showAll="0"/>
    <pivotField numFmtId="9" showAll="0"/>
    <pivotField showAl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4"/>
    </i>
    <i r="1">
      <x v="5"/>
    </i>
    <i>
      <x v="1"/>
    </i>
    <i r="1">
      <x/>
    </i>
    <i r="1">
      <x v="1"/>
    </i>
    <i r="1">
      <x v="2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urno matutino" fld="2" baseField="0" baseItem="0"/>
    <dataField name="Turno Noturno" fld="3" baseField="0" baseItem="0"/>
  </dataFields>
  <chartFormats count="7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40FBA-D4EE-45C7-AEEF-74D5B3DB2ECC}" name="Tabela dinâmica2" cacheId="2" applyNumberFormats="0" applyBorderFormats="0" applyFontFormats="0" applyPatternFormats="0" applyAlignmentFormats="0" applyWidthHeightFormats="1" dataCaption="Valores" errorCaption="n.a." showError="1" updatedVersion="6" minRefreshableVersion="3" useAutoFormatting="1" rowGrandTotals="0" colGrandTotals="0" itemPrintTitles="1" createdVersion="6" indent="0" outline="1" outlineData="1" multipleFieldFilters="0" rowHeaderCaption="UC" colHeaderCaption="Ano">
  <location ref="AV1:BB28" firstHeaderRow="1" firstDataRow="2" firstDataCol="1"/>
  <pivotFields count="46">
    <pivotField axis="axisRow" showAll="0">
      <items count="4">
        <item x="0"/>
        <item x="1"/>
        <item m="1" x="2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</pivotFields>
  <rowFields count="2">
    <field x="0"/>
    <field x="3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Ponta" fld="32" showDataAs="percentDiff" baseField="2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4DD94-5CDE-4CB7-B1B2-107CF0286E86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N3:BO9" firstHeaderRow="1" firstDataRow="1" firstDataCol="1" rowPageCount="1" colPageCount="1"/>
  <pivotFields count="46">
    <pivotField axis="axisPage" multipleItemSelectionAllowed="1" showAll="0">
      <items count="4">
        <item x="0"/>
        <item h="1" x="1"/>
        <item m="1" x="2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oma de Consumo Total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40FB3-2E22-4585-AF0C-30709CE540E9}" name="Tabela dinâmica3" cacheId="2" applyNumberFormats="0" applyBorderFormats="0" applyFontFormats="0" applyPatternFormats="0" applyAlignmentFormats="0" applyWidthHeightFormats="1" dataCaption="Valores" errorCaption="n.a." showError="1" updatedVersion="6" minRefreshableVersion="3" useAutoFormatting="1" rowGrandTotals="0" colGrandTotals="0" itemPrintTitles="1" createdVersion="6" indent="0" outline="1" outlineData="1" multipleFieldFilters="0" rowHeaderCaption="UC" colHeaderCaption="Ano">
  <location ref="BE1:BK28" firstHeaderRow="1" firstDataRow="2" firstDataCol="1"/>
  <pivotFields count="46">
    <pivotField axis="axisRow" showAll="0">
      <items count="4">
        <item x="0"/>
        <item x="1"/>
        <item m="1" x="2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</pivotFields>
  <rowFields count="2">
    <field x="0"/>
    <field x="3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FP" fld="11" showDataAs="percentDiff" baseField="2" baseItem="0" numFmtId="168"/>
  </dataFields>
  <conditionalFormats count="1">
    <conditionalFormat priority="1">
      <pivotAreas count="2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2" count="5" selected="0">
              <x v="1"/>
              <x v="2"/>
              <x v="3"/>
              <x v="4"/>
              <x v="5"/>
            </reference>
            <reference field="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2" count="5" selected="0">
              <x v="1"/>
              <x v="2"/>
              <x v="3"/>
              <x v="4"/>
              <x v="5"/>
            </reference>
            <reference field="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F23CB-68A3-4FFA-8A50-E97EF2D3EF72}" name="Tabela dinâmica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M3:S17" firstHeaderRow="1" firstDataRow="2" firstDataCol="1" rowPageCount="1" colPageCount="1"/>
  <pivotFields count="46">
    <pivotField axis="axisPage" multipleItemSelectionAllowed="1" showAll="0">
      <items count="4">
        <item x="0"/>
        <item h="1" x="1"/>
        <item m="1" x="2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showAll="0"/>
    <pivotField showAll="0"/>
    <pivotField showAll="0"/>
    <pivotField showAll="0"/>
    <pivotField dataField="1" numFmtId="9" showAll="0"/>
    <pivotField numFmtId="9"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oma de % Demanda contratada P" fld="32" baseField="0" baseItem="0"/>
  </dataFields>
  <chartFormats count="10">
    <chartFormat chart="0" format="4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4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4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48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9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CE971-4BD2-45F8-80F0-D097E92F9050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S1:U7" firstHeaderRow="0" firstDataRow="1" firstDataCol="1"/>
  <pivotFields count="7">
    <pivotField numFmtId="14" showAll="0"/>
    <pivotField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x="11"/>
        <item t="default"/>
      </items>
    </pivotField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dataField="1"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recipitação (mm)" fld="3" subtotal="average" baseField="0" baseItem="0"/>
    <dataField name="Temperatura média (ºC)" fld="5" subtotal="average" baseField="0" baseItem="0"/>
  </dataFields>
  <formats count="6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2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DA060-2954-4250-B509-C41697CDB5E0}" name="Tabela dinâmica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3">
  <location ref="X3:Z10" firstHeaderRow="0" firstDataRow="1" firstDataCol="1" rowPageCount="1" colPageCount="1"/>
  <pivotFields count="8">
    <pivotField axis="axisPage" multipleItemSelectionAllowed="1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3" showAll="0"/>
    <pivotField showAll="0"/>
    <pivotField numFmtId="3" showAll="0"/>
    <pivotField dataField="1" numFmtId="3"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Total de alunos" fld="5" baseField="0" baseItem="0"/>
    <dataField name="crescimento (%)" fld="6" subtotal="average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F7C75-7606-406C-8982-A73EE08625D2}" name="Tabela dinâmica3" cacheId="2" applyNumberFormats="0" applyBorderFormats="0" applyFontFormats="0" applyPatternFormats="0" applyAlignmentFormats="0" applyWidthHeightFormats="1" dataCaption="Valores" errorCaption="n.a." showError="1" updatedVersion="6" minRefreshableVersion="3" useAutoFormatting="1" rowGrandTotals="0" colGrandTotals="0" itemPrintTitles="1" createdVersion="6" indent="0" outline="1" outlineData="1" multipleFieldFilters="0">
  <location ref="AA50:AF77" firstHeaderRow="1" firstDataRow="2" firstDataCol="1"/>
  <pivotFields count="46">
    <pivotField axis="axisRow" showAll="0">
      <items count="4">
        <item x="0"/>
        <item x="1"/>
        <item m="1" x="2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showAll="0"/>
    <pivotField showAll="0"/>
    <pivotField showAll="0"/>
    <pivotField showAll="0"/>
    <pivotField numFmtId="9" showAll="0"/>
    <pivotField numFmtId="9"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</pivotFields>
  <rowFields count="2">
    <field x="0"/>
    <field x="3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oma de DEMANDA_REGISTRADA_FP" fld="11" showDataAs="percentDiff" baseField="2" baseItem="1048828" numFmtId="168"/>
  </dataFields>
  <formats count="6">
    <format dxfId="96">
      <pivotArea collapsedLevelsAreSubtotals="1" fieldPosition="0">
        <references count="1">
          <reference field="0" count="1">
            <x v="0"/>
          </reference>
        </references>
      </pivotArea>
    </format>
    <format dxfId="95">
      <pivotArea collapsedLevelsAreSubtotals="1" fieldPosition="0">
        <references count="2">
          <reference field="0" count="1" selected="0">
            <x v="0"/>
          </reference>
          <reference field="3" count="0"/>
        </references>
      </pivotArea>
    </format>
    <format dxfId="94">
      <pivotArea collapsedLevelsAreSubtotals="1" fieldPosition="0">
        <references count="1">
          <reference field="0" count="1">
            <x v="1"/>
          </reference>
        </references>
      </pivotArea>
    </format>
    <format dxfId="93">
      <pivotArea collapsedLevelsAreSubtotals="1" fieldPosition="0">
        <references count="2">
          <reference field="0" count="1" selected="0">
            <x v="1"/>
          </reference>
          <reference field="3" count="0"/>
        </references>
      </pivotArea>
    </format>
    <format dxfId="92">
      <pivotArea dataOnly="0" labelOnly="1" fieldPosition="0">
        <references count="1">
          <reference field="2" count="0"/>
        </references>
      </pivotArea>
    </format>
    <format dxfId="91">
      <pivotArea dataOnly="0" labelOnly="1" grandCol="1" outline="0" fieldPosition="0"/>
    </format>
  </formats>
  <conditionalFormats count="1">
    <conditionalFormat priority="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88CBE-BA77-4523-BFE3-38CA9B0C396E}" name="Tabela dinâmica2" cacheId="2" applyNumberFormats="0" applyBorderFormats="0" applyFontFormats="0" applyPatternFormats="0" applyAlignmentFormats="0" applyWidthHeightFormats="1" dataCaption="Valores" errorCaption="n.a." showError="1" updatedVersion="6" minRefreshableVersion="3" useAutoFormatting="1" rowGrandTotals="0" colGrandTotals="0" itemPrintTitles="1" createdVersion="6" indent="0" outline="1" outlineData="1" multipleFieldFilters="0">
  <location ref="O50:T77" firstHeaderRow="1" firstDataRow="2" firstDataCol="1"/>
  <pivotFields count="46">
    <pivotField axis="axisRow" showAll="0">
      <items count="4">
        <item x="0"/>
        <item x="1"/>
        <item m="1" x="2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showAll="0"/>
    <pivotField showAll="0"/>
    <pivotField showAll="0"/>
    <pivotField showAll="0"/>
    <pivotField numFmtId="9" showAll="0"/>
    <pivotField numFmtId="9"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</pivotFields>
  <rowFields count="2">
    <field x="0"/>
    <field x="3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oma de DEMANDA_REGISTRADA_P" fld="10" showDataAs="percentDiff" baseField="2" baseItem="1048828" numFmtId="168"/>
  </dataFields>
  <formats count="4">
    <format dxfId="100">
      <pivotArea collapsedLevelsAreSubtotals="1" fieldPosition="0">
        <references count="1">
          <reference field="0" count="1">
            <x v="0"/>
          </reference>
        </references>
      </pivotArea>
    </format>
    <format dxfId="99">
      <pivotArea collapsedLevelsAreSubtotals="1" fieldPosition="0">
        <references count="2">
          <reference field="0" count="1" selected="0">
            <x v="0"/>
          </reference>
          <reference field="3" count="0"/>
        </references>
      </pivotArea>
    </format>
    <format dxfId="98">
      <pivotArea collapsedLevelsAreSubtotals="1" fieldPosition="0">
        <references count="1">
          <reference field="0" count="1">
            <x v="1"/>
          </reference>
        </references>
      </pivotArea>
    </format>
    <format dxfId="97">
      <pivotArea collapsedLevelsAreSubtotals="1" fieldPosition="0">
        <references count="2">
          <reference field="0" count="1" selected="0">
            <x v="1"/>
          </reference>
          <reference field="3" count="0"/>
        </references>
      </pivotArea>
    </format>
  </formats>
  <conditionalFormats count="1">
    <conditionalFormat priority="4">
      <pivotAreas count="4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0D4CA-F991-4FBD-88BE-5F9980E98663}" name="Tabela dinâmica1" cacheId="2" applyNumberFormats="0" applyBorderFormats="0" applyFontFormats="0" applyPatternFormats="0" applyAlignmentFormats="0" applyWidthHeightFormats="1" dataCaption="Valores" errorCaption="n.a" showError="1" updatedVersion="6" minRefreshableVersion="3" useAutoFormatting="1" colGrandTotals="0" itemPrintTitles="1" createdVersion="6" indent="0" outline="1" outlineData="1" multipleFieldFilters="0" rowHeaderCaption="UC" colHeaderCaption="Ano">
  <location ref="A2:F30" firstHeaderRow="1" firstDataRow="2" firstDataCol="1"/>
  <pivotFields count="46">
    <pivotField axis="axisRow" showAll="0">
      <items count="4">
        <item x="0"/>
        <item x="1"/>
        <item m="1" x="2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</pivotFields>
  <rowFields count="2">
    <field x="0"/>
    <field x="3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 " fld="27" showDataAs="percentDiff" baseField="2" baseItem="0" numFmtId="168"/>
  </dataFields>
  <formats count="26">
    <format dxfId="126">
      <pivotArea collapsedLevelsAreSubtotals="1" fieldPosition="0">
        <references count="1">
          <reference field="3" count="0"/>
        </references>
      </pivotArea>
    </format>
    <format dxfId="125">
      <pivotArea field="3" type="button" dataOnly="0" labelOnly="1" outline="0" axis="axisRow" fieldPosition="1"/>
    </format>
    <format dxfId="124">
      <pivotArea dataOnly="0" labelOnly="1" fieldPosition="0">
        <references count="1">
          <reference field="3" count="0"/>
        </references>
      </pivotArea>
    </format>
    <format dxfId="123">
      <pivotArea dataOnly="0" labelOnly="1" fieldPosition="0">
        <references count="1">
          <reference field="2" count="0"/>
        </references>
      </pivotArea>
    </format>
    <format dxfId="122">
      <pivotArea dataOnly="0" labelOnly="1" grandCol="1" outline="0" fieldPosition="0"/>
    </format>
    <format dxfId="121">
      <pivotArea field="0" type="button" dataOnly="0" labelOnly="1" outline="0" axis="axisRow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type="origin" dataOnly="0" labelOnly="1" outline="0" fieldPosition="0"/>
    </format>
    <format dxfId="117">
      <pivotArea field="2" type="button" dataOnly="0" labelOnly="1" outline="0" axis="axisCol" fieldPosition="0"/>
    </format>
    <format dxfId="116">
      <pivotArea type="topRight" dataOnly="0" labelOnly="1" outline="0" fieldPosition="0"/>
    </format>
    <format dxfId="115">
      <pivotArea field="0" type="button" dataOnly="0" labelOnly="1" outline="0" axis="axisRow" fieldPosition="0"/>
    </format>
    <format dxfId="114">
      <pivotArea dataOnly="0" labelOnly="1" fieldPosition="0">
        <references count="1">
          <reference field="0" count="0"/>
        </references>
      </pivotArea>
    </format>
    <format dxfId="113">
      <pivotArea dataOnly="0" labelOnly="1" grandRow="1" outline="0" fieldPosition="0"/>
    </format>
    <format dxfId="112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111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110">
      <pivotArea dataOnly="0" labelOnly="1" fieldPosition="0">
        <references count="1">
          <reference field="2" count="0"/>
        </references>
      </pivotArea>
    </format>
    <format dxfId="109">
      <pivotArea collapsedLevelsAreSubtotals="1" fieldPosition="0">
        <references count="1">
          <reference field="0" count="1">
            <x v="1"/>
          </reference>
        </references>
      </pivotArea>
    </format>
    <format dxfId="108">
      <pivotArea dataOnly="0" labelOnly="1" fieldPosition="0">
        <references count="1">
          <reference field="0" count="1">
            <x v="1"/>
          </reference>
        </references>
      </pivotArea>
    </format>
    <format dxfId="107">
      <pivotArea collapsedLevelsAreSubtotals="1" fieldPosition="0">
        <references count="1">
          <reference field="0" count="1">
            <x v="1"/>
          </reference>
        </references>
      </pivotArea>
    </format>
    <format dxfId="106">
      <pivotArea dataOnly="0" labelOnly="1" fieldPosition="0">
        <references count="1">
          <reference field="0" count="1">
            <x v="1"/>
          </reference>
        </references>
      </pivotArea>
    </format>
    <format dxfId="105">
      <pivotArea collapsedLevelsAreSubtotals="1" fieldPosition="0">
        <references count="1">
          <reference field="0" count="1">
            <x v="0"/>
          </reference>
        </references>
      </pivotArea>
    </format>
    <format dxfId="104">
      <pivotArea dataOnly="0" labelOnly="1" fieldPosition="0">
        <references count="1">
          <reference field="0" count="1">
            <x v="0"/>
          </reference>
        </references>
      </pivotArea>
    </format>
    <format dxfId="103">
      <pivotArea collapsedLevelsAreSubtotals="1" fieldPosition="0">
        <references count="1">
          <reference field="0" count="1">
            <x v="0"/>
          </reference>
        </references>
      </pivotArea>
    </format>
    <format dxfId="102">
      <pivotArea dataOnly="0" labelOnly="1" fieldPosition="0">
        <references count="1">
          <reference field="0" count="1">
            <x v="0"/>
          </reference>
        </references>
      </pivotArea>
    </format>
    <format dxfId="101">
      <pivotArea field="0" type="button" dataOnly="0" labelOnly="1" outline="0" axis="axisRow" fieldPosition="0"/>
    </format>
  </formats>
  <conditionalFormats count="1">
    <conditionalFormat priority="6">
      <pivotAreas count="2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2" count="5" selected="0">
              <x v="1"/>
              <x v="2"/>
              <x v="3"/>
              <x v="4"/>
              <x v="5"/>
            </reference>
            <reference field="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2" count="5" selected="0">
              <x v="1"/>
              <x v="2"/>
              <x v="3"/>
              <x v="4"/>
              <x v="5"/>
            </reference>
            <reference field="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3117F-2F1C-4D1D-B6FE-1EDEA2883995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9">
  <location ref="X3:AB69" firstHeaderRow="0" firstDataRow="1" firstDataCol="1" rowPageCount="1" colPageCount="1"/>
  <pivotFields count="46">
    <pivotField axis="axisPage" multipleItemSelectionAllowed="1" showAll="0">
      <items count="4">
        <item h="1" x="0"/>
        <item x="1"/>
        <item m="1" x="2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numFmtId="9" showAll="0"/>
    <pivotField numFmtId="9" showAll="0"/>
    <pivotField numFmtId="9" showAll="0"/>
    <pivotField dataField="1" numFmtId="9" showAll="0"/>
    <pivotField dataField="1" numFmtId="9" showAll="0"/>
    <pivotField showAll="0"/>
    <pivotField showAll="0"/>
    <pivotField showAll="0"/>
    <pivotField showAll="0"/>
    <pivotField showAll="0"/>
  </pivotFields>
  <rowFields count="2">
    <field x="2"/>
    <field x="3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Demanda P" fld="32" subtotal="average" baseField="3" baseItem="0" numFmtId="168"/>
    <dataField name="Demanda FP" fld="33" subtotal="average" baseField="0" baseItem="148766720" numFmtId="168"/>
    <dataField name="Limite 105%" fld="39" baseField="0" baseItem="0"/>
    <dataField name="Referência contratada" fld="40" baseField="3" baseItem="1"/>
  </dataFields>
  <chartFormats count="4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A0094-4A30-49C3-8CA5-03788A2E6D42}" name="Tabela dinâmica5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R3:AS9" firstHeaderRow="1" firstDataRow="1" firstDataCol="1" rowPageCount="1" colPageCount="1"/>
  <pivotFields count="46">
    <pivotField axis="axisPage" multipleItemSelectionAllowed="1" showAll="0">
      <items count="4">
        <item h="1" x="0"/>
        <item x="1"/>
        <item h="1" m="1" x="2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oma Consumo Total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105FD-8AD1-4C5F-9AB7-07F4041D705B}" name="Tabela dinâ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5">
  <location ref="AM3:AO69" firstHeaderRow="0" firstDataRow="1" firstDataCol="1" rowPageCount="1" colPageCount="1"/>
  <pivotFields count="46">
    <pivotField axis="axisPage" multipleItemSelectionAllowed="1" showAll="0">
      <items count="4">
        <item h="1" x="0"/>
        <item x="1"/>
        <item m="1" x="2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dataField="1" showAll="0"/>
  </pivotFields>
  <rowFields count="2">
    <field x="2"/>
    <field x="3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nsumo mensal" fld="27" baseField="3" baseItem="1"/>
    <dataField name="Média 2015" fld="45" baseField="3" baseItem="1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BC1D8-16AF-49B6-B36B-27B2584BADF8}" name="Tabela dinâmica7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A3:BE69" firstHeaderRow="0" firstDataRow="1" firstDataCol="1" rowPageCount="1" colPageCount="1"/>
  <pivotFields count="46">
    <pivotField axis="axisPage" multipleItemSelectionAllowed="1" showAll="0">
      <items count="4">
        <item h="1" x="0"/>
        <item x="1"/>
        <item m="1" x="2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showAll="0"/>
    <pivotField showAll="0"/>
    <pivotField showAll="0"/>
    <pivotField showAll="0"/>
    <pivotField numFmtId="9" showAll="0"/>
    <pivotField numFmtId="9" showAll="0"/>
    <pivotField showAll="0"/>
    <pivotField showAll="0"/>
    <pivotField numFmtId="9" showAll="0"/>
    <pivotField numFmtId="9" showAll="0"/>
    <pivotField numFmtId="9" showAll="0"/>
    <pivotField numFmtId="9" showAll="0"/>
    <pivotField numFmtId="9" showAll="0"/>
    <pivotField showAll="0"/>
    <pivotField showAll="0"/>
    <pivotField dataField="1" showAll="0"/>
    <pivotField dataField="1" showAll="0"/>
    <pivotField showAll="0"/>
  </pivotFields>
  <rowFields count="2">
    <field x="2"/>
    <field x="3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Demanda P" fld="10" baseField="0" baseItem="730262308"/>
    <dataField name="Demanda FP" fld="11" baseField="0" baseItem="664266816"/>
    <dataField name="Demanda média 2015 P" fld="43" baseField="0" baseItem="2089975724"/>
    <dataField name="Demanda média 2015 FP" fld="4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6728012E-8D83-4E35-ABEB-44667F539130}" sourceName="ANO">
  <pivotTables>
    <pivotTable tabId="5" name="Tabela dinâmica1"/>
    <pivotTable tabId="5" name="Tabela dinâmica4"/>
    <pivotTable tabId="5" name="Tabela dinâmica2"/>
    <pivotTable tabId="5" name="Tabela dinâmica3"/>
  </pivotTables>
  <data>
    <tabular pivotCacheId="1372987825">
      <items count="6">
        <i x="0" s="1"/>
        <i x="1" s="1"/>
        <i x="2" s="1"/>
        <i x="3" s="1"/>
        <i x="4" s="1"/>
        <i x="5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5CF7069-F4BE-4768-AD4F-F90B9D619DA3}" sourceName="MÊS">
  <pivotTables>
    <pivotTable tabId="7" name="Tabela dinâmica9"/>
  </pivotTables>
  <data>
    <tabular pivotCacheId="2026653017">
      <items count="12">
        <i x="0"/>
        <i x="1"/>
        <i x="2"/>
        <i x="3"/>
        <i x="4"/>
        <i x="5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35C0C68-7F02-4CB5-9840-74674AB5D09C}" cache="SegmentaçãodeDados_MÊS" caption="MÊS" columnCount="1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4742BE76-8C02-480B-BD63-19F6ED2DFF58}" cache="SegmentaçãodeDados_ANO" caption="ANO" columnCount="6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D6FBA5-2955-40F9-884F-5A3BC783EF60}" name="Tabela2" displayName="Tabela2" ref="A1:E26" totalsRowShown="0" headerRowDxfId="88" dataDxfId="87">
  <autoFilter ref="A1:E26" xr:uid="{8D8078E0-1659-4DC8-9D6F-9B78C5E7CA9C}"/>
  <tableColumns count="5">
    <tableColumn id="1" xr3:uid="{BDC0B907-E334-4E04-91BA-F0B150E1DFBD}" name="Campus" dataDxfId="86"/>
    <tableColumn id="2" xr3:uid="{780A5C20-DF63-46A0-9EFA-A4D9B19B630C}" name="Cursos" dataDxfId="85"/>
    <tableColumn id="3" xr3:uid="{757AF1E7-18E1-4548-8AA4-7EFFBA99C69A}" name="Período" dataDxfId="84"/>
    <tableColumn id="4" xr3:uid="{6AD3957B-0237-4794-8718-FF3A7B262CFA}" name="Vagas p/turno" dataDxfId="83"/>
    <tableColumn id="5" xr3:uid="{C7133309-E70D-4962-9EE7-A08CA2BF40F0}" name="Total" dataDxfId="82">
      <calculatedColumnFormula>2*D2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543F46-2249-4CAA-9665-BBDA50B9BD5A}" name="Tabela3" displayName="Tabela3" ref="H1:J7" totalsRowShown="0">
  <autoFilter ref="H1:J7" xr:uid="{4B0AC9F9-26F0-4E17-BB61-A6DBE785311A}"/>
  <tableColumns count="3">
    <tableColumn id="1" xr3:uid="{D28CA66E-A586-4869-B92E-486E1478CBAD}" name="Ano" dataDxfId="81"/>
    <tableColumn id="2" xr3:uid="{933744AD-5587-4DFD-82F0-D80566AE2D9C}" name="Tipo de greve" dataDxfId="80"/>
    <tableColumn id="3" xr3:uid="{19A996E3-E921-4643-A81D-53FB6CFCA1D8}" name="Datas" dataDxfId="7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AED113-9C84-4AB2-BB68-7A3A1582C34F}" name="Tabela4" displayName="Tabela4" ref="G9:N21" totalsRowShown="0" headerRowDxfId="78" dataDxfId="77">
  <autoFilter ref="G9:N21" xr:uid="{6A26227C-3800-4B23-BD98-8CEF00B6D857}"/>
  <tableColumns count="8">
    <tableColumn id="1" xr3:uid="{17A38712-DA13-4EFA-B0A6-DFF65F07F061}" name="UC" dataDxfId="76"/>
    <tableColumn id="2" xr3:uid="{57EABC14-5A47-4268-9D66-7734855C6422}" name="Ano" dataDxfId="75"/>
    <tableColumn id="3" xr3:uid="{49B71AA5-68B6-4773-887C-B9F4854BB2A1}" name="Matutino" dataDxfId="74"/>
    <tableColumn id="4" xr3:uid="{F4FBA5BB-205B-45F2-BB18-107301E5655B}" name="Noturno" dataDxfId="73"/>
    <tableColumn id="5" xr3:uid="{9722B678-2AF1-4414-8EBB-C86AD80E0D3B}" name="Pós" dataDxfId="72"/>
    <tableColumn id="6" xr3:uid="{152FB692-DA79-48EA-834D-C2EDBBBD3F19}" name="TOTAL" dataDxfId="71">
      <calculatedColumnFormula>SUM(I10:K10)</calculatedColumnFormula>
    </tableColumn>
    <tableColumn id="7" xr3:uid="{6D070797-82F2-45E1-81EC-ACF5FE90EF90}" name="% ref 2015" dataDxfId="70"/>
    <tableColumn id="8" xr3:uid="{A958FB25-55FF-43C9-9B98-F72DC980FB66}" name="Obs" dataDxfId="6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688223-6800-4F23-8BA1-E15E919677B3}" name="Dados_SA" displayName="Dados_SA" ref="A1:AT129" totalsRowShown="0" headerRowDxfId="63" headerRowBorderDxfId="62" tableBorderDxfId="61">
  <autoFilter ref="A1:AT129" xr:uid="{F1815A93-039A-4C8E-9205-79C4D112A4B9}"/>
  <tableColumns count="46">
    <tableColumn id="43" xr3:uid="{6531AB86-10A6-427E-80DF-73B8454C593D}" name="UC" dataDxfId="60"/>
    <tableColumn id="1" xr3:uid="{FB665A97-3C27-40C3-AEF7-430AEA66F386}" name="DATA" dataDxfId="59"/>
    <tableColumn id="2" xr3:uid="{B4CFFE29-901D-4CBA-A5F0-47478585B8B7}" name="ANO" dataDxfId="58"/>
    <tableColumn id="3" xr3:uid="{26532DA0-544A-490B-9748-42D11DC63D0A}" name="MÊS" dataDxfId="57"/>
    <tableColumn id="4" xr3:uid="{78F74564-D05C-4C2C-AD91-17E9ADA4A743}" name="PERIODO" dataDxfId="56"/>
    <tableColumn id="5" xr3:uid="{982C6DB6-E51C-49F4-8ED1-949FFADD6C36}" name="PIS/PASEP" dataDxfId="55"/>
    <tableColumn id="6" xr3:uid="{94BE89C1-3603-45D8-BBB1-69EC04D8E19C}" name="COFINS" dataDxfId="54"/>
    <tableColumn id="7" xr3:uid="{2FFB54E7-63A6-48E5-852B-ECE2A8E9F0E8}" name="ICMS" dataDxfId="53"/>
    <tableColumn id="8" xr3:uid="{FC9E723A-65BE-4D61-BDF9-341A60889FDD}" name="DEMANDA_CONTRATADA_P" dataDxfId="52"/>
    <tableColumn id="9" xr3:uid="{CB53A98B-628B-4C3F-AA4D-BDEAA2B57886}" name="DEMANDA_CONTRATADA_FP" dataDxfId="51"/>
    <tableColumn id="10" xr3:uid="{A4CB0909-301C-4DC1-B951-71747435AE08}" name="DEMANDA_REGISTRADA_P" dataDxfId="50"/>
    <tableColumn id="11" xr3:uid="{C136396E-2FEC-4000-AED6-B7AB95F5FA06}" name="DEMANDA_REGISTRADA_FP" dataDxfId="49"/>
    <tableColumn id="12" xr3:uid="{5279671B-FA62-45DB-9333-9588300B6159}" name="DEMANDA_ISENTA_P" dataDxfId="48"/>
    <tableColumn id="13" xr3:uid="{54B6FAE9-B514-4106-8A52-4D0C347205F0}" name="DEMANDA_ISENTA_FP" dataDxfId="47"/>
    <tableColumn id="14" xr3:uid="{EE8BD02C-C626-4AA1-910C-C005A717B12B}" name="TAR_TUSD_KW_P" dataDxfId="46"/>
    <tableColumn id="15" xr3:uid="{C7569995-8164-4C01-96D5-3456FA3548BB}" name="TAR_TUSD_KW_FP" dataDxfId="45"/>
    <tableColumn id="16" xr3:uid="{E27286B1-0E8B-4452-BDF0-A15356E943DE}" name="ENERGIA_PONTA" dataDxfId="44"/>
    <tableColumn id="17" xr3:uid="{89E6EFDE-EF86-4510-A72A-AF0A42A7DA71}" name="ENERGIA_FPONTA" dataDxfId="43"/>
    <tableColumn id="18" xr3:uid="{20E0E370-8930-43B2-8A99-CE98706F44E6}" name="TAR_TUSD_KWH_P" dataDxfId="42"/>
    <tableColumn id="19" xr3:uid="{7EF4CDB5-2623-46FE-919F-E138815EBB66}" name="TAR_TUSD_KWH_FP" dataDxfId="41"/>
    <tableColumn id="20" xr3:uid="{9ADC663D-C66D-4E97-A902-FC025B0817CD}" name="TAR_TE_KWH_P" dataDxfId="40"/>
    <tableColumn id="21" xr3:uid="{C92AD33E-5585-485B-A0C5-C4CA77E4BBA2}" name="TAR_TE_KWH_FP" dataDxfId="39"/>
    <tableColumn id="22" xr3:uid="{0A4525DF-3924-4FD4-9DA9-71947EB60065}" name="REAT_KVAR_PONTA" dataDxfId="38"/>
    <tableColumn id="23" xr3:uid="{85CF0526-F48E-47F4-9C34-73B8D4B5DDEA}" name="REAT_KVAR_FPONTA" dataDxfId="37"/>
    <tableColumn id="24" xr3:uid="{74502C58-619E-4073-81EE-32EFAF0AA338}" name="TAR_REAT_PONTA" dataDxfId="36"/>
    <tableColumn id="25" xr3:uid="{63D486CD-626E-4301-A430-26671136D664}" name="TAR_REAT_FPONTA" dataDxfId="35"/>
    <tableColumn id="26" xr3:uid="{762FBB19-1A76-4AA6-B0E0-1FD0B44C2A56}" name="Valor da Fatura" dataDxfId="34"/>
    <tableColumn id="27" xr3:uid="{284DA9BC-0E04-4A58-8863-68E7454F01CD}" name="Consumo Total" dataDxfId="33"/>
    <tableColumn id="28" xr3:uid="{8F806CC3-89AF-49E0-BCB1-A6E3C51F1E63}" name="Acrescimo_Bamar" dataDxfId="32"/>
    <tableColumn id="29" xr3:uid="{4764CB9D-6E65-41C7-8DCC-EA486021B858}" name="Acrescimo_Bverm1" dataDxfId="31"/>
    <tableColumn id="30" xr3:uid="{79837254-F4E6-4B10-919F-18F2F7642D92}" name="Acrescimo_Bverm2" dataDxfId="30"/>
    <tableColumn id="31" xr3:uid="{05506080-0F0E-41B7-A700-B6842ACA2B66}" name="Categoria Tarifa" dataDxfId="29"/>
    <tableColumn id="32" xr3:uid="{CD5E452B-47B8-4EE7-A09D-10470283F39F}" name="% Demanda contratada P" dataDxfId="28">
      <calculatedColumnFormula>IFERROR(IF(Dados_SA[[#This Row],[DEMANDA_REGISTRADA_P]]/Dados_SA[[#This Row],[DEMANDA_CONTRATADA_P]]=0,"",Dados_SA[[#This Row],[DEMANDA_REGISTRADA_P]]/Dados_SA[[#This Row],[DEMANDA_CONTRATADA_P]]),"")</calculatedColumnFormula>
    </tableColumn>
    <tableColumn id="33" xr3:uid="{D5F42B27-A85E-416E-9727-AFF8A215E290}" name="% Demanda contratada FP" dataDxfId="27">
      <calculatedColumnFormula>IFERROR(IF(Dados_SA[[#This Row],[DEMANDA_REGISTRADA_FP]]/Dados_SA[[#This Row],[DEMANDA_CONTRATADA_FP]]=0,"",Dados_SA[[#This Row],[DEMANDA_REGISTRADA_FP]]/Dados_SA[[#This Row],[DEMANDA_CONTRATADA_FP]]),"")</calculatedColumnFormula>
    </tableColumn>
    <tableColumn id="34" xr3:uid="{E4EF102B-355D-4532-85A2-8830CCE89B29}" name="Acima 5%_P" dataDxfId="26">
      <calculatedColumnFormula>IF(Dados_SA[[#This Row],[% Demanda contratada P]]&gt;105%,1,0)</calculatedColumnFormula>
    </tableColumn>
    <tableColumn id="35" xr3:uid="{C1045E9E-BE9E-48A0-AF4A-F69A05384852}" name="Acima 5%_FP" dataDxfId="25">
      <calculatedColumnFormula>IF(Dados_SA[[#This Row],[% Demanda contratada FP]]&gt;105%,1,0)</calculatedColumnFormula>
    </tableColumn>
    <tableColumn id="40" xr3:uid="{36C3E078-0237-44D8-B158-40C5E0644E06}" name="%Acresc_amar" dataDxfId="24">
      <calculatedColumnFormula>Dados_SA[[#This Row],[Acrescimo_Bamar]]/Dados_SA[[#This Row],[Valor da Fatura]]</calculatedColumnFormula>
    </tableColumn>
    <tableColumn id="41" xr3:uid="{B50B23D5-1D3D-4D7C-AB5D-127D35F14183}" name="%Acresc_verm1" dataDxfId="23">
      <calculatedColumnFormula>Dados_SA[[#This Row],[Acrescimo_Bverm1]]/Dados_SA[[#This Row],[Valor da Fatura]]</calculatedColumnFormula>
    </tableColumn>
    <tableColumn id="42" xr3:uid="{C6EE90B7-4E7C-4B8C-B245-9CEABC2BA54D}" name="%Acresc_verm2" dataDxfId="22">
      <calculatedColumnFormula>Dados_SA[[#This Row],[Acrescimo_Bverm2]]/Dados_SA[[#This Row],[Valor da Fatura]]</calculatedColumnFormula>
    </tableColumn>
    <tableColumn id="36" xr3:uid="{650A0E09-73D8-4C1F-951D-0FCB9E40EB8E}" name="Ref" dataDxfId="21"/>
    <tableColumn id="37" xr3:uid="{5D2E10DD-25AD-4F3B-A983-089D19FBB678}" name="Ref2" dataDxfId="20"/>
    <tableColumn id="38" xr3:uid="{2F4C65F3-62B5-4C45-8F70-D71B8FA0853C}" name="Exced" dataDxfId="19">
      <calculatedColumnFormula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calculatedColumnFormula>
    </tableColumn>
    <tableColumn id="39" xr3:uid="{DBEF86CB-175D-4F81-966F-25A0390C098F}" name="Contagem Exced" dataDxfId="18">
      <calculatedColumnFormula>IF(Dados_SA[[#This Row],[Exced]]&lt;&gt;"",1,0)</calculatedColumnFormula>
    </tableColumn>
    <tableColumn id="46" xr3:uid="{CFC162AC-E703-4CDB-9FFD-7445F62F3F01}" name="Média 2015 demanda P" dataDxfId="17">
      <calculatedColumnFormula>AVERAGEIFS(Dados_SA[DEMANDA_REGISTRADA_P],Dados_SA[ANO],2015,Dados_SA[UC],"SA")</calculatedColumnFormula>
    </tableColumn>
    <tableColumn id="47" xr3:uid="{7034F6B2-096D-4A38-AC22-DCE2D6E8B3B0}" name="Média 2015 FP" dataDxfId="16">
      <calculatedColumnFormula>AVERAGEIFS(Dados_SA[DEMANDA_REGISTRADA_FP],Dados_SA[ANO],2015,Dados_SA[UC],"SA")</calculatedColumnFormula>
    </tableColumn>
    <tableColumn id="45" xr3:uid="{360D3DEF-F089-45EE-87F9-0B5D3559B2F4}" name="Média 2015 consumo" dataDxfId="1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93A4A9-BFA4-4063-B2B7-78058EAEAF65}" name="Tabela1" displayName="Tabela1" ref="A13:G76" totalsRowShown="0" headerRowDxfId="8" dataDxfId="7">
  <autoFilter ref="A13:G76" xr:uid="{65C75279-F92E-464E-80A3-459C61E25F93}"/>
  <tableColumns count="7">
    <tableColumn id="1" xr3:uid="{ED3897DB-4672-4159-89A7-CB076DEFA73F}" name="Data Medicao" dataDxfId="6"/>
    <tableColumn id="6" xr3:uid="{3D65B2F9-1DF7-4962-8D49-9DB80A2DCF9E}" name="MÊS" dataDxfId="5">
      <calculatedColumnFormula>MONTH(Tabela1[[#This Row],[Data Medicao]])</calculatedColumnFormula>
    </tableColumn>
    <tableColumn id="7" xr3:uid="{D1BDF468-738B-4EA8-B4E8-833BD6F4045C}" name="ANO" dataDxfId="4">
      <calculatedColumnFormula>YEAR(Tabela1[[#This Row],[Data Medicao]])</calculatedColumnFormula>
    </tableColumn>
    <tableColumn id="2" xr3:uid="{9BD08FC2-7EAD-45E9-8574-39918920BF5A}" name="PRECIPITACAO TOTAL, MENSAL(mm)" dataDxfId="3"/>
    <tableColumn id="3" xr3:uid="{5762CF35-A9B5-4301-AA73-15DBB738BE51}" name="TEMPERATURA MAXIMA MEDIA, MENSAL(Â°C)" dataDxfId="2"/>
    <tableColumn id="4" xr3:uid="{7C6B632A-10F1-4468-A588-8F93095BEF94}" name="TEMPERATURA MEDIA COMPENSADA, MENSAL(Â°C)" dataDxfId="1"/>
    <tableColumn id="5" xr3:uid="{D1D47780-B427-470A-8A54-4475F23F25A2}" name="TEMPERATURA MINIMA MEDIA, MENSAL(Â°C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g1.globo.com/sp/sao-paulo/noticia/2019/08/26/ufabc-recebe-5percent-de-verba-para-investimentos-e-suspende-construcao-de-predio.ghtml" TargetMode="Externa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Relationship Id="rId9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intufabc.org.br/paridade-ufabc" TargetMode="External"/><Relationship Id="rId1" Type="http://schemas.openxmlformats.org/officeDocument/2006/relationships/pivotTable" Target="../pivotTables/pivotTable13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5" Type="http://schemas.openxmlformats.org/officeDocument/2006/relationships/table" Target="../tables/table4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B8C6-1D29-43C8-A36F-637CA5CF598B}">
  <dimension ref="A1:AH78"/>
  <sheetViews>
    <sheetView zoomScale="80" zoomScaleNormal="80" workbookViewId="0">
      <selection activeCell="O19" sqref="O19:R25"/>
    </sheetView>
  </sheetViews>
  <sheetFormatPr baseColWidth="10" defaultColWidth="9" defaultRowHeight="14" x14ac:dyDescent="0.15"/>
  <cols>
    <col min="1" max="1" width="10.6640625" style="23" bestFit="1" customWidth="1"/>
    <col min="2" max="2" width="7" style="23" hidden="1" customWidth="1"/>
    <col min="3" max="6" width="7.1640625" style="23" bestFit="1" customWidth="1"/>
    <col min="7" max="7" width="7.1640625" style="23" hidden="1" customWidth="1"/>
    <col min="8" max="8" width="20.33203125" style="23" customWidth="1"/>
    <col min="9" max="9" width="5.1640625" style="23" customWidth="1"/>
    <col min="10" max="10" width="10.6640625" style="23" bestFit="1" customWidth="1"/>
    <col min="11" max="11" width="20.5" style="23" bestFit="1" customWidth="1"/>
    <col min="12" max="12" width="21.33203125" style="23" bestFit="1" customWidth="1"/>
    <col min="13" max="13" width="9" style="23"/>
    <col min="14" max="14" width="8.33203125" style="23" customWidth="1"/>
    <col min="15" max="15" width="10.6640625" style="23" bestFit="1" customWidth="1"/>
    <col min="16" max="16" width="14.5" style="23" bestFit="1" customWidth="1"/>
    <col min="17" max="20" width="7.1640625" style="23" bestFit="1" customWidth="1"/>
    <col min="21" max="21" width="10.6640625" style="23" bestFit="1" customWidth="1"/>
    <col min="22" max="22" width="5.33203125" style="23" customWidth="1"/>
    <col min="23" max="23" width="9" style="23"/>
    <col min="24" max="24" width="18.33203125" style="23" hidden="1" customWidth="1"/>
    <col min="25" max="25" width="14.6640625" style="23" hidden="1" customWidth="1"/>
    <col min="26" max="26" width="15.6640625" style="23" hidden="1" customWidth="1"/>
    <col min="27" max="27" width="35.5" style="23" bestFit="1" customWidth="1"/>
    <col min="28" max="28" width="19.6640625" style="23" bestFit="1" customWidth="1"/>
    <col min="29" max="32" width="7.1640625" style="23" bestFit="1" customWidth="1"/>
    <col min="33" max="34" width="10.6640625" style="23" bestFit="1" customWidth="1"/>
    <col min="35" max="35" width="6.1640625" style="23" bestFit="1" customWidth="1"/>
    <col min="36" max="36" width="10.6640625" style="23" bestFit="1" customWidth="1"/>
    <col min="37" max="37" width="24.83203125" style="23" bestFit="1" customWidth="1"/>
    <col min="38" max="16384" width="9" style="23"/>
  </cols>
  <sheetData>
    <row r="1" spans="1:26" x14ac:dyDescent="0.15">
      <c r="A1" s="86" t="s">
        <v>147</v>
      </c>
      <c r="B1" s="87"/>
      <c r="C1" s="87"/>
      <c r="D1" s="87"/>
      <c r="E1" s="87"/>
      <c r="F1" s="87"/>
      <c r="G1" s="87"/>
      <c r="H1" s="87"/>
      <c r="O1" s="86" t="s">
        <v>73</v>
      </c>
      <c r="P1" s="87"/>
      <c r="Q1" s="87"/>
      <c r="X1" s="25" t="s">
        <v>0</v>
      </c>
      <c r="Y1" t="s">
        <v>182</v>
      </c>
      <c r="Z1"/>
    </row>
    <row r="2" spans="1:26" s="43" customFormat="1" x14ac:dyDescent="0.15">
      <c r="A2" s="23" t="s">
        <v>172</v>
      </c>
      <c r="B2" s="23" t="s">
        <v>72</v>
      </c>
      <c r="C2" s="23"/>
      <c r="D2" s="23"/>
      <c r="E2" s="23"/>
      <c r="F2" s="23"/>
      <c r="G2" s="23"/>
      <c r="H2" s="72" t="s">
        <v>173</v>
      </c>
      <c r="N2" s="23"/>
      <c r="O2" s="25" t="s">
        <v>0</v>
      </c>
      <c r="P2" s="54" t="s">
        <v>178</v>
      </c>
      <c r="X2"/>
      <c r="Y2"/>
      <c r="Z2"/>
    </row>
    <row r="3" spans="1:26" x14ac:dyDescent="0.15">
      <c r="A3" s="67" t="s">
        <v>0</v>
      </c>
      <c r="B3" s="68">
        <v>2015</v>
      </c>
      <c r="C3" s="68">
        <v>2016</v>
      </c>
      <c r="D3" s="68">
        <v>2017</v>
      </c>
      <c r="E3" s="68">
        <v>2018</v>
      </c>
      <c r="F3" s="68">
        <v>2019</v>
      </c>
      <c r="H3" s="81" t="s">
        <v>148</v>
      </c>
      <c r="O3" s="26" t="s">
        <v>66</v>
      </c>
      <c r="P3" s="32">
        <v>17</v>
      </c>
      <c r="X3" s="25" t="s">
        <v>57</v>
      </c>
      <c r="Y3" t="s">
        <v>152</v>
      </c>
      <c r="Z3" t="s">
        <v>153</v>
      </c>
    </row>
    <row r="4" spans="1:26" x14ac:dyDescent="0.15">
      <c r="A4" s="77" t="s">
        <v>66</v>
      </c>
      <c r="B4" s="78"/>
      <c r="C4" s="78">
        <v>-7.879917154170156E-2</v>
      </c>
      <c r="D4" s="78">
        <v>1.6765284823032633E-2</v>
      </c>
      <c r="E4" s="78">
        <v>7.9647469148774408E-2</v>
      </c>
      <c r="F4" s="78">
        <v>6.2924622255742274E-2</v>
      </c>
      <c r="G4" s="79"/>
      <c r="H4" s="80"/>
      <c r="O4" s="27">
        <v>2015</v>
      </c>
      <c r="P4" s="32">
        <v>3</v>
      </c>
      <c r="X4" s="26">
        <v>2015</v>
      </c>
      <c r="Y4" s="24">
        <v>14168</v>
      </c>
      <c r="Z4" s="24">
        <v>1</v>
      </c>
    </row>
    <row r="5" spans="1:26" x14ac:dyDescent="0.15">
      <c r="A5" s="71">
        <v>1</v>
      </c>
      <c r="B5" s="56"/>
      <c r="C5" s="56">
        <v>-0.11028758556832677</v>
      </c>
      <c r="D5" s="56">
        <v>-2.9991794248720498E-2</v>
      </c>
      <c r="E5" s="56">
        <v>0.10803829005182708</v>
      </c>
      <c r="F5" s="56">
        <v>8.1651866738253615E-2</v>
      </c>
      <c r="H5" s="75">
        <f>AVERAGEIF(C5:F5,"&gt;-1",C5:F5)</f>
        <v>1.2352694243258355E-2</v>
      </c>
      <c r="O5" s="27">
        <v>2016</v>
      </c>
      <c r="P5" s="32">
        <v>4</v>
      </c>
      <c r="X5" s="26">
        <v>2016</v>
      </c>
      <c r="Y5" s="24">
        <v>14054</v>
      </c>
      <c r="Z5" s="24">
        <v>1.0088678000802913</v>
      </c>
    </row>
    <row r="6" spans="1:26" x14ac:dyDescent="0.15">
      <c r="A6" s="71">
        <v>2</v>
      </c>
      <c r="B6" s="56"/>
      <c r="C6" s="56">
        <v>-0.12162179774096291</v>
      </c>
      <c r="D6" s="56">
        <v>-7.9038247080305352E-2</v>
      </c>
      <c r="E6" s="56">
        <v>3.225820256248816E-2</v>
      </c>
      <c r="F6" s="56">
        <v>0.21192784168728093</v>
      </c>
      <c r="H6" s="73">
        <f t="shared" ref="H6:H16" si="0">AVERAGEIF(C6:F6,"&gt;-1",C6:F6)</f>
        <v>1.0881499857125207E-2</v>
      </c>
      <c r="O6" s="27">
        <v>2017</v>
      </c>
      <c r="P6" s="32">
        <v>3</v>
      </c>
      <c r="X6" s="26">
        <v>2017</v>
      </c>
      <c r="Y6" s="24">
        <v>15346</v>
      </c>
      <c r="Z6" s="24">
        <v>1.1079740849296846</v>
      </c>
    </row>
    <row r="7" spans="1:26" x14ac:dyDescent="0.15">
      <c r="A7" s="71">
        <v>3</v>
      </c>
      <c r="B7" s="56"/>
      <c r="C7" s="56">
        <v>-3.1393667226267394E-2</v>
      </c>
      <c r="D7" s="56">
        <v>0.12589567569245411</v>
      </c>
      <c r="E7" s="56">
        <v>2.9099479380731087E-3</v>
      </c>
      <c r="F7" s="56">
        <v>0.10575908652841057</v>
      </c>
      <c r="H7" s="73">
        <f t="shared" si="0"/>
        <v>5.0792760733167602E-2</v>
      </c>
      <c r="O7" s="27">
        <v>2018</v>
      </c>
      <c r="P7" s="32">
        <v>2</v>
      </c>
      <c r="X7" s="26">
        <v>2018</v>
      </c>
      <c r="Y7" s="24">
        <v>15955</v>
      </c>
      <c r="Z7" s="24">
        <v>1.1684735162457967</v>
      </c>
    </row>
    <row r="8" spans="1:26" x14ac:dyDescent="0.15">
      <c r="A8" s="71">
        <v>4</v>
      </c>
      <c r="B8" s="56"/>
      <c r="C8" s="56">
        <v>8.4293575209662505E-2</v>
      </c>
      <c r="D8" s="56">
        <v>0.15986377638522872</v>
      </c>
      <c r="E8" s="56">
        <v>0.37259390143979115</v>
      </c>
      <c r="F8" s="56">
        <v>0.20960127193807762</v>
      </c>
      <c r="H8" s="73">
        <f t="shared" si="0"/>
        <v>0.20658813124319</v>
      </c>
      <c r="O8" s="27">
        <v>2019</v>
      </c>
      <c r="P8" s="32">
        <v>4</v>
      </c>
      <c r="X8" s="26">
        <v>2019</v>
      </c>
      <c r="Y8" s="24">
        <v>17355</v>
      </c>
      <c r="Z8" s="24">
        <v>1.2769791489896869</v>
      </c>
    </row>
    <row r="9" spans="1:26" x14ac:dyDescent="0.15">
      <c r="A9" s="71">
        <v>5</v>
      </c>
      <c r="B9" s="56"/>
      <c r="C9" s="56">
        <v>3.2198302335857548E-2</v>
      </c>
      <c r="D9" s="56">
        <v>8.4609713258134128E-2</v>
      </c>
      <c r="E9" s="56">
        <v>0.2024361304023348</v>
      </c>
      <c r="F9" s="56">
        <v>0.23052669108937618</v>
      </c>
      <c r="H9" s="73">
        <f t="shared" si="0"/>
        <v>0.13744270927142566</v>
      </c>
      <c r="O9" s="27">
        <v>2020</v>
      </c>
      <c r="P9" s="32">
        <v>1</v>
      </c>
      <c r="X9" s="26">
        <v>2020</v>
      </c>
      <c r="Y9" s="24">
        <v>18842</v>
      </c>
      <c r="Z9" s="24">
        <v>1.3903807573408549</v>
      </c>
    </row>
    <row r="10" spans="1:26" x14ac:dyDescent="0.15">
      <c r="A10" s="71">
        <v>6</v>
      </c>
      <c r="B10" s="56"/>
      <c r="C10" s="56">
        <v>-0.1052317069331038</v>
      </c>
      <c r="D10" s="56">
        <v>0.10343421370248318</v>
      </c>
      <c r="E10" s="56">
        <v>0.15574798143056057</v>
      </c>
      <c r="F10" s="56">
        <v>7.3547250967304148E-2</v>
      </c>
      <c r="H10" s="73">
        <f t="shared" si="0"/>
        <v>5.6874434791811021E-2</v>
      </c>
      <c r="O10" s="26" t="s">
        <v>67</v>
      </c>
      <c r="P10" s="32">
        <v>14</v>
      </c>
      <c r="X10" s="26" t="s">
        <v>58</v>
      </c>
      <c r="Y10" s="24">
        <v>95720</v>
      </c>
      <c r="Z10" s="24">
        <v>1.1587792179310525</v>
      </c>
    </row>
    <row r="11" spans="1:26" x14ac:dyDescent="0.15">
      <c r="A11" s="71">
        <v>7</v>
      </c>
      <c r="B11" s="56"/>
      <c r="C11" s="56">
        <v>7.1382340970336355E-2</v>
      </c>
      <c r="D11" s="56">
        <v>-0.12302160718705669</v>
      </c>
      <c r="E11" s="56">
        <v>7.3127542714110899E-2</v>
      </c>
      <c r="F11" s="56">
        <v>5.708578380960017E-4</v>
      </c>
      <c r="H11" s="73">
        <f t="shared" si="0"/>
        <v>5.5147835838716408E-3</v>
      </c>
      <c r="O11" s="27">
        <v>2015</v>
      </c>
      <c r="P11" s="32">
        <v>6</v>
      </c>
      <c r="X11"/>
      <c r="Y11"/>
      <c r="Z11"/>
    </row>
    <row r="12" spans="1:26" x14ac:dyDescent="0.15">
      <c r="A12" s="71">
        <v>8</v>
      </c>
      <c r="B12" s="56"/>
      <c r="C12" s="56">
        <v>-0.14815647123327766</v>
      </c>
      <c r="D12" s="56">
        <v>-0.2087043213414756</v>
      </c>
      <c r="E12" s="56">
        <v>-1.6550919575520132E-2</v>
      </c>
      <c r="F12" s="56">
        <v>-8.3515933173711782E-2</v>
      </c>
      <c r="H12" s="73">
        <f t="shared" si="0"/>
        <v>-0.11423191133099628</v>
      </c>
      <c r="O12" s="27">
        <v>2016</v>
      </c>
      <c r="P12" s="32">
        <v>6</v>
      </c>
      <c r="X12"/>
      <c r="Y12"/>
      <c r="Z12"/>
    </row>
    <row r="13" spans="1:26" x14ac:dyDescent="0.15">
      <c r="A13" s="71">
        <v>9</v>
      </c>
      <c r="B13" s="56"/>
      <c r="C13" s="56">
        <v>0.1717787836794584</v>
      </c>
      <c r="D13" s="56">
        <v>0.27272533289857914</v>
      </c>
      <c r="E13" s="56">
        <v>0.19300900995938572</v>
      </c>
      <c r="F13" s="56">
        <v>7.4460673133634095E-2</v>
      </c>
      <c r="H13" s="73">
        <f t="shared" si="0"/>
        <v>0.17799344991776436</v>
      </c>
      <c r="O13" s="27">
        <v>2017</v>
      </c>
      <c r="P13" s="32">
        <v>1</v>
      </c>
      <c r="X13"/>
      <c r="Y13"/>
      <c r="Z13"/>
    </row>
    <row r="14" spans="1:26" x14ac:dyDescent="0.15">
      <c r="A14" s="71">
        <v>10</v>
      </c>
      <c r="B14" s="56"/>
      <c r="C14" s="56">
        <v>-0.36705726232180008</v>
      </c>
      <c r="D14" s="56">
        <v>-0.14195461036143606</v>
      </c>
      <c r="E14" s="56">
        <v>4.8795537368868963E-2</v>
      </c>
      <c r="F14" s="56">
        <v>-0.15321174294352852</v>
      </c>
      <c r="H14" s="73">
        <f t="shared" si="0"/>
        <v>-0.1533570195644739</v>
      </c>
      <c r="O14" s="27">
        <v>2018</v>
      </c>
      <c r="P14" s="32">
        <v>0</v>
      </c>
      <c r="X14"/>
      <c r="Y14"/>
      <c r="Z14"/>
    </row>
    <row r="15" spans="1:26" x14ac:dyDescent="0.15">
      <c r="A15" s="71">
        <v>11</v>
      </c>
      <c r="B15" s="56"/>
      <c r="C15" s="56">
        <v>-0.14373698485946029</v>
      </c>
      <c r="D15" s="56">
        <v>-1.8082138544104079E-2</v>
      </c>
      <c r="E15" s="56">
        <v>1.9423694013496851E-2</v>
      </c>
      <c r="F15" s="56">
        <v>7.7402229484499555E-2</v>
      </c>
      <c r="H15" s="73">
        <f t="shared" si="0"/>
        <v>-1.6248299976391985E-2</v>
      </c>
      <c r="O15" s="27">
        <v>2019</v>
      </c>
      <c r="P15" s="32">
        <v>1</v>
      </c>
      <c r="X15"/>
      <c r="Y15"/>
      <c r="Z15"/>
    </row>
    <row r="16" spans="1:26" x14ac:dyDescent="0.15">
      <c r="A16" s="71">
        <v>12</v>
      </c>
      <c r="B16" s="56"/>
      <c r="C16" s="56">
        <v>-0.18975671199182756</v>
      </c>
      <c r="D16" s="56">
        <v>9.5778998590745401E-2</v>
      </c>
      <c r="E16" s="56">
        <v>-0.17175576166917775</v>
      </c>
      <c r="F16" s="56">
        <v>-5.1302636288800586E-2</v>
      </c>
      <c r="H16" s="76">
        <f t="shared" si="0"/>
        <v>-7.9259027839765128E-2</v>
      </c>
      <c r="O16" s="27">
        <v>2020</v>
      </c>
      <c r="P16" s="32">
        <v>0</v>
      </c>
      <c r="X16"/>
      <c r="Y16"/>
      <c r="Z16"/>
    </row>
    <row r="17" spans="1:26" x14ac:dyDescent="0.15">
      <c r="A17" s="77" t="s">
        <v>67</v>
      </c>
      <c r="B17" s="78"/>
      <c r="C17" s="78">
        <v>0.16079824665372927</v>
      </c>
      <c r="D17" s="78">
        <v>9.3928913188383811E-2</v>
      </c>
      <c r="E17" s="78">
        <v>2.1884512980613106E-2</v>
      </c>
      <c r="F17" s="78">
        <v>0.11513054499486976</v>
      </c>
      <c r="G17" s="79"/>
      <c r="H17" s="80"/>
      <c r="O17" s="26" t="s">
        <v>58</v>
      </c>
      <c r="P17" s="32">
        <v>31</v>
      </c>
      <c r="X17"/>
      <c r="Y17"/>
      <c r="Z17"/>
    </row>
    <row r="18" spans="1:26" x14ac:dyDescent="0.15">
      <c r="A18" s="71">
        <v>1</v>
      </c>
      <c r="B18" s="56"/>
      <c r="C18" s="56">
        <v>0.11308347539061218</v>
      </c>
      <c r="D18" s="56">
        <v>0.13870807500624319</v>
      </c>
      <c r="E18" s="56">
        <v>9.0100055375192892E-3</v>
      </c>
      <c r="F18" s="56">
        <v>0.23470938880986736</v>
      </c>
      <c r="H18" s="75">
        <f>AVERAGEIF(C18:F18,"&gt;-1",C18:F18)</f>
        <v>0.1238777361860605</v>
      </c>
      <c r="J18" s="84"/>
      <c r="K18" s="85"/>
      <c r="L18" s="85"/>
      <c r="X18"/>
      <c r="Y18"/>
      <c r="Z18"/>
    </row>
    <row r="19" spans="1:26" ht="15" x14ac:dyDescent="0.15">
      <c r="A19" s="71">
        <v>2</v>
      </c>
      <c r="B19" s="56"/>
      <c r="C19" s="56">
        <v>0.24822031490823585</v>
      </c>
      <c r="D19" s="56">
        <v>0.35298734963232475</v>
      </c>
      <c r="E19" s="56">
        <v>0.2100434737008075</v>
      </c>
      <c r="F19" s="56">
        <v>0.33540109507328175</v>
      </c>
      <c r="H19" s="73">
        <f t="shared" ref="H19:H29" si="1">AVERAGEIF(C19:F19,"&gt;-1",C19:F19)</f>
        <v>0.28666305832866246</v>
      </c>
      <c r="O19" s="62" t="s">
        <v>105</v>
      </c>
      <c r="P19" s="88" t="s">
        <v>78</v>
      </c>
      <c r="Q19" s="88"/>
      <c r="R19" s="62" t="s">
        <v>161</v>
      </c>
    </row>
    <row r="20" spans="1:26" x14ac:dyDescent="0.15">
      <c r="A20" s="71">
        <v>3</v>
      </c>
      <c r="B20" s="56"/>
      <c r="C20" s="56">
        <v>0.13464544172058265</v>
      </c>
      <c r="D20" s="56">
        <v>0.2627101581569436</v>
      </c>
      <c r="E20" s="56">
        <v>-2.5009800751438636E-2</v>
      </c>
      <c r="F20" s="56">
        <v>0.12435594039998508</v>
      </c>
      <c r="H20" s="73">
        <f t="shared" si="1"/>
        <v>0.12417543488151817</v>
      </c>
      <c r="O20" s="45">
        <v>2015</v>
      </c>
      <c r="P20" s="86" t="s">
        <v>157</v>
      </c>
      <c r="Q20" s="87"/>
      <c r="R20" s="46" t="s">
        <v>159</v>
      </c>
    </row>
    <row r="21" spans="1:26" x14ac:dyDescent="0.15">
      <c r="A21" s="71">
        <v>4</v>
      </c>
      <c r="B21" s="56"/>
      <c r="C21" s="56">
        <v>0.4347795378101531</v>
      </c>
      <c r="D21" s="56">
        <v>0.24789998740106967</v>
      </c>
      <c r="E21" s="56">
        <v>0.26863209978352737</v>
      </c>
      <c r="F21" s="56">
        <v>0.27798330578112723</v>
      </c>
      <c r="H21" s="73">
        <f t="shared" si="1"/>
        <v>0.30732373269396934</v>
      </c>
      <c r="O21" s="45">
        <v>2016</v>
      </c>
      <c r="P21" s="86" t="s">
        <v>115</v>
      </c>
      <c r="Q21" s="87"/>
    </row>
    <row r="22" spans="1:26" x14ac:dyDescent="0.15">
      <c r="A22" s="71">
        <v>5</v>
      </c>
      <c r="B22" s="56"/>
      <c r="C22" s="56">
        <v>0.3139611445293447</v>
      </c>
      <c r="D22" s="56">
        <v>4.7974313119817938E-2</v>
      </c>
      <c r="E22" s="56">
        <v>0.19908551455047951</v>
      </c>
      <c r="F22" s="56">
        <v>0.25864154879965323</v>
      </c>
      <c r="H22" s="73">
        <f t="shared" si="1"/>
        <v>0.20491563024982384</v>
      </c>
      <c r="O22" s="45">
        <v>2017</v>
      </c>
      <c r="P22" s="86" t="s">
        <v>115</v>
      </c>
      <c r="Q22" s="87"/>
    </row>
    <row r="23" spans="1:26" x14ac:dyDescent="0.15">
      <c r="A23" s="71">
        <v>6</v>
      </c>
      <c r="B23" s="56"/>
      <c r="C23" s="56">
        <v>0.22413229435241377</v>
      </c>
      <c r="D23" s="56">
        <v>0.12459440330819875</v>
      </c>
      <c r="E23" s="56">
        <v>-3.64898760965549E-2</v>
      </c>
      <c r="F23" s="56">
        <v>-1.4899356015712042E-2</v>
      </c>
      <c r="H23" s="73">
        <f t="shared" si="1"/>
        <v>7.4334366387086404E-2</v>
      </c>
      <c r="O23" s="45">
        <v>2018</v>
      </c>
      <c r="P23" s="86" t="s">
        <v>158</v>
      </c>
      <c r="Q23" s="87"/>
      <c r="R23" s="46" t="s">
        <v>160</v>
      </c>
    </row>
    <row r="24" spans="1:26" x14ac:dyDescent="0.15">
      <c r="A24" s="71">
        <v>7</v>
      </c>
      <c r="B24" s="56"/>
      <c r="C24" s="56">
        <v>0.22702500113083421</v>
      </c>
      <c r="D24" s="56">
        <v>-1.4836545979722525E-2</v>
      </c>
      <c r="E24" s="56">
        <v>4.4373291632472354E-2</v>
      </c>
      <c r="F24" s="56">
        <v>5.1188668394150719E-2</v>
      </c>
      <c r="H24" s="73">
        <f t="shared" si="1"/>
        <v>7.6937603794433679E-2</v>
      </c>
      <c r="O24" s="45">
        <v>2019</v>
      </c>
      <c r="P24" s="86" t="s">
        <v>115</v>
      </c>
      <c r="Q24" s="87"/>
    </row>
    <row r="25" spans="1:26" x14ac:dyDescent="0.15">
      <c r="A25" s="71">
        <v>8</v>
      </c>
      <c r="B25" s="56"/>
      <c r="C25" s="56">
        <v>0.12297747927576745</v>
      </c>
      <c r="D25" s="56">
        <v>7.8344383648143404E-2</v>
      </c>
      <c r="E25" s="56">
        <v>-8.2678403222986752E-2</v>
      </c>
      <c r="F25" s="56">
        <v>-2.3000832361375113E-2</v>
      </c>
      <c r="H25" s="73">
        <f t="shared" si="1"/>
        <v>2.3910656834887248E-2</v>
      </c>
      <c r="O25" s="45">
        <v>2020</v>
      </c>
      <c r="P25" s="86" t="s">
        <v>115</v>
      </c>
      <c r="Q25" s="87"/>
    </row>
    <row r="26" spans="1:26" x14ac:dyDescent="0.15">
      <c r="A26" s="71">
        <v>9</v>
      </c>
      <c r="B26" s="56"/>
      <c r="C26" s="56">
        <v>0.27194534436494416</v>
      </c>
      <c r="D26" s="56">
        <v>8.8089746401503868E-2</v>
      </c>
      <c r="E26" s="56">
        <v>9.0803245895897701E-3</v>
      </c>
      <c r="F26" s="56">
        <v>6.4120132885671102E-2</v>
      </c>
      <c r="H26" s="73">
        <f t="shared" si="1"/>
        <v>0.10830888706042723</v>
      </c>
    </row>
    <row r="27" spans="1:26" x14ac:dyDescent="0.15">
      <c r="A27" s="71">
        <v>10</v>
      </c>
      <c r="B27" s="56"/>
      <c r="C27" s="56">
        <v>-1.7626301158329492E-2</v>
      </c>
      <c r="D27" s="56">
        <v>0.13967573127831601</v>
      </c>
      <c r="E27" s="56">
        <v>4.841246619782906E-2</v>
      </c>
      <c r="F27" s="56">
        <v>-2.728668211268857E-2</v>
      </c>
      <c r="H27" s="73">
        <f t="shared" si="1"/>
        <v>3.5793803551281748E-2</v>
      </c>
      <c r="O27" s="46" t="s">
        <v>168</v>
      </c>
      <c r="T27" s="23" t="s">
        <v>167</v>
      </c>
    </row>
    <row r="28" spans="1:26" x14ac:dyDescent="0.15">
      <c r="A28" s="71">
        <v>11</v>
      </c>
      <c r="B28" s="56"/>
      <c r="C28" s="56">
        <v>7.5138768189424887E-2</v>
      </c>
      <c r="D28" s="56">
        <v>-0.1713632763682221</v>
      </c>
      <c r="E28" s="56">
        <v>-0.11346586795409395</v>
      </c>
      <c r="F28" s="56">
        <v>0.21074466313235979</v>
      </c>
      <c r="H28" s="73">
        <f t="shared" si="1"/>
        <v>2.6357174986715859E-4</v>
      </c>
      <c r="O28" s="63" t="s">
        <v>162</v>
      </c>
    </row>
    <row r="29" spans="1:26" x14ac:dyDescent="0.15">
      <c r="A29" s="71">
        <v>12</v>
      </c>
      <c r="B29" s="56"/>
      <c r="C29" s="56">
        <v>-0.10319689905923554</v>
      </c>
      <c r="D29" s="56">
        <v>-9.1804767639400112E-2</v>
      </c>
      <c r="E29" s="56">
        <v>-0.18423318643229558</v>
      </c>
      <c r="F29" s="56">
        <v>-6.4817728489348969E-2</v>
      </c>
      <c r="H29" s="73">
        <f t="shared" si="1"/>
        <v>-0.11101314540507005</v>
      </c>
      <c r="O29" s="23" t="s">
        <v>163</v>
      </c>
    </row>
    <row r="30" spans="1:26" x14ac:dyDescent="0.15">
      <c r="A30" s="67" t="s">
        <v>58</v>
      </c>
      <c r="B30" s="70"/>
      <c r="C30" s="70">
        <v>-2.153041155339469E-2</v>
      </c>
      <c r="D30" s="70">
        <v>3.5208994884539789E-2</v>
      </c>
      <c r="E30" s="70">
        <v>6.5840922743039348E-2</v>
      </c>
      <c r="F30" s="70">
        <v>7.5402922238409442E-2</v>
      </c>
      <c r="H30" s="74"/>
      <c r="O30" s="23" t="s">
        <v>164</v>
      </c>
    </row>
    <row r="31" spans="1:26" x14ac:dyDescent="0.15">
      <c r="O31" s="23" t="s">
        <v>165</v>
      </c>
    </row>
    <row r="32" spans="1:26" x14ac:dyDescent="0.15">
      <c r="O32" s="23" t="s">
        <v>166</v>
      </c>
    </row>
    <row r="33" spans="10:15" x14ac:dyDescent="0.15">
      <c r="O33" s="23" t="s">
        <v>167</v>
      </c>
    </row>
    <row r="36" spans="10:15" x14ac:dyDescent="0.15">
      <c r="J36"/>
    </row>
    <row r="50" spans="15:34" x14ac:dyDescent="0.15">
      <c r="O50" s="25" t="s">
        <v>183</v>
      </c>
      <c r="P50" s="25" t="s">
        <v>181</v>
      </c>
      <c r="Q50"/>
      <c r="R50"/>
      <c r="S50"/>
      <c r="T50"/>
      <c r="U50"/>
      <c r="V50"/>
      <c r="AA50" s="25" t="s">
        <v>184</v>
      </c>
      <c r="AB50" s="25" t="s">
        <v>181</v>
      </c>
      <c r="AC50"/>
      <c r="AD50"/>
      <c r="AE50"/>
      <c r="AF50"/>
      <c r="AG50"/>
      <c r="AH50"/>
    </row>
    <row r="51" spans="15:34" x14ac:dyDescent="0.15">
      <c r="O51" s="25" t="s">
        <v>57</v>
      </c>
      <c r="P51">
        <v>2015</v>
      </c>
      <c r="Q51">
        <v>2016</v>
      </c>
      <c r="R51">
        <v>2017</v>
      </c>
      <c r="S51">
        <v>2018</v>
      </c>
      <c r="T51">
        <v>2019</v>
      </c>
      <c r="U51"/>
      <c r="V51"/>
      <c r="AA51" s="25" t="s">
        <v>57</v>
      </c>
      <c r="AB51" s="54">
        <v>2015</v>
      </c>
      <c r="AC51" s="54">
        <v>2016</v>
      </c>
      <c r="AD51" s="54">
        <v>2017</v>
      </c>
      <c r="AE51" s="54">
        <v>2018</v>
      </c>
      <c r="AF51" s="54">
        <v>2019</v>
      </c>
      <c r="AG51"/>
      <c r="AH51"/>
    </row>
    <row r="52" spans="15:34" x14ac:dyDescent="0.15">
      <c r="O52" s="26" t="s">
        <v>66</v>
      </c>
      <c r="P52" s="55"/>
      <c r="Q52" s="55">
        <v>-3.1109472099873661E-2</v>
      </c>
      <c r="R52" s="55">
        <v>2.8091303138404168E-2</v>
      </c>
      <c r="S52" s="55">
        <v>-1.6407803440079533E-3</v>
      </c>
      <c r="T52" s="55">
        <v>2.90708358674138E-2</v>
      </c>
      <c r="U52"/>
      <c r="V52"/>
      <c r="AA52" s="26" t="s">
        <v>66</v>
      </c>
      <c r="AB52" s="55"/>
      <c r="AC52" s="55">
        <v>-2.0219070133963658E-2</v>
      </c>
      <c r="AD52" s="55">
        <v>1.3886766472941287E-2</v>
      </c>
      <c r="AE52" s="55">
        <v>-1.7642280550338309E-3</v>
      </c>
      <c r="AF52" s="55">
        <v>1.1163524011748657E-2</v>
      </c>
      <c r="AG52"/>
      <c r="AH52"/>
    </row>
    <row r="53" spans="15:34" x14ac:dyDescent="0.15">
      <c r="O53" s="27">
        <v>1</v>
      </c>
      <c r="P53" s="55"/>
      <c r="Q53" s="55">
        <v>2.4957908289591012E-2</v>
      </c>
      <c r="R53" s="55">
        <v>0.12822494927046071</v>
      </c>
      <c r="S53" s="55">
        <v>-5.2500856457690953E-2</v>
      </c>
      <c r="T53" s="55">
        <v>0.13739492000361567</v>
      </c>
      <c r="U53"/>
      <c r="V53"/>
      <c r="AA53" s="27">
        <v>1</v>
      </c>
      <c r="AB53" s="55"/>
      <c r="AC53" s="55">
        <v>0.10974646898850768</v>
      </c>
      <c r="AD53" s="55">
        <v>1.5335968379446712E-2</v>
      </c>
      <c r="AE53" s="55">
        <v>4.5079414512612784E-2</v>
      </c>
      <c r="AF53" s="55">
        <v>0.16210981151754461</v>
      </c>
      <c r="AG53"/>
      <c r="AH53"/>
    </row>
    <row r="54" spans="15:34" x14ac:dyDescent="0.15">
      <c r="O54" s="27">
        <v>2</v>
      </c>
      <c r="P54" s="55"/>
      <c r="Q54" s="55">
        <v>-7.9773388455060518E-2</v>
      </c>
      <c r="R54" s="55">
        <v>-0.21447587354409314</v>
      </c>
      <c r="S54" s="55">
        <v>-5.4013980088964443E-3</v>
      </c>
      <c r="T54" s="55">
        <v>0.28774003478507759</v>
      </c>
      <c r="U54"/>
      <c r="V54"/>
      <c r="AA54" s="27">
        <v>2</v>
      </c>
      <c r="AB54" s="55"/>
      <c r="AC54" s="55">
        <v>4.4015222230200296E-2</v>
      </c>
      <c r="AD54" s="55">
        <v>-0.20275103163686378</v>
      </c>
      <c r="AE54" s="55">
        <v>2.751897860593501E-2</v>
      </c>
      <c r="AF54" s="55">
        <v>-0.12694148266308439</v>
      </c>
      <c r="AG54"/>
      <c r="AH54"/>
    </row>
    <row r="55" spans="15:34" x14ac:dyDescent="0.15">
      <c r="O55" s="27">
        <v>3</v>
      </c>
      <c r="P55" s="55"/>
      <c r="Q55" s="55">
        <v>-1.3152978103280704E-2</v>
      </c>
      <c r="R55" s="55">
        <v>5.0208254449072287E-2</v>
      </c>
      <c r="S55" s="55">
        <v>3.6991635419671154E-2</v>
      </c>
      <c r="T55" s="55">
        <v>-0.14342902286195522</v>
      </c>
      <c r="U55"/>
      <c r="V55"/>
      <c r="AA55" s="27">
        <v>3</v>
      </c>
      <c r="AB55" s="55"/>
      <c r="AC55" s="55">
        <v>1.2159098715394686E-2</v>
      </c>
      <c r="AD55" s="55">
        <v>8.6602416180263264E-2</v>
      </c>
      <c r="AE55" s="55">
        <v>-1.673953778888192E-2</v>
      </c>
      <c r="AF55" s="55">
        <v>-9.4460678439842488E-2</v>
      </c>
      <c r="AG55"/>
      <c r="AH55"/>
    </row>
    <row r="56" spans="15:34" x14ac:dyDescent="0.15">
      <c r="O56" s="27">
        <v>4</v>
      </c>
      <c r="P56" s="55"/>
      <c r="Q56" s="55">
        <v>8.6006880550444031E-2</v>
      </c>
      <c r="R56" s="55">
        <v>1.7975541476351747E-2</v>
      </c>
      <c r="S56" s="55">
        <v>-7.475756259950786E-2</v>
      </c>
      <c r="T56" s="55">
        <v>0.14517012123582315</v>
      </c>
      <c r="U56"/>
      <c r="V56"/>
      <c r="AA56" s="27">
        <v>4</v>
      </c>
      <c r="AB56" s="55"/>
      <c r="AC56" s="55">
        <v>8.3455130078924147E-2</v>
      </c>
      <c r="AD56" s="55">
        <v>2.3202482125994937E-2</v>
      </c>
      <c r="AE56" s="55">
        <v>-8.0290046143704649E-2</v>
      </c>
      <c r="AF56" s="55">
        <v>0.19266055045871555</v>
      </c>
      <c r="AG56"/>
      <c r="AH56"/>
    </row>
    <row r="57" spans="15:34" x14ac:dyDescent="0.15">
      <c r="O57" s="27">
        <v>5</v>
      </c>
      <c r="P57" s="55"/>
      <c r="Q57" s="55">
        <v>0.23235697156560484</v>
      </c>
      <c r="R57" s="55">
        <v>-0.10216137327124887</v>
      </c>
      <c r="S57" s="55">
        <v>6.0453595479526202E-2</v>
      </c>
      <c r="T57" s="55">
        <v>3.007299270072996E-2</v>
      </c>
      <c r="U57"/>
      <c r="V57"/>
      <c r="AA57" s="27">
        <v>5</v>
      </c>
      <c r="AB57" s="55"/>
      <c r="AC57" s="55">
        <v>0.18602269145918682</v>
      </c>
      <c r="AD57" s="55">
        <v>-4.9093204012489115E-2</v>
      </c>
      <c r="AE57" s="55">
        <v>1.3483303059941283E-2</v>
      </c>
      <c r="AF57" s="55">
        <v>5.6731233197766559E-2</v>
      </c>
      <c r="AG57"/>
      <c r="AH57"/>
    </row>
    <row r="58" spans="15:34" x14ac:dyDescent="0.15">
      <c r="O58" s="27">
        <v>6</v>
      </c>
      <c r="P58" s="55"/>
      <c r="Q58" s="55">
        <v>-0.20443857767510928</v>
      </c>
      <c r="R58" s="55">
        <v>0.20564139790521618</v>
      </c>
      <c r="S58" s="55">
        <v>3.1739205229657744E-2</v>
      </c>
      <c r="T58" s="55">
        <v>-1.5423092955398083E-2</v>
      </c>
      <c r="U58"/>
      <c r="V58"/>
      <c r="AA58" s="27">
        <v>6</v>
      </c>
      <c r="AB58" s="55"/>
      <c r="AC58" s="55">
        <v>-0.17683695994954285</v>
      </c>
      <c r="AD58" s="55">
        <v>0.1142610861028639</v>
      </c>
      <c r="AE58" s="55">
        <v>6.4294309781674358E-2</v>
      </c>
      <c r="AF58" s="55">
        <v>3.4566305927959902E-2</v>
      </c>
      <c r="AG58"/>
      <c r="AH58"/>
    </row>
    <row r="59" spans="15:34" x14ac:dyDescent="0.15">
      <c r="O59" s="27">
        <v>7</v>
      </c>
      <c r="P59" s="55"/>
      <c r="Q59" s="55">
        <v>-0.10247580044676111</v>
      </c>
      <c r="R59" s="55">
        <v>0.10982059525044083</v>
      </c>
      <c r="S59" s="55">
        <v>0.10278452625677444</v>
      </c>
      <c r="T59" s="55">
        <v>-3.8468056261650646E-2</v>
      </c>
      <c r="U59"/>
      <c r="V59"/>
      <c r="AA59" s="27">
        <v>7</v>
      </c>
      <c r="AB59" s="55"/>
      <c r="AC59" s="55">
        <v>-7.9276895943562686E-2</v>
      </c>
      <c r="AD59" s="55">
        <v>4.185422852217225E-2</v>
      </c>
      <c r="AE59" s="55">
        <v>8.1081081081081127E-2</v>
      </c>
      <c r="AF59" s="55">
        <v>-6.8027210884349877E-4</v>
      </c>
      <c r="AG59"/>
      <c r="AH59"/>
    </row>
    <row r="60" spans="15:34" x14ac:dyDescent="0.15">
      <c r="O60" s="27">
        <v>8</v>
      </c>
      <c r="P60" s="55"/>
      <c r="Q60" s="55">
        <v>-0.14436285097192228</v>
      </c>
      <c r="R60" s="55">
        <v>8.0573505654281175E-2</v>
      </c>
      <c r="S60" s="55">
        <v>8.4750513922631318E-2</v>
      </c>
      <c r="T60" s="55">
        <v>-2.2482556637092026E-2</v>
      </c>
      <c r="U60"/>
      <c r="V60"/>
      <c r="AA60" s="27">
        <v>8</v>
      </c>
      <c r="AB60" s="55"/>
      <c r="AC60" s="55">
        <v>-0.11609315258950288</v>
      </c>
      <c r="AD60" s="55">
        <v>6.9406213134093495E-2</v>
      </c>
      <c r="AE60" s="55">
        <v>9.1101305387019799E-2</v>
      </c>
      <c r="AF60" s="55">
        <v>-0.20237593731569636</v>
      </c>
      <c r="AG60"/>
      <c r="AH60"/>
    </row>
    <row r="61" spans="15:34" x14ac:dyDescent="0.15">
      <c r="O61" s="27">
        <v>9</v>
      </c>
      <c r="P61" s="55"/>
      <c r="Q61" s="55">
        <v>4.0664074813491574E-2</v>
      </c>
      <c r="R61" s="55">
        <v>8.0573505654281175E-2</v>
      </c>
      <c r="S61" s="55">
        <v>1.6445524201083823E-2</v>
      </c>
      <c r="T61" s="55">
        <v>-7.0233498804927352E-2</v>
      </c>
      <c r="U61"/>
      <c r="V61"/>
      <c r="AA61" s="27">
        <v>9</v>
      </c>
      <c r="AB61" s="55"/>
      <c r="AC61" s="55">
        <v>-1.9471756313861621E-2</v>
      </c>
      <c r="AD61" s="55">
        <v>-1.808887141171853E-2</v>
      </c>
      <c r="AE61" s="55">
        <v>0.11774128954745709</v>
      </c>
      <c r="AF61" s="55">
        <v>-1.737728412755293E-2</v>
      </c>
      <c r="AG61"/>
      <c r="AH61"/>
    </row>
    <row r="62" spans="15:34" x14ac:dyDescent="0.15">
      <c r="O62" s="27">
        <v>10</v>
      </c>
      <c r="P62" s="55"/>
      <c r="Q62" s="55">
        <v>-0.15937381897203357</v>
      </c>
      <c r="R62" s="55">
        <v>6.9214288223104631E-2</v>
      </c>
      <c r="S62" s="55">
        <v>3.3112582781456949E-2</v>
      </c>
      <c r="T62" s="55">
        <v>-0.13972832722832731</v>
      </c>
      <c r="U62"/>
      <c r="V62"/>
      <c r="AA62" s="27">
        <v>10</v>
      </c>
      <c r="AB62" s="55"/>
      <c r="AC62" s="55">
        <v>-0.1071044675848169</v>
      </c>
      <c r="AD62" s="55">
        <v>9.3993943155954288E-2</v>
      </c>
      <c r="AE62" s="55">
        <v>-2.0770288858321901E-2</v>
      </c>
      <c r="AF62" s="55">
        <v>-0.11385025986795892</v>
      </c>
      <c r="AG62"/>
      <c r="AH62"/>
    </row>
    <row r="63" spans="15:34" x14ac:dyDescent="0.15">
      <c r="O63" s="27">
        <v>11</v>
      </c>
      <c r="P63" s="55"/>
      <c r="Q63" s="55">
        <v>5.4838709677419425E-2</v>
      </c>
      <c r="R63" s="55">
        <v>-8.5918159312656037E-3</v>
      </c>
      <c r="S63" s="55">
        <v>-0.2615305522914218</v>
      </c>
      <c r="T63" s="55">
        <v>0.45609149676777716</v>
      </c>
      <c r="U63"/>
      <c r="V63"/>
      <c r="AA63" s="27">
        <v>11</v>
      </c>
      <c r="AB63" s="55"/>
      <c r="AC63" s="55">
        <v>3.1476075644117363E-2</v>
      </c>
      <c r="AD63" s="55">
        <v>-4.9095607235142225E-2</v>
      </c>
      <c r="AE63" s="55">
        <v>-0.2875258799171842</v>
      </c>
      <c r="AF63" s="55">
        <v>0.47066836178714122</v>
      </c>
      <c r="AG63"/>
      <c r="AH63"/>
    </row>
    <row r="64" spans="15:34" x14ac:dyDescent="0.15">
      <c r="O64" s="27">
        <v>12</v>
      </c>
      <c r="P64" s="55"/>
      <c r="Q64" s="55">
        <v>-7.2744599745870497E-2</v>
      </c>
      <c r="R64" s="55">
        <v>3.4515244946899781E-2</v>
      </c>
      <c r="S64" s="55">
        <v>6.2587962579683673E-2</v>
      </c>
      <c r="T64" s="55">
        <v>-0.10471367354888983</v>
      </c>
      <c r="U64"/>
      <c r="V64"/>
      <c r="AA64" s="27">
        <v>12</v>
      </c>
      <c r="AB64" s="55"/>
      <c r="AC64" s="55">
        <v>-0.18796231902383509</v>
      </c>
      <c r="AD64" s="55">
        <v>0.11118031765805041</v>
      </c>
      <c r="AE64" s="55">
        <v>7.4691704035874371E-2</v>
      </c>
      <c r="AF64" s="55">
        <v>-0.15112791759029859</v>
      </c>
      <c r="AG64"/>
      <c r="AH64"/>
    </row>
    <row r="65" spans="15:34" x14ac:dyDescent="0.15">
      <c r="O65" s="26" t="s">
        <v>67</v>
      </c>
      <c r="P65" s="55"/>
      <c r="Q65" s="55">
        <v>0.18676584156403711</v>
      </c>
      <c r="R65" s="55">
        <v>-0.11922049455442149</v>
      </c>
      <c r="S65" s="55">
        <v>-4.3842594392814266E-2</v>
      </c>
      <c r="T65" s="55">
        <v>8.235222351003478E-2</v>
      </c>
      <c r="U65"/>
      <c r="V65"/>
      <c r="AA65" s="26" t="s">
        <v>67</v>
      </c>
      <c r="AB65" s="55"/>
      <c r="AC65" s="55">
        <v>0.1606117771151547</v>
      </c>
      <c r="AD65" s="55">
        <v>-8.7596343743992125E-2</v>
      </c>
      <c r="AE65" s="55">
        <v>-6.3384733263097667E-2</v>
      </c>
      <c r="AF65" s="55">
        <v>4.8981511780104903E-2</v>
      </c>
      <c r="AG65"/>
      <c r="AH65"/>
    </row>
    <row r="66" spans="15:34" x14ac:dyDescent="0.15">
      <c r="O66" s="27">
        <v>1</v>
      </c>
      <c r="P66" s="55"/>
      <c r="Q66" s="55">
        <v>0.27234171463192963</v>
      </c>
      <c r="R66" s="55">
        <v>-8.0000000000000057E-2</v>
      </c>
      <c r="S66" s="55">
        <v>8.7991718426501924E-3</v>
      </c>
      <c r="T66" s="55">
        <v>0.18522319138019494</v>
      </c>
      <c r="U66"/>
      <c r="V66"/>
      <c r="AA66" s="27">
        <v>1</v>
      </c>
      <c r="AB66" s="55"/>
      <c r="AC66" s="55">
        <v>0.28459383753501405</v>
      </c>
      <c r="AD66" s="55">
        <v>-3.0963802878325435E-2</v>
      </c>
      <c r="AE66" s="55">
        <v>-0.16831683168316822</v>
      </c>
      <c r="AF66" s="55">
        <v>0.24783549783549771</v>
      </c>
      <c r="AG66"/>
      <c r="AH66"/>
    </row>
    <row r="67" spans="15:34" x14ac:dyDescent="0.15">
      <c r="O67" s="27">
        <v>2</v>
      </c>
      <c r="P67" s="55"/>
      <c r="Q67" s="55">
        <v>-0.14645080946450811</v>
      </c>
      <c r="R67" s="55">
        <v>0.33352786693901376</v>
      </c>
      <c r="S67" s="55">
        <v>-0.33282275711159742</v>
      </c>
      <c r="T67" s="55">
        <v>0.59232535257461472</v>
      </c>
      <c r="U67"/>
      <c r="V67"/>
      <c r="AA67" s="27">
        <v>2</v>
      </c>
      <c r="AB67" s="55"/>
      <c r="AC67" s="55">
        <v>9.6158738234545793E-2</v>
      </c>
      <c r="AD67" s="55">
        <v>0.16569969830587153</v>
      </c>
      <c r="AE67" s="55">
        <v>-0.17061517021700176</v>
      </c>
      <c r="AF67" s="55">
        <v>0.12506000960153615</v>
      </c>
      <c r="AG67"/>
      <c r="AH67"/>
    </row>
    <row r="68" spans="15:34" x14ac:dyDescent="0.15">
      <c r="O68" s="27">
        <v>3</v>
      </c>
      <c r="P68" s="55"/>
      <c r="Q68" s="55">
        <v>0.46375420067210738</v>
      </c>
      <c r="R68" s="55">
        <v>-6.887504099704822E-2</v>
      </c>
      <c r="S68" s="55">
        <v>-0.14054244452271919</v>
      </c>
      <c r="T68" s="55">
        <v>4.1393442622950798E-2</v>
      </c>
      <c r="U68"/>
      <c r="V68"/>
      <c r="AA68" s="27">
        <v>3</v>
      </c>
      <c r="AB68" s="55"/>
      <c r="AC68" s="55">
        <v>0.24141774409273284</v>
      </c>
      <c r="AD68" s="55">
        <v>3.0166995869994738E-2</v>
      </c>
      <c r="AE68" s="55">
        <v>-0.1244552902213701</v>
      </c>
      <c r="AF68" s="55">
        <v>4.8576547879753205E-2</v>
      </c>
      <c r="AG68"/>
      <c r="AH68"/>
    </row>
    <row r="69" spans="15:34" x14ac:dyDescent="0.15">
      <c r="O69" s="27">
        <v>4</v>
      </c>
      <c r="P69" s="55"/>
      <c r="Q69" s="55">
        <v>0.48884578079534441</v>
      </c>
      <c r="R69" s="55">
        <v>-0.21742671009771988</v>
      </c>
      <c r="S69" s="55">
        <v>3.3090530697190382E-2</v>
      </c>
      <c r="T69" s="55">
        <v>3.3843674456083946E-2</v>
      </c>
      <c r="U69"/>
      <c r="V69"/>
      <c r="AA69" s="27">
        <v>4</v>
      </c>
      <c r="AB69" s="55"/>
      <c r="AC69" s="55">
        <v>0.28384279475982532</v>
      </c>
      <c r="AD69" s="55">
        <v>-9.3268886501969239E-2</v>
      </c>
      <c r="AE69" s="55">
        <v>1.3228035538006012E-2</v>
      </c>
      <c r="AF69" s="55">
        <v>1.7537022603273133E-3</v>
      </c>
      <c r="AG69"/>
      <c r="AH69"/>
    </row>
    <row r="70" spans="15:34" x14ac:dyDescent="0.15">
      <c r="O70" s="27">
        <v>5</v>
      </c>
      <c r="P70" s="55"/>
      <c r="Q70" s="55">
        <v>0.54954304954304944</v>
      </c>
      <c r="R70" s="55">
        <v>-0.29861865590563402</v>
      </c>
      <c r="S70" s="55">
        <v>-8.1655233458729756E-2</v>
      </c>
      <c r="T70" s="55">
        <v>0.11518072289156629</v>
      </c>
      <c r="U70"/>
      <c r="V70"/>
      <c r="AA70" s="27">
        <v>5</v>
      </c>
      <c r="AB70" s="55"/>
      <c r="AC70" s="55">
        <v>0.47246308882118576</v>
      </c>
      <c r="AD70" s="55">
        <v>-0.36367977081012248</v>
      </c>
      <c r="AE70" s="55">
        <v>-2.1010505252626398E-2</v>
      </c>
      <c r="AF70" s="55">
        <v>0.11394992335206956</v>
      </c>
      <c r="AG70"/>
      <c r="AH70"/>
    </row>
    <row r="71" spans="15:34" x14ac:dyDescent="0.15">
      <c r="O71" s="27">
        <v>6</v>
      </c>
      <c r="P71" s="55"/>
      <c r="Q71" s="55">
        <v>0.10618811881188113</v>
      </c>
      <c r="R71" s="55">
        <v>-7.3394495412843944E-2</v>
      </c>
      <c r="S71" s="55">
        <v>2.2458343395315029E-2</v>
      </c>
      <c r="T71" s="55">
        <v>-0.14100141709966932</v>
      </c>
      <c r="U71"/>
      <c r="V71"/>
      <c r="AA71" s="27">
        <v>6</v>
      </c>
      <c r="AB71" s="55"/>
      <c r="AC71" s="55">
        <v>1.9668737060041467E-2</v>
      </c>
      <c r="AD71" s="55">
        <v>4.2639593908629474E-2</v>
      </c>
      <c r="AE71" s="55">
        <v>-0.14727361246348589</v>
      </c>
      <c r="AF71" s="55">
        <v>-9.1064801598629841E-2</v>
      </c>
      <c r="AG71"/>
      <c r="AH71"/>
    </row>
    <row r="72" spans="15:34" x14ac:dyDescent="0.15">
      <c r="O72" s="27">
        <v>7</v>
      </c>
      <c r="P72" s="55"/>
      <c r="Q72" s="55">
        <v>0.24323593073593067</v>
      </c>
      <c r="R72" s="55">
        <v>-0.18650707290533186</v>
      </c>
      <c r="S72" s="55">
        <v>-0.18673087212413059</v>
      </c>
      <c r="T72" s="55">
        <v>0.47006578947368416</v>
      </c>
      <c r="U72"/>
      <c r="V72"/>
      <c r="AA72" s="27">
        <v>7</v>
      </c>
      <c r="AB72" s="55"/>
      <c r="AC72" s="55">
        <v>0.23623011015911868</v>
      </c>
      <c r="AD72" s="55">
        <v>-0.17673267326732667</v>
      </c>
      <c r="AE72" s="55">
        <v>0.11876127480457005</v>
      </c>
      <c r="AF72" s="55">
        <v>0.13544746036011818</v>
      </c>
      <c r="AG72"/>
      <c r="AH72"/>
    </row>
    <row r="73" spans="15:34" x14ac:dyDescent="0.15">
      <c r="O73" s="27">
        <v>8</v>
      </c>
      <c r="P73" s="55"/>
      <c r="Q73" s="55">
        <v>0.37698863636363633</v>
      </c>
      <c r="R73" s="55">
        <v>-0.22178667216835157</v>
      </c>
      <c r="S73" s="55">
        <v>2.6511134676564158E-2</v>
      </c>
      <c r="T73" s="55">
        <v>2.1694214876033145E-2</v>
      </c>
      <c r="U73"/>
      <c r="V73"/>
      <c r="AA73" s="27">
        <v>8</v>
      </c>
      <c r="AB73" s="55"/>
      <c r="AC73" s="55">
        <v>0.27262443438914019</v>
      </c>
      <c r="AD73" s="55">
        <v>-0.23466666666666672</v>
      </c>
      <c r="AE73" s="55">
        <v>2.2067363530778233E-2</v>
      </c>
      <c r="AF73" s="55">
        <v>-2.6420454545454577E-2</v>
      </c>
      <c r="AG73"/>
      <c r="AH73"/>
    </row>
    <row r="74" spans="15:34" x14ac:dyDescent="0.15">
      <c r="O74" s="27">
        <v>9</v>
      </c>
      <c r="P74" s="55"/>
      <c r="Q74" s="55">
        <v>0.312519224853891</v>
      </c>
      <c r="R74" s="55">
        <v>-0.17506444808999294</v>
      </c>
      <c r="S74" s="55">
        <v>1.4204545454545454E-2</v>
      </c>
      <c r="T74" s="55">
        <v>1.4005602240896359E-2</v>
      </c>
      <c r="U74"/>
      <c r="V74"/>
      <c r="AA74" s="27">
        <v>9</v>
      </c>
      <c r="AB74" s="55"/>
      <c r="AC74" s="55">
        <v>0.25898587933247746</v>
      </c>
      <c r="AD74" s="55">
        <v>-0.13917919959214892</v>
      </c>
      <c r="AE74" s="55">
        <v>3.7311222978975489E-2</v>
      </c>
      <c r="AF74" s="55">
        <v>2.6263202968883782E-2</v>
      </c>
      <c r="AG74"/>
      <c r="AH74"/>
    </row>
    <row r="75" spans="15:34" x14ac:dyDescent="0.15">
      <c r="O75" s="27">
        <v>10</v>
      </c>
      <c r="P75" s="55"/>
      <c r="Q75" s="55">
        <v>-0.14887406171809847</v>
      </c>
      <c r="R75" s="55">
        <v>7.6188143067124015E-2</v>
      </c>
      <c r="S75" s="55">
        <v>-6.8745731846118804E-2</v>
      </c>
      <c r="T75" s="55">
        <v>-1.4421901735517072E-2</v>
      </c>
      <c r="U75"/>
      <c r="V75"/>
      <c r="AA75" s="27">
        <v>10</v>
      </c>
      <c r="AB75" s="55"/>
      <c r="AC75" s="55">
        <v>-0.19653299916457814</v>
      </c>
      <c r="AD75" s="55">
        <v>0.18559916818299985</v>
      </c>
      <c r="AE75" s="55">
        <v>-0.10304757728568296</v>
      </c>
      <c r="AF75" s="55">
        <v>-0.10681984844781238</v>
      </c>
      <c r="AG75"/>
      <c r="AH75"/>
    </row>
    <row r="76" spans="15:34" x14ac:dyDescent="0.15">
      <c r="O76" s="27">
        <v>11</v>
      </c>
      <c r="P76" s="55"/>
      <c r="Q76" s="55">
        <v>7.1044546850998466E-2</v>
      </c>
      <c r="R76" s="55">
        <v>-0.22893510218716376</v>
      </c>
      <c r="S76" s="55">
        <v>6.0451057893513134E-2</v>
      </c>
      <c r="T76" s="55">
        <v>0.134400350800263</v>
      </c>
      <c r="U76"/>
      <c r="V76"/>
      <c r="AA76" s="27">
        <v>11</v>
      </c>
      <c r="AB76" s="55"/>
      <c r="AC76" s="55">
        <v>0.17138237671786583</v>
      </c>
      <c r="AD76" s="55">
        <v>-0.21307798481711523</v>
      </c>
      <c r="AE76" s="55">
        <v>-9.0111817583863232E-2</v>
      </c>
      <c r="AF76" s="55">
        <v>0.25686746987951814</v>
      </c>
      <c r="AG76"/>
      <c r="AH76"/>
    </row>
    <row r="77" spans="15:34" x14ac:dyDescent="0.15">
      <c r="O77" s="27">
        <v>12</v>
      </c>
      <c r="P77" s="55"/>
      <c r="Q77" s="55">
        <v>-0.13810586088014606</v>
      </c>
      <c r="R77" s="55">
        <v>-2.7529411764705854E-2</v>
      </c>
      <c r="S77" s="55">
        <v>0.17832083232518747</v>
      </c>
      <c r="T77" s="55">
        <v>-0.17371663244353189</v>
      </c>
      <c r="U77"/>
      <c r="V77"/>
      <c r="AA77" s="27">
        <v>12</v>
      </c>
      <c r="AB77" s="55"/>
      <c r="AC77" s="55">
        <v>-6.4940085040587486E-2</v>
      </c>
      <c r="AD77" s="55">
        <v>-5.7255064076064462E-2</v>
      </c>
      <c r="AE77" s="55">
        <v>-1.8417013812760435E-2</v>
      </c>
      <c r="AF77" s="55">
        <v>-0.12374357828903279</v>
      </c>
      <c r="AG77"/>
      <c r="AH77"/>
    </row>
    <row r="78" spans="15:34" x14ac:dyDescent="0.15">
      <c r="O78"/>
      <c r="P78"/>
      <c r="Q78"/>
      <c r="R78"/>
      <c r="S78"/>
      <c r="T78"/>
      <c r="U78"/>
      <c r="V78"/>
      <c r="AA78"/>
      <c r="AB78"/>
      <c r="AC78"/>
      <c r="AD78"/>
      <c r="AE78"/>
      <c r="AF78"/>
      <c r="AG78"/>
      <c r="AH78"/>
    </row>
  </sheetData>
  <mergeCells count="10">
    <mergeCell ref="P23:Q23"/>
    <mergeCell ref="P21:Q21"/>
    <mergeCell ref="P22:Q22"/>
    <mergeCell ref="P24:Q24"/>
    <mergeCell ref="P25:Q25"/>
    <mergeCell ref="J18:L18"/>
    <mergeCell ref="O1:Q1"/>
    <mergeCell ref="A1:H1"/>
    <mergeCell ref="P20:Q20"/>
    <mergeCell ref="P19:Q19"/>
  </mergeCells>
  <phoneticPr fontId="8" type="noConversion"/>
  <conditionalFormatting pivot="1" sqref="C5:F16 C18:F29">
    <cfRule type="cellIs" dxfId="131" priority="6" operator="lessThan">
      <formula>0</formula>
    </cfRule>
  </conditionalFormatting>
  <conditionalFormatting pivot="1" sqref="P52:T52 P53:T64 P65:T65 P66:T77">
    <cfRule type="cellIs" dxfId="130" priority="4" operator="lessThan">
      <formula>0</formula>
    </cfRule>
  </conditionalFormatting>
  <conditionalFormatting sqref="AB51:AH51">
    <cfRule type="cellIs" dxfId="129" priority="3" operator="lessThan">
      <formula>0</formula>
    </cfRule>
  </conditionalFormatting>
  <conditionalFormatting pivot="1" sqref="AB52:AF52 AB53:AF64 AB65:AF65 AB66:AF77">
    <cfRule type="cellIs" dxfId="128" priority="2" operator="lessThan">
      <formula>0</formula>
    </cfRule>
  </conditionalFormatting>
  <conditionalFormatting sqref="H5:H16 H18:H29">
    <cfRule type="cellIs" dxfId="127" priority="1" operator="lessThan">
      <formula>0</formula>
    </cfRule>
  </conditionalFormatting>
  <hyperlinks>
    <hyperlink ref="O28" r:id="rId6" xr:uid="{D61A6863-76E4-413F-B1B2-849011147FB0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64C5-DECA-480E-AC44-183486F2BF27}">
  <dimension ref="B1:BE74"/>
  <sheetViews>
    <sheetView topLeftCell="H1" zoomScale="90" zoomScaleNormal="90" workbookViewId="0">
      <pane ySplit="4" topLeftCell="A23" activePane="bottomLeft" state="frozen"/>
      <selection pane="bottomLeft" activeCell="S18" sqref="S18"/>
    </sheetView>
  </sheetViews>
  <sheetFormatPr baseColWidth="10" defaultColWidth="9" defaultRowHeight="14" x14ac:dyDescent="0.15"/>
  <cols>
    <col min="1" max="10" width="9" style="23"/>
    <col min="11" max="11" width="18" style="23" bestFit="1" customWidth="1"/>
    <col min="12" max="12" width="32.1640625" style="23" bestFit="1" customWidth="1"/>
    <col min="13" max="13" width="33.1640625" style="23" bestFit="1" customWidth="1"/>
    <col min="14" max="23" width="9" style="23"/>
    <col min="24" max="24" width="18.1640625" style="23" bestFit="1" customWidth="1"/>
    <col min="25" max="25" width="11.1640625" style="23" bestFit="1" customWidth="1"/>
    <col min="26" max="26" width="12.33203125" style="23" bestFit="1" customWidth="1"/>
    <col min="27" max="27" width="11.33203125" style="23" bestFit="1" customWidth="1"/>
    <col min="28" max="28" width="21" style="23" bestFit="1" customWidth="1"/>
    <col min="29" max="29" width="18.1640625" style="23" bestFit="1" customWidth="1"/>
    <col min="30" max="30" width="11.1640625" style="23" bestFit="1" customWidth="1"/>
    <col min="31" max="31" width="12.33203125" style="23" bestFit="1" customWidth="1"/>
    <col min="32" max="32" width="11.33203125" style="23" bestFit="1" customWidth="1"/>
    <col min="33" max="33" width="21" style="23" bestFit="1" customWidth="1"/>
    <col min="34" max="34" width="9" style="23"/>
    <col min="35" max="35" width="18.1640625" style="23" bestFit="1" customWidth="1"/>
    <col min="36" max="36" width="16.1640625" style="23" bestFit="1" customWidth="1"/>
    <col min="37" max="37" width="10.83203125" style="23" bestFit="1" customWidth="1"/>
    <col min="38" max="38" width="9" style="23"/>
    <col min="39" max="39" width="18.1640625" style="23" bestFit="1" customWidth="1"/>
    <col min="40" max="40" width="16.1640625" style="23" bestFit="1" customWidth="1"/>
    <col min="41" max="41" width="10.83203125" style="23" bestFit="1" customWidth="1"/>
    <col min="42" max="43" width="9" style="23"/>
    <col min="44" max="44" width="18.1640625" style="23" bestFit="1" customWidth="1"/>
    <col min="45" max="45" width="20.1640625" style="23" bestFit="1" customWidth="1"/>
    <col min="46" max="46" width="9" style="23"/>
    <col min="47" max="47" width="18.1640625" style="23" bestFit="1" customWidth="1"/>
    <col min="48" max="48" width="11.83203125" style="23" bestFit="1" customWidth="1"/>
    <col min="49" max="49" width="12.33203125" style="23" bestFit="1" customWidth="1"/>
    <col min="50" max="50" width="21.83203125" style="23" bestFit="1" customWidth="1"/>
    <col min="51" max="51" width="23.1640625" style="23" bestFit="1" customWidth="1"/>
    <col min="52" max="52" width="9" style="23"/>
    <col min="53" max="53" width="18.1640625" style="23" bestFit="1" customWidth="1"/>
    <col min="54" max="54" width="11.1640625" style="23" bestFit="1" customWidth="1"/>
    <col min="55" max="55" width="12.33203125" style="23" bestFit="1" customWidth="1"/>
    <col min="56" max="56" width="22.1640625" style="23" bestFit="1" customWidth="1"/>
    <col min="57" max="57" width="23.33203125" style="23" bestFit="1" customWidth="1"/>
    <col min="58" max="16384" width="9" style="23"/>
  </cols>
  <sheetData>
    <row r="1" spans="24:57" x14ac:dyDescent="0.15">
      <c r="X1" s="25" t="s">
        <v>0</v>
      </c>
      <c r="Y1" t="s">
        <v>67</v>
      </c>
      <c r="Z1"/>
      <c r="AC1" s="25" t="s">
        <v>0</v>
      </c>
      <c r="AD1" t="s">
        <v>66</v>
      </c>
      <c r="AE1" s="44"/>
      <c r="AF1" s="43"/>
      <c r="AI1" s="25" t="s">
        <v>0</v>
      </c>
      <c r="AJ1" t="s">
        <v>66</v>
      </c>
      <c r="AM1" s="25" t="s">
        <v>0</v>
      </c>
      <c r="AN1" t="s">
        <v>67</v>
      </c>
      <c r="AO1"/>
      <c r="AR1" s="25" t="s">
        <v>0</v>
      </c>
      <c r="AS1" t="s">
        <v>67</v>
      </c>
      <c r="AU1" s="25" t="s">
        <v>0</v>
      </c>
      <c r="AV1" t="s">
        <v>66</v>
      </c>
      <c r="AW1"/>
      <c r="BA1" s="25" t="s">
        <v>0</v>
      </c>
      <c r="BB1" t="s">
        <v>67</v>
      </c>
      <c r="BC1"/>
    </row>
    <row r="2" spans="24:57" x14ac:dyDescent="0.15">
      <c r="X2"/>
      <c r="Y2"/>
      <c r="Z2"/>
      <c r="AC2"/>
      <c r="AD2"/>
      <c r="AE2"/>
      <c r="AI2"/>
      <c r="AJ2"/>
      <c r="AK2"/>
      <c r="AM2"/>
      <c r="AN2"/>
      <c r="AO2"/>
      <c r="AR2"/>
      <c r="AS2"/>
      <c r="AU2"/>
      <c r="AV2"/>
      <c r="AW2"/>
      <c r="BA2"/>
      <c r="BB2"/>
      <c r="BC2"/>
    </row>
    <row r="3" spans="24:57" x14ac:dyDescent="0.15">
      <c r="X3" s="25" t="s">
        <v>57</v>
      </c>
      <c r="Y3" t="s">
        <v>185</v>
      </c>
      <c r="Z3" t="s">
        <v>70</v>
      </c>
      <c r="AA3" t="s">
        <v>171</v>
      </c>
      <c r="AB3" t="s">
        <v>170</v>
      </c>
      <c r="AC3" s="25" t="s">
        <v>57</v>
      </c>
      <c r="AD3" t="s">
        <v>185</v>
      </c>
      <c r="AE3" t="s">
        <v>70</v>
      </c>
      <c r="AF3" t="s">
        <v>171</v>
      </c>
      <c r="AG3" t="s">
        <v>170</v>
      </c>
      <c r="AI3" s="25" t="s">
        <v>57</v>
      </c>
      <c r="AJ3" t="s">
        <v>189</v>
      </c>
      <c r="AK3" t="s">
        <v>188</v>
      </c>
      <c r="AM3" s="25" t="s">
        <v>57</v>
      </c>
      <c r="AN3" t="s">
        <v>189</v>
      </c>
      <c r="AO3" t="s">
        <v>188</v>
      </c>
      <c r="AR3" s="25" t="s">
        <v>57</v>
      </c>
      <c r="AS3" t="s">
        <v>68</v>
      </c>
      <c r="AU3" s="25" t="s">
        <v>57</v>
      </c>
      <c r="AV3" t="s">
        <v>185</v>
      </c>
      <c r="AW3" t="s">
        <v>70</v>
      </c>
      <c r="AX3" t="s">
        <v>192</v>
      </c>
      <c r="AY3" t="s">
        <v>193</v>
      </c>
      <c r="BA3" s="25" t="s">
        <v>57</v>
      </c>
      <c r="BB3" t="s">
        <v>185</v>
      </c>
      <c r="BC3" t="s">
        <v>70</v>
      </c>
      <c r="BD3" t="s">
        <v>194</v>
      </c>
      <c r="BE3" t="s">
        <v>195</v>
      </c>
    </row>
    <row r="4" spans="24:57" x14ac:dyDescent="0.15">
      <c r="X4" s="26">
        <v>2015</v>
      </c>
      <c r="Y4" s="30">
        <v>1.0251249999999998</v>
      </c>
      <c r="Z4" s="30">
        <v>1.0270625000000002</v>
      </c>
      <c r="AA4" s="24">
        <v>12.600000000000003</v>
      </c>
      <c r="AB4" s="24">
        <v>12</v>
      </c>
      <c r="AC4" s="26">
        <v>2015</v>
      </c>
      <c r="AD4" s="30">
        <v>0.85950000000000004</v>
      </c>
      <c r="AE4" s="30">
        <v>0.94419642857142871</v>
      </c>
      <c r="AF4" s="24">
        <v>12.600000000000003</v>
      </c>
      <c r="AG4" s="24">
        <v>12</v>
      </c>
      <c r="AI4" s="26">
        <v>2015</v>
      </c>
      <c r="AJ4" s="24">
        <v>6019615</v>
      </c>
      <c r="AK4" s="24">
        <v>6019614.96</v>
      </c>
      <c r="AM4" s="26">
        <v>2015</v>
      </c>
      <c r="AN4" s="24">
        <v>1890738.8999999997</v>
      </c>
      <c r="AO4" s="24">
        <v>1890738.9600000002</v>
      </c>
      <c r="AR4" s="26">
        <v>2015</v>
      </c>
      <c r="AS4" s="24">
        <v>1890738.9</v>
      </c>
      <c r="AU4" s="26">
        <v>2015</v>
      </c>
      <c r="AV4" s="24">
        <v>14439.600000000002</v>
      </c>
      <c r="AW4" s="24">
        <v>15862.5</v>
      </c>
      <c r="AX4" s="24">
        <v>14439.599999999999</v>
      </c>
      <c r="AY4" s="24">
        <v>15862.5</v>
      </c>
      <c r="BA4" s="26">
        <v>2015</v>
      </c>
      <c r="BB4" s="24">
        <v>4920.5999999999995</v>
      </c>
      <c r="BC4" s="24">
        <v>4929.8999999999996</v>
      </c>
      <c r="BD4" s="24">
        <v>4920.6000000000013</v>
      </c>
      <c r="BE4" s="24">
        <v>4929.8999999999987</v>
      </c>
    </row>
    <row r="5" spans="24:57" x14ac:dyDescent="0.15">
      <c r="X5" s="27">
        <v>1</v>
      </c>
      <c r="Y5" s="30">
        <v>0.82525000000000004</v>
      </c>
      <c r="Z5" s="30">
        <v>0.89249999999999996</v>
      </c>
      <c r="AA5" s="24">
        <v>1.05</v>
      </c>
      <c r="AB5" s="24">
        <v>1</v>
      </c>
      <c r="AC5" s="27">
        <v>1</v>
      </c>
      <c r="AD5" s="30">
        <v>0.7212142857142857</v>
      </c>
      <c r="AE5" s="30">
        <v>0.81421428571428578</v>
      </c>
      <c r="AF5" s="24">
        <v>1.05</v>
      </c>
      <c r="AG5" s="24">
        <v>1</v>
      </c>
      <c r="AI5" s="27">
        <v>1</v>
      </c>
      <c r="AJ5" s="24">
        <v>463211.70000000007</v>
      </c>
      <c r="AK5" s="24">
        <v>501634.58</v>
      </c>
      <c r="AM5" s="27">
        <v>1</v>
      </c>
      <c r="AN5" s="24">
        <v>147358.40000000002</v>
      </c>
      <c r="AO5" s="24">
        <v>157561.57999999999</v>
      </c>
      <c r="AR5" s="26">
        <v>2016</v>
      </c>
      <c r="AS5" s="24">
        <v>2194766.4</v>
      </c>
      <c r="AU5" s="27">
        <v>1</v>
      </c>
      <c r="AV5" s="24">
        <v>1009.7</v>
      </c>
      <c r="AW5" s="24">
        <v>1139.9000000000001</v>
      </c>
      <c r="AX5" s="24">
        <v>1203.3000000000002</v>
      </c>
      <c r="AY5" s="24">
        <v>1321.875</v>
      </c>
      <c r="BA5" s="27">
        <v>1</v>
      </c>
      <c r="BB5" s="24">
        <v>330.1</v>
      </c>
      <c r="BC5" s="24">
        <v>357</v>
      </c>
      <c r="BD5" s="24">
        <v>410.04999999999995</v>
      </c>
      <c r="BE5" s="24">
        <v>410.82499999999999</v>
      </c>
    </row>
    <row r="6" spans="24:57" x14ac:dyDescent="0.15">
      <c r="X6" s="27">
        <v>2</v>
      </c>
      <c r="Y6" s="30">
        <v>1.0037499999999999</v>
      </c>
      <c r="Z6" s="30">
        <v>0.98275000000000001</v>
      </c>
      <c r="AA6" s="24">
        <v>1.05</v>
      </c>
      <c r="AB6" s="24">
        <v>1</v>
      </c>
      <c r="AC6" s="27">
        <v>2</v>
      </c>
      <c r="AD6" s="30">
        <v>0.93300000000000005</v>
      </c>
      <c r="AE6" s="30">
        <v>0.99478571428571427</v>
      </c>
      <c r="AF6" s="24">
        <v>1.05</v>
      </c>
      <c r="AG6" s="24">
        <v>1</v>
      </c>
      <c r="AI6" s="27">
        <v>2</v>
      </c>
      <c r="AJ6" s="24">
        <v>514086.3</v>
      </c>
      <c r="AK6" s="24">
        <v>501634.58</v>
      </c>
      <c r="AM6" s="27">
        <v>2</v>
      </c>
      <c r="AN6" s="24">
        <v>143972.09999999998</v>
      </c>
      <c r="AO6" s="24">
        <v>157561.57999999999</v>
      </c>
      <c r="AR6" s="26">
        <v>2017</v>
      </c>
      <c r="AS6" s="24">
        <v>2068333.9499999997</v>
      </c>
      <c r="AU6" s="27">
        <v>2</v>
      </c>
      <c r="AV6" s="24">
        <v>1306.2</v>
      </c>
      <c r="AW6" s="24">
        <v>1392.7</v>
      </c>
      <c r="AX6" s="24">
        <v>1203.3000000000002</v>
      </c>
      <c r="AY6" s="24">
        <v>1321.875</v>
      </c>
      <c r="BA6" s="27">
        <v>2</v>
      </c>
      <c r="BB6" s="24">
        <v>401.5</v>
      </c>
      <c r="BC6" s="24">
        <v>393.1</v>
      </c>
      <c r="BD6" s="24">
        <v>410.04999999999995</v>
      </c>
      <c r="BE6" s="24">
        <v>410.82499999999999</v>
      </c>
    </row>
    <row r="7" spans="24:57" x14ac:dyDescent="0.15">
      <c r="X7" s="27">
        <v>3</v>
      </c>
      <c r="Y7" s="30">
        <v>1.0415000000000001</v>
      </c>
      <c r="Z7" s="30">
        <v>1.1215000000000002</v>
      </c>
      <c r="AA7" s="24">
        <v>1.05</v>
      </c>
      <c r="AB7" s="24">
        <v>1</v>
      </c>
      <c r="AC7" s="27">
        <v>3</v>
      </c>
      <c r="AD7" s="30">
        <v>0.95578571428571424</v>
      </c>
      <c r="AE7" s="30">
        <v>1.0397857142857143</v>
      </c>
      <c r="AF7" s="24">
        <v>1.05</v>
      </c>
      <c r="AG7" s="24">
        <v>1</v>
      </c>
      <c r="AI7" s="27">
        <v>3</v>
      </c>
      <c r="AJ7" s="24">
        <v>534786.20000000007</v>
      </c>
      <c r="AK7" s="24">
        <v>501634.58</v>
      </c>
      <c r="AM7" s="27">
        <v>3</v>
      </c>
      <c r="AN7" s="24">
        <v>174731.5</v>
      </c>
      <c r="AO7" s="24">
        <v>157561.57999999999</v>
      </c>
      <c r="AR7" s="26">
        <v>2018</v>
      </c>
      <c r="AS7" s="24">
        <v>1932116.8</v>
      </c>
      <c r="AU7" s="27">
        <v>3</v>
      </c>
      <c r="AV7" s="24">
        <v>1338.1</v>
      </c>
      <c r="AW7" s="24">
        <v>1455.7</v>
      </c>
      <c r="AX7" s="24">
        <v>1203.3000000000002</v>
      </c>
      <c r="AY7" s="24">
        <v>1321.875</v>
      </c>
      <c r="BA7" s="27">
        <v>3</v>
      </c>
      <c r="BB7" s="24">
        <v>416.6</v>
      </c>
      <c r="BC7" s="24">
        <v>448.6</v>
      </c>
      <c r="BD7" s="24">
        <v>410.04999999999995</v>
      </c>
      <c r="BE7" s="24">
        <v>410.82499999999999</v>
      </c>
    </row>
    <row r="8" spans="24:57" x14ac:dyDescent="0.15">
      <c r="X8" s="27">
        <v>4</v>
      </c>
      <c r="Y8" s="30">
        <v>1.0309999999999999</v>
      </c>
      <c r="Z8" s="30">
        <v>1.08775</v>
      </c>
      <c r="AA8" s="24">
        <v>1.05</v>
      </c>
      <c r="AB8" s="24">
        <v>1</v>
      </c>
      <c r="AC8" s="27">
        <v>4</v>
      </c>
      <c r="AD8" s="30">
        <v>0.8927857142857144</v>
      </c>
      <c r="AE8" s="30">
        <v>0.97742857142857154</v>
      </c>
      <c r="AF8" s="24">
        <v>1.05</v>
      </c>
      <c r="AG8" s="24">
        <v>1</v>
      </c>
      <c r="AI8" s="27">
        <v>4</v>
      </c>
      <c r="AJ8" s="24">
        <v>520276.89999999997</v>
      </c>
      <c r="AK8" s="24">
        <v>501634.58</v>
      </c>
      <c r="AM8" s="27">
        <v>4</v>
      </c>
      <c r="AN8" s="24">
        <v>157156.20000000001</v>
      </c>
      <c r="AO8" s="24">
        <v>157561.57999999999</v>
      </c>
      <c r="AR8" s="26">
        <v>2019</v>
      </c>
      <c r="AS8" s="24">
        <v>2108420.6999999997</v>
      </c>
      <c r="AU8" s="27">
        <v>4</v>
      </c>
      <c r="AV8" s="24">
        <v>1249.9000000000001</v>
      </c>
      <c r="AW8" s="24">
        <v>1368.4</v>
      </c>
      <c r="AX8" s="24">
        <v>1203.3000000000002</v>
      </c>
      <c r="AY8" s="24">
        <v>1321.875</v>
      </c>
      <c r="BA8" s="27">
        <v>4</v>
      </c>
      <c r="BB8" s="24">
        <v>412.4</v>
      </c>
      <c r="BC8" s="24">
        <v>435.1</v>
      </c>
      <c r="BD8" s="24">
        <v>410.04999999999995</v>
      </c>
      <c r="BE8" s="24">
        <v>410.82499999999999</v>
      </c>
    </row>
    <row r="9" spans="24:57" x14ac:dyDescent="0.15">
      <c r="X9" s="27">
        <v>5</v>
      </c>
      <c r="Y9" s="30">
        <v>1.0395000000000001</v>
      </c>
      <c r="Z9" s="30">
        <v>1.0667499999999999</v>
      </c>
      <c r="AA9" s="24">
        <v>1.05</v>
      </c>
      <c r="AB9" s="24">
        <v>1</v>
      </c>
      <c r="AC9" s="27">
        <v>5</v>
      </c>
      <c r="AD9" s="30">
        <v>0.83399999999999996</v>
      </c>
      <c r="AE9" s="30">
        <v>0.90657142857142858</v>
      </c>
      <c r="AF9" s="24">
        <v>1.05</v>
      </c>
      <c r="AG9" s="24">
        <v>1</v>
      </c>
      <c r="AI9" s="27">
        <v>5</v>
      </c>
      <c r="AJ9" s="24">
        <v>487469.8</v>
      </c>
      <c r="AK9" s="24">
        <v>501634.58</v>
      </c>
      <c r="AM9" s="27">
        <v>5</v>
      </c>
      <c r="AN9" s="24">
        <v>147624</v>
      </c>
      <c r="AO9" s="24">
        <v>157561.57999999999</v>
      </c>
      <c r="AR9" s="26" t="s">
        <v>58</v>
      </c>
      <c r="AS9" s="24">
        <v>10194376.75</v>
      </c>
      <c r="AU9" s="27">
        <v>5</v>
      </c>
      <c r="AV9" s="24">
        <v>1167.5999999999999</v>
      </c>
      <c r="AW9" s="24">
        <v>1269.2</v>
      </c>
      <c r="AX9" s="24">
        <v>1203.3000000000002</v>
      </c>
      <c r="AY9" s="24">
        <v>1321.875</v>
      </c>
      <c r="BA9" s="27">
        <v>5</v>
      </c>
      <c r="BB9" s="24">
        <v>415.8</v>
      </c>
      <c r="BC9" s="24">
        <v>426.7</v>
      </c>
      <c r="BD9" s="24">
        <v>410.04999999999995</v>
      </c>
      <c r="BE9" s="24">
        <v>410.82499999999999</v>
      </c>
    </row>
    <row r="10" spans="24:57" x14ac:dyDescent="0.15">
      <c r="X10" s="27">
        <v>6</v>
      </c>
      <c r="Y10" s="30">
        <v>1.01</v>
      </c>
      <c r="Z10" s="30">
        <v>0.96599999999999997</v>
      </c>
      <c r="AA10" s="24">
        <v>1.05</v>
      </c>
      <c r="AB10" s="24">
        <v>1</v>
      </c>
      <c r="AC10" s="27">
        <v>6</v>
      </c>
      <c r="AD10" s="30">
        <v>0.86578571428571427</v>
      </c>
      <c r="AE10" s="30">
        <v>0.90600000000000003</v>
      </c>
      <c r="AF10" s="24">
        <v>1.05</v>
      </c>
      <c r="AG10" s="24">
        <v>1</v>
      </c>
      <c r="AI10" s="27">
        <v>6</v>
      </c>
      <c r="AJ10" s="24">
        <v>457353.6</v>
      </c>
      <c r="AK10" s="24">
        <v>501634.58</v>
      </c>
      <c r="AM10" s="27">
        <v>6</v>
      </c>
      <c r="AN10" s="24">
        <v>142845.1</v>
      </c>
      <c r="AO10" s="24">
        <v>157561.57999999999</v>
      </c>
      <c r="AU10" s="27">
        <v>6</v>
      </c>
      <c r="AV10" s="24">
        <v>1212.0999999999999</v>
      </c>
      <c r="AW10" s="24">
        <v>1268.4000000000001</v>
      </c>
      <c r="AX10" s="24">
        <v>1203.3000000000002</v>
      </c>
      <c r="AY10" s="24">
        <v>1321.875</v>
      </c>
      <c r="BA10" s="27">
        <v>6</v>
      </c>
      <c r="BB10" s="24">
        <v>404</v>
      </c>
      <c r="BC10" s="24">
        <v>386.4</v>
      </c>
      <c r="BD10" s="24">
        <v>410.04999999999995</v>
      </c>
      <c r="BE10" s="24">
        <v>410.82499999999999</v>
      </c>
    </row>
    <row r="11" spans="24:57" x14ac:dyDescent="0.15">
      <c r="X11" s="27">
        <v>7</v>
      </c>
      <c r="Y11" s="30">
        <v>0.92400000000000004</v>
      </c>
      <c r="Z11" s="30">
        <v>0.81700000000000006</v>
      </c>
      <c r="AA11" s="24">
        <v>1.05</v>
      </c>
      <c r="AB11" s="24">
        <v>1</v>
      </c>
      <c r="AC11" s="27">
        <v>7</v>
      </c>
      <c r="AD11" s="30">
        <v>0.76742857142857146</v>
      </c>
      <c r="AE11" s="30">
        <v>0.81</v>
      </c>
      <c r="AF11" s="24">
        <v>1.05</v>
      </c>
      <c r="AG11" s="24">
        <v>1</v>
      </c>
      <c r="AI11" s="27">
        <v>7</v>
      </c>
      <c r="AJ11" s="24">
        <v>458958.4</v>
      </c>
      <c r="AK11" s="24">
        <v>501634.58</v>
      </c>
      <c r="AM11" s="27">
        <v>7</v>
      </c>
      <c r="AN11" s="24">
        <v>154753</v>
      </c>
      <c r="AO11" s="24">
        <v>157561.57999999999</v>
      </c>
      <c r="AU11" s="27">
        <v>7</v>
      </c>
      <c r="AV11" s="24">
        <v>1074.4000000000001</v>
      </c>
      <c r="AW11" s="24">
        <v>1134</v>
      </c>
      <c r="AX11" s="24">
        <v>1203.3000000000002</v>
      </c>
      <c r="AY11" s="24">
        <v>1321.875</v>
      </c>
      <c r="BA11" s="27">
        <v>7</v>
      </c>
      <c r="BB11" s="24">
        <v>369.6</v>
      </c>
      <c r="BC11" s="24">
        <v>326.8</v>
      </c>
      <c r="BD11" s="24">
        <v>410.04999999999995</v>
      </c>
      <c r="BE11" s="24">
        <v>410.82499999999999</v>
      </c>
    </row>
    <row r="12" spans="24:57" x14ac:dyDescent="0.15">
      <c r="X12" s="27">
        <v>8</v>
      </c>
      <c r="Y12" s="30">
        <v>0.88</v>
      </c>
      <c r="Z12" s="30">
        <v>0.88400000000000001</v>
      </c>
      <c r="AA12" s="24">
        <v>1.05</v>
      </c>
      <c r="AB12" s="24">
        <v>1</v>
      </c>
      <c r="AC12" s="27">
        <v>8</v>
      </c>
      <c r="AD12" s="30">
        <v>0.82678571428571423</v>
      </c>
      <c r="AE12" s="30">
        <v>0.82199999999999995</v>
      </c>
      <c r="AF12" s="24">
        <v>1.05</v>
      </c>
      <c r="AG12" s="24">
        <v>1</v>
      </c>
      <c r="AI12" s="27">
        <v>8</v>
      </c>
      <c r="AJ12" s="24">
        <v>513965.4</v>
      </c>
      <c r="AK12" s="24">
        <v>501634.58</v>
      </c>
      <c r="AM12" s="27">
        <v>8</v>
      </c>
      <c r="AN12" s="24">
        <v>153298.79999999999</v>
      </c>
      <c r="AO12" s="24">
        <v>157561.57999999999</v>
      </c>
      <c r="AU12" s="27">
        <v>8</v>
      </c>
      <c r="AV12" s="24">
        <v>1157.5</v>
      </c>
      <c r="AW12" s="24">
        <v>1150.8</v>
      </c>
      <c r="AX12" s="24">
        <v>1203.3000000000002</v>
      </c>
      <c r="AY12" s="24">
        <v>1321.875</v>
      </c>
      <c r="BA12" s="27">
        <v>8</v>
      </c>
      <c r="BB12" s="24">
        <v>352</v>
      </c>
      <c r="BC12" s="24">
        <v>353.6</v>
      </c>
      <c r="BD12" s="24">
        <v>410.04999999999995</v>
      </c>
      <c r="BE12" s="24">
        <v>410.82499999999999</v>
      </c>
    </row>
    <row r="13" spans="24:57" x14ac:dyDescent="0.15">
      <c r="X13" s="27">
        <v>9</v>
      </c>
      <c r="Y13" s="30">
        <v>0.81275000000000008</v>
      </c>
      <c r="Z13" s="30">
        <v>0.77900000000000003</v>
      </c>
      <c r="AA13" s="24">
        <v>1.05</v>
      </c>
      <c r="AB13" s="24">
        <v>1</v>
      </c>
      <c r="AC13" s="27">
        <v>9</v>
      </c>
      <c r="AD13" s="30">
        <v>0.67978571428571433</v>
      </c>
      <c r="AE13" s="30">
        <v>0.7410000000000001</v>
      </c>
      <c r="AF13" s="24">
        <v>1.05</v>
      </c>
      <c r="AG13" s="24">
        <v>1</v>
      </c>
      <c r="AI13" s="27">
        <v>9</v>
      </c>
      <c r="AJ13" s="24">
        <v>417094</v>
      </c>
      <c r="AK13" s="24">
        <v>501634.58</v>
      </c>
      <c r="AM13" s="27">
        <v>9</v>
      </c>
      <c r="AN13" s="24">
        <v>135876.19999999998</v>
      </c>
      <c r="AO13" s="24">
        <v>157561.57999999999</v>
      </c>
      <c r="AU13" s="27">
        <v>9</v>
      </c>
      <c r="AV13" s="24">
        <v>951.7</v>
      </c>
      <c r="AW13" s="24">
        <v>1037.4000000000001</v>
      </c>
      <c r="AX13" s="24">
        <v>1203.3000000000002</v>
      </c>
      <c r="AY13" s="24">
        <v>1321.875</v>
      </c>
      <c r="BA13" s="27">
        <v>9</v>
      </c>
      <c r="BB13" s="24">
        <v>325.10000000000002</v>
      </c>
      <c r="BC13" s="24">
        <v>311.60000000000002</v>
      </c>
      <c r="BD13" s="24">
        <v>410.04999999999995</v>
      </c>
      <c r="BE13" s="24">
        <v>410.82499999999999</v>
      </c>
    </row>
    <row r="14" spans="24:57" x14ac:dyDescent="0.15">
      <c r="X14" s="27">
        <v>10</v>
      </c>
      <c r="Y14" s="30">
        <v>1.1990000000000001</v>
      </c>
      <c r="Z14" s="30">
        <v>1.1970000000000001</v>
      </c>
      <c r="AA14" s="24">
        <v>1.05</v>
      </c>
      <c r="AB14" s="24">
        <v>1</v>
      </c>
      <c r="AC14" s="27">
        <v>10</v>
      </c>
      <c r="AD14" s="30">
        <v>1.008</v>
      </c>
      <c r="AE14" s="30">
        <v>1.0632142857142857</v>
      </c>
      <c r="AF14" s="24">
        <v>1.05</v>
      </c>
      <c r="AG14" s="24">
        <v>1</v>
      </c>
      <c r="AI14" s="27">
        <v>10</v>
      </c>
      <c r="AJ14" s="24">
        <v>540004.30000000005</v>
      </c>
      <c r="AK14" s="24">
        <v>501634.58</v>
      </c>
      <c r="AM14" s="27">
        <v>10</v>
      </c>
      <c r="AN14" s="24">
        <v>163709.90000000002</v>
      </c>
      <c r="AO14" s="24">
        <v>157561.57999999999</v>
      </c>
      <c r="AU14" s="27">
        <v>10</v>
      </c>
      <c r="AV14" s="24">
        <v>1411.2</v>
      </c>
      <c r="AW14" s="24">
        <v>1488.5</v>
      </c>
      <c r="AX14" s="24">
        <v>1203.3000000000002</v>
      </c>
      <c r="AY14" s="24">
        <v>1321.875</v>
      </c>
      <c r="BA14" s="27">
        <v>10</v>
      </c>
      <c r="BB14" s="24">
        <v>479.6</v>
      </c>
      <c r="BC14" s="24">
        <v>478.8</v>
      </c>
      <c r="BD14" s="24">
        <v>410.04999999999995</v>
      </c>
      <c r="BE14" s="24">
        <v>410.82499999999999</v>
      </c>
    </row>
    <row r="15" spans="24:57" x14ac:dyDescent="0.15">
      <c r="X15" s="27">
        <v>11</v>
      </c>
      <c r="Y15" s="30">
        <v>1.3019999999999998</v>
      </c>
      <c r="Z15" s="30">
        <v>1.2370000000000001</v>
      </c>
      <c r="AA15" s="24">
        <v>1.05</v>
      </c>
      <c r="AB15" s="24">
        <v>1</v>
      </c>
      <c r="AC15" s="27">
        <v>11</v>
      </c>
      <c r="AD15" s="30">
        <v>0.93</v>
      </c>
      <c r="AE15" s="30">
        <v>1.1255714285714284</v>
      </c>
      <c r="AF15" s="24">
        <v>1.05</v>
      </c>
      <c r="AG15" s="24">
        <v>1</v>
      </c>
      <c r="AI15" s="27">
        <v>11</v>
      </c>
      <c r="AJ15" s="24">
        <v>557859.9</v>
      </c>
      <c r="AK15" s="24">
        <v>501634.58</v>
      </c>
      <c r="AM15" s="27">
        <v>11</v>
      </c>
      <c r="AN15" s="24">
        <v>176517.4</v>
      </c>
      <c r="AO15" s="24">
        <v>157561.57999999999</v>
      </c>
      <c r="AU15" s="27">
        <v>11</v>
      </c>
      <c r="AV15" s="24">
        <v>1302</v>
      </c>
      <c r="AW15" s="24">
        <v>1575.8</v>
      </c>
      <c r="AX15" s="24">
        <v>1203.3000000000002</v>
      </c>
      <c r="AY15" s="24">
        <v>1321.875</v>
      </c>
      <c r="BA15" s="27">
        <v>11</v>
      </c>
      <c r="BB15" s="24">
        <v>520.79999999999995</v>
      </c>
      <c r="BC15" s="24">
        <v>494.8</v>
      </c>
      <c r="BD15" s="24">
        <v>410.04999999999995</v>
      </c>
      <c r="BE15" s="24">
        <v>410.82499999999999</v>
      </c>
    </row>
    <row r="16" spans="24:57" x14ac:dyDescent="0.15">
      <c r="X16" s="27">
        <v>12</v>
      </c>
      <c r="Y16" s="30">
        <v>1.23275</v>
      </c>
      <c r="Z16" s="30">
        <v>1.2934999999999999</v>
      </c>
      <c r="AA16" s="24">
        <v>1.05</v>
      </c>
      <c r="AB16" s="24">
        <v>1</v>
      </c>
      <c r="AC16" s="27">
        <v>12</v>
      </c>
      <c r="AD16" s="30">
        <v>0.89942857142857147</v>
      </c>
      <c r="AE16" s="30">
        <v>1.1297857142857144</v>
      </c>
      <c r="AF16" s="24">
        <v>1.05</v>
      </c>
      <c r="AG16" s="24">
        <v>1</v>
      </c>
      <c r="AI16" s="27">
        <v>12</v>
      </c>
      <c r="AJ16" s="24">
        <v>554548.5</v>
      </c>
      <c r="AK16" s="24">
        <v>501634.58</v>
      </c>
      <c r="AM16" s="27">
        <v>12</v>
      </c>
      <c r="AN16" s="24">
        <v>192896.30000000002</v>
      </c>
      <c r="AO16" s="24">
        <v>157561.57999999999</v>
      </c>
      <c r="AU16" s="27">
        <v>12</v>
      </c>
      <c r="AV16" s="24">
        <v>1259.2</v>
      </c>
      <c r="AW16" s="24">
        <v>1581.7</v>
      </c>
      <c r="AX16" s="24">
        <v>1203.3000000000002</v>
      </c>
      <c r="AY16" s="24">
        <v>1321.875</v>
      </c>
      <c r="BA16" s="27">
        <v>12</v>
      </c>
      <c r="BB16" s="24">
        <v>493.1</v>
      </c>
      <c r="BC16" s="24">
        <v>517.4</v>
      </c>
      <c r="BD16" s="24">
        <v>410.04999999999995</v>
      </c>
      <c r="BE16" s="24">
        <v>410.82499999999999</v>
      </c>
    </row>
    <row r="17" spans="2:57" x14ac:dyDescent="0.15">
      <c r="X17" s="26">
        <v>2016</v>
      </c>
      <c r="Y17" s="30">
        <v>1.0560375000000002</v>
      </c>
      <c r="Z17" s="30">
        <v>1.0371583333333332</v>
      </c>
      <c r="AA17" s="24">
        <v>12.600000000000003</v>
      </c>
      <c r="AB17" s="24">
        <v>12</v>
      </c>
      <c r="AC17" s="26">
        <v>2016</v>
      </c>
      <c r="AD17" s="30">
        <v>0.83276140873015869</v>
      </c>
      <c r="AE17" s="30">
        <v>0.92510565476190487</v>
      </c>
      <c r="AF17" s="24">
        <v>12.600000000000003</v>
      </c>
      <c r="AG17" s="24">
        <v>12</v>
      </c>
      <c r="AI17" s="26">
        <v>2016</v>
      </c>
      <c r="AJ17" s="24">
        <v>5545274.3250000002</v>
      </c>
      <c r="AK17" s="24">
        <v>6019614.96</v>
      </c>
      <c r="AM17" s="26">
        <v>2016</v>
      </c>
      <c r="AN17" s="24">
        <v>2194766.4000000004</v>
      </c>
      <c r="AO17" s="24">
        <v>1890738.9600000002</v>
      </c>
      <c r="AU17" s="26">
        <v>2016</v>
      </c>
      <c r="AV17" s="24">
        <v>13990.391666666666</v>
      </c>
      <c r="AW17" s="24">
        <v>15541.775000000001</v>
      </c>
      <c r="AX17" s="24">
        <v>14439.599999999999</v>
      </c>
      <c r="AY17" s="24">
        <v>15862.5</v>
      </c>
      <c r="BA17" s="26">
        <v>2016</v>
      </c>
      <c r="BB17" s="24">
        <v>5839.6</v>
      </c>
      <c r="BC17" s="24">
        <v>5721.7000000000007</v>
      </c>
      <c r="BD17" s="24">
        <v>4920.6000000000013</v>
      </c>
      <c r="BE17" s="24">
        <v>4929.8999999999987</v>
      </c>
    </row>
    <row r="18" spans="2:57" x14ac:dyDescent="0.15">
      <c r="X18" s="27">
        <v>1</v>
      </c>
      <c r="Y18" s="30">
        <v>1.05</v>
      </c>
      <c r="Z18" s="30">
        <v>1.1465000000000001</v>
      </c>
      <c r="AA18" s="24">
        <v>1.05</v>
      </c>
      <c r="AB18" s="24">
        <v>1</v>
      </c>
      <c r="AC18" s="27">
        <v>1</v>
      </c>
      <c r="AD18" s="30">
        <v>0.73921428571428582</v>
      </c>
      <c r="AE18" s="30">
        <v>0.90357142857142858</v>
      </c>
      <c r="AF18" s="24">
        <v>1.05</v>
      </c>
      <c r="AG18" s="24">
        <v>1</v>
      </c>
      <c r="AI18" s="27">
        <v>1</v>
      </c>
      <c r="AJ18" s="24">
        <v>412125.19999999995</v>
      </c>
      <c r="AK18" s="24">
        <v>501634.58</v>
      </c>
      <c r="AM18" s="27">
        <v>1</v>
      </c>
      <c r="AN18" s="24">
        <v>164022.20000000001</v>
      </c>
      <c r="AO18" s="24">
        <v>157561.57999999999</v>
      </c>
      <c r="AU18" s="27">
        <v>1</v>
      </c>
      <c r="AV18" s="24">
        <v>1034.9000000000001</v>
      </c>
      <c r="AW18" s="24">
        <v>1265</v>
      </c>
      <c r="AX18" s="24">
        <v>1203.3000000000002</v>
      </c>
      <c r="AY18" s="24">
        <v>1321.875</v>
      </c>
      <c r="BA18" s="27">
        <v>1</v>
      </c>
      <c r="BB18" s="24">
        <v>420</v>
      </c>
      <c r="BC18" s="24">
        <v>458.6</v>
      </c>
      <c r="BD18" s="24">
        <v>410.04999999999995</v>
      </c>
      <c r="BE18" s="24">
        <v>410.82499999999999</v>
      </c>
    </row>
    <row r="19" spans="2:57" x14ac:dyDescent="0.15">
      <c r="X19" s="27">
        <v>2</v>
      </c>
      <c r="Y19" s="30">
        <v>0.85675000000000001</v>
      </c>
      <c r="Z19" s="30">
        <v>1.07725</v>
      </c>
      <c r="AA19" s="24">
        <v>1.05</v>
      </c>
      <c r="AB19" s="24">
        <v>1</v>
      </c>
      <c r="AC19" s="27">
        <v>2</v>
      </c>
      <c r="AD19" s="30">
        <v>0.85857142857142854</v>
      </c>
      <c r="AE19" s="30">
        <v>1.0385714285714285</v>
      </c>
      <c r="AF19" s="24">
        <v>1.05</v>
      </c>
      <c r="AG19" s="24">
        <v>1</v>
      </c>
      <c r="AI19" s="27">
        <v>2</v>
      </c>
      <c r="AJ19" s="24">
        <v>451562.2</v>
      </c>
      <c r="AK19" s="24">
        <v>501634.58</v>
      </c>
      <c r="AM19" s="27">
        <v>2</v>
      </c>
      <c r="AN19" s="24">
        <v>179708.9</v>
      </c>
      <c r="AO19" s="24">
        <v>157561.57999999999</v>
      </c>
      <c r="AU19" s="27">
        <v>2</v>
      </c>
      <c r="AV19" s="24">
        <v>1202</v>
      </c>
      <c r="AW19" s="24">
        <v>1454</v>
      </c>
      <c r="AX19" s="24">
        <v>1203.3000000000002</v>
      </c>
      <c r="AY19" s="24">
        <v>1321.875</v>
      </c>
      <c r="BA19" s="27">
        <v>2</v>
      </c>
      <c r="BB19" s="24">
        <v>342.7</v>
      </c>
      <c r="BC19" s="24">
        <v>430.9</v>
      </c>
      <c r="BD19" s="24">
        <v>410.04999999999995</v>
      </c>
      <c r="BE19" s="24">
        <v>410.82499999999999</v>
      </c>
    </row>
    <row r="20" spans="2:57" x14ac:dyDescent="0.15">
      <c r="X20" s="27">
        <v>3</v>
      </c>
      <c r="Y20" s="30">
        <v>1.5245</v>
      </c>
      <c r="Z20" s="30">
        <v>1.39225</v>
      </c>
      <c r="AA20" s="24">
        <v>1.05</v>
      </c>
      <c r="AB20" s="24">
        <v>1</v>
      </c>
      <c r="AC20" s="27">
        <v>3</v>
      </c>
      <c r="AD20" s="30">
        <v>0.94321428571428567</v>
      </c>
      <c r="AE20" s="30">
        <v>1.0524285714285715</v>
      </c>
      <c r="AF20" s="24">
        <v>1.05</v>
      </c>
      <c r="AG20" s="24">
        <v>1</v>
      </c>
      <c r="AI20" s="27">
        <v>3</v>
      </c>
      <c r="AJ20" s="24">
        <v>517997.3</v>
      </c>
      <c r="AK20" s="24">
        <v>501634.58</v>
      </c>
      <c r="AM20" s="27">
        <v>3</v>
      </c>
      <c r="AN20" s="24">
        <v>198258.3</v>
      </c>
      <c r="AO20" s="24">
        <v>157561.57999999999</v>
      </c>
      <c r="AU20" s="27">
        <v>3</v>
      </c>
      <c r="AV20" s="24">
        <v>1320.5</v>
      </c>
      <c r="AW20" s="24">
        <v>1473.4</v>
      </c>
      <c r="AX20" s="24">
        <v>1203.3000000000002</v>
      </c>
      <c r="AY20" s="24">
        <v>1321.875</v>
      </c>
      <c r="BA20" s="27">
        <v>3</v>
      </c>
      <c r="BB20" s="24">
        <v>609.79999999999995</v>
      </c>
      <c r="BC20" s="24">
        <v>556.9</v>
      </c>
      <c r="BD20" s="24">
        <v>410.04999999999995</v>
      </c>
      <c r="BE20" s="24">
        <v>410.82499999999999</v>
      </c>
    </row>
    <row r="21" spans="2:57" x14ac:dyDescent="0.15">
      <c r="X21" s="27">
        <v>4</v>
      </c>
      <c r="Y21" s="30">
        <v>1.5349999999999999</v>
      </c>
      <c r="Z21" s="30">
        <v>1.3965000000000001</v>
      </c>
      <c r="AA21" s="24">
        <v>1.05</v>
      </c>
      <c r="AB21" s="24">
        <v>1</v>
      </c>
      <c r="AC21" s="27">
        <v>4</v>
      </c>
      <c r="AD21" s="30">
        <v>0.96957142857142864</v>
      </c>
      <c r="AE21" s="30">
        <v>1.0589999999999999</v>
      </c>
      <c r="AF21" s="24">
        <v>1.05</v>
      </c>
      <c r="AG21" s="24">
        <v>1</v>
      </c>
      <c r="AI21" s="27">
        <v>4</v>
      </c>
      <c r="AJ21" s="24">
        <v>564132.9</v>
      </c>
      <c r="AK21" s="24">
        <v>501634.58</v>
      </c>
      <c r="AM21" s="27">
        <v>4</v>
      </c>
      <c r="AN21" s="24">
        <v>225484.5</v>
      </c>
      <c r="AO21" s="24">
        <v>157561.57999999999</v>
      </c>
      <c r="AU21" s="27">
        <v>4</v>
      </c>
      <c r="AV21" s="24">
        <v>1357.4</v>
      </c>
      <c r="AW21" s="24">
        <v>1482.6</v>
      </c>
      <c r="AX21" s="24">
        <v>1203.3000000000002</v>
      </c>
      <c r="AY21" s="24">
        <v>1321.875</v>
      </c>
      <c r="BA21" s="27">
        <v>4</v>
      </c>
      <c r="BB21" s="24">
        <v>614</v>
      </c>
      <c r="BC21" s="24">
        <v>558.6</v>
      </c>
      <c r="BD21" s="24">
        <v>410.04999999999995</v>
      </c>
      <c r="BE21" s="24">
        <v>410.82499999999999</v>
      </c>
    </row>
    <row r="22" spans="2:57" x14ac:dyDescent="0.15">
      <c r="X22" s="27">
        <v>5</v>
      </c>
      <c r="Y22" s="30">
        <v>1.2886</v>
      </c>
      <c r="Z22" s="30">
        <v>1.2565999999999999</v>
      </c>
      <c r="AA22" s="24">
        <v>1.05</v>
      </c>
      <c r="AB22" s="24">
        <v>1</v>
      </c>
      <c r="AC22" s="27">
        <v>5</v>
      </c>
      <c r="AD22" s="30">
        <v>1.0277857142857143</v>
      </c>
      <c r="AE22" s="30">
        <v>1.0752142857142857</v>
      </c>
      <c r="AF22" s="24">
        <v>1.05</v>
      </c>
      <c r="AG22" s="24">
        <v>1</v>
      </c>
      <c r="AI22" s="27">
        <v>5</v>
      </c>
      <c r="AJ22" s="24">
        <v>503165.5</v>
      </c>
      <c r="AK22" s="24">
        <v>501634.58</v>
      </c>
      <c r="AM22" s="27">
        <v>5</v>
      </c>
      <c r="AN22" s="24">
        <v>193972.19999999998</v>
      </c>
      <c r="AO22" s="24">
        <v>157561.57999999999</v>
      </c>
      <c r="AU22" s="27">
        <v>5</v>
      </c>
      <c r="AV22" s="24">
        <v>1438.9</v>
      </c>
      <c r="AW22" s="24">
        <v>1505.3</v>
      </c>
      <c r="AX22" s="24">
        <v>1203.3000000000002</v>
      </c>
      <c r="AY22" s="24">
        <v>1321.875</v>
      </c>
      <c r="BA22" s="27">
        <v>5</v>
      </c>
      <c r="BB22" s="24">
        <v>644.29999999999995</v>
      </c>
      <c r="BC22" s="24">
        <v>628.29999999999995</v>
      </c>
      <c r="BD22" s="24">
        <v>410.04999999999995</v>
      </c>
      <c r="BE22" s="24">
        <v>410.82499999999999</v>
      </c>
    </row>
    <row r="23" spans="2:57" x14ac:dyDescent="0.15">
      <c r="X23" s="27">
        <v>6</v>
      </c>
      <c r="Y23" s="30">
        <v>0.89379999999999993</v>
      </c>
      <c r="Z23" s="30">
        <v>0.78800000000000003</v>
      </c>
      <c r="AA23" s="24">
        <v>1.05</v>
      </c>
      <c r="AB23" s="24">
        <v>1</v>
      </c>
      <c r="AC23" s="27">
        <v>6</v>
      </c>
      <c r="AD23" s="30">
        <v>0.68878571428571422</v>
      </c>
      <c r="AE23" s="30">
        <v>0.74578571428571427</v>
      </c>
      <c r="AF23" s="24">
        <v>1.05</v>
      </c>
      <c r="AG23" s="24">
        <v>1</v>
      </c>
      <c r="AI23" s="27">
        <v>6</v>
      </c>
      <c r="AJ23" s="24">
        <v>409225.5</v>
      </c>
      <c r="AK23" s="24">
        <v>501634.58</v>
      </c>
      <c r="AM23" s="27">
        <v>6</v>
      </c>
      <c r="AN23" s="24">
        <v>174861.3</v>
      </c>
      <c r="AO23" s="24">
        <v>157561.57999999999</v>
      </c>
      <c r="AU23" s="27">
        <v>6</v>
      </c>
      <c r="AV23" s="24">
        <v>964.3</v>
      </c>
      <c r="AW23" s="24">
        <v>1044.0999999999999</v>
      </c>
      <c r="AX23" s="24">
        <v>1203.3000000000002</v>
      </c>
      <c r="AY23" s="24">
        <v>1321.875</v>
      </c>
      <c r="BA23" s="27">
        <v>6</v>
      </c>
      <c r="BB23" s="24">
        <v>446.9</v>
      </c>
      <c r="BC23" s="24">
        <v>394</v>
      </c>
      <c r="BD23" s="24">
        <v>410.04999999999995</v>
      </c>
      <c r="BE23" s="24">
        <v>410.82499999999999</v>
      </c>
    </row>
    <row r="24" spans="2:57" x14ac:dyDescent="0.15">
      <c r="B24" s="46"/>
      <c r="X24" s="27">
        <v>7</v>
      </c>
      <c r="Y24" s="30">
        <v>0.91900000000000004</v>
      </c>
      <c r="Z24" s="30">
        <v>0.80800000000000005</v>
      </c>
      <c r="AA24" s="24">
        <v>1.05</v>
      </c>
      <c r="AB24" s="24">
        <v>1</v>
      </c>
      <c r="AC24" s="27">
        <v>7</v>
      </c>
      <c r="AD24" s="30">
        <v>0.68878571428571422</v>
      </c>
      <c r="AE24" s="30">
        <v>0.74578571428571427</v>
      </c>
      <c r="AF24" s="24">
        <v>1.05</v>
      </c>
      <c r="AG24" s="24">
        <v>1</v>
      </c>
      <c r="AI24" s="27">
        <v>7</v>
      </c>
      <c r="AJ24" s="24">
        <v>491719.92500000005</v>
      </c>
      <c r="AK24" s="24">
        <v>501634.58</v>
      </c>
      <c r="AM24" s="27">
        <v>7</v>
      </c>
      <c r="AN24" s="24">
        <v>189885.8</v>
      </c>
      <c r="AO24" s="24">
        <v>157561.57999999999</v>
      </c>
      <c r="AU24" s="27">
        <v>7</v>
      </c>
      <c r="AV24" s="24">
        <v>964.3</v>
      </c>
      <c r="AW24" s="24">
        <v>1044.0999999999999</v>
      </c>
      <c r="AX24" s="24">
        <v>1203.3000000000002</v>
      </c>
      <c r="AY24" s="24">
        <v>1321.875</v>
      </c>
      <c r="BA24" s="27">
        <v>7</v>
      </c>
      <c r="BB24" s="24">
        <v>459.5</v>
      </c>
      <c r="BC24" s="24">
        <v>404</v>
      </c>
      <c r="BD24" s="24">
        <v>410.04999999999995</v>
      </c>
      <c r="BE24" s="24">
        <v>410.82499999999999</v>
      </c>
    </row>
    <row r="25" spans="2:57" x14ac:dyDescent="0.15">
      <c r="X25" s="27">
        <v>8</v>
      </c>
      <c r="Y25" s="30">
        <v>0.96939999999999993</v>
      </c>
      <c r="Z25" s="30">
        <v>0.9</v>
      </c>
      <c r="AA25" s="24">
        <v>1.05</v>
      </c>
      <c r="AB25" s="24">
        <v>1</v>
      </c>
      <c r="AC25" s="27">
        <v>8</v>
      </c>
      <c r="AD25" s="30">
        <v>0.70742857142857141</v>
      </c>
      <c r="AE25" s="30">
        <v>0.72657142857142865</v>
      </c>
      <c r="AF25" s="24">
        <v>1.05</v>
      </c>
      <c r="AG25" s="24">
        <v>1</v>
      </c>
      <c r="AI25" s="27">
        <v>8</v>
      </c>
      <c r="AJ25" s="24">
        <v>437818.1</v>
      </c>
      <c r="AK25" s="24">
        <v>501634.58</v>
      </c>
      <c r="AM25" s="27">
        <v>8</v>
      </c>
      <c r="AN25" s="24">
        <v>172151.1</v>
      </c>
      <c r="AO25" s="24">
        <v>157561.57999999999</v>
      </c>
      <c r="AU25" s="27">
        <v>8</v>
      </c>
      <c r="AV25" s="24">
        <v>990.4</v>
      </c>
      <c r="AW25" s="24">
        <v>1017.2</v>
      </c>
      <c r="AX25" s="24">
        <v>1203.3000000000002</v>
      </c>
      <c r="AY25" s="24">
        <v>1321.875</v>
      </c>
      <c r="BA25" s="27">
        <v>8</v>
      </c>
      <c r="BB25" s="24">
        <v>484.7</v>
      </c>
      <c r="BC25" s="24">
        <v>450</v>
      </c>
      <c r="BD25" s="24">
        <v>410.04999999999995</v>
      </c>
      <c r="BE25" s="24">
        <v>410.82499999999999</v>
      </c>
    </row>
    <row r="26" spans="2:57" x14ac:dyDescent="0.15">
      <c r="X26" s="27">
        <v>9</v>
      </c>
      <c r="Y26" s="30">
        <v>0.85339999999999994</v>
      </c>
      <c r="Z26" s="30">
        <v>0.78460000000000008</v>
      </c>
      <c r="AA26" s="24">
        <v>1.05</v>
      </c>
      <c r="AB26" s="24">
        <v>1</v>
      </c>
      <c r="AC26" s="27">
        <v>9</v>
      </c>
      <c r="AD26" s="30">
        <v>0.70742857142857141</v>
      </c>
      <c r="AE26" s="30">
        <v>0.72657142857142865</v>
      </c>
      <c r="AF26" s="24">
        <v>1.05</v>
      </c>
      <c r="AG26" s="24">
        <v>1</v>
      </c>
      <c r="AI26" s="27">
        <v>9</v>
      </c>
      <c r="AJ26" s="24">
        <v>488741.9</v>
      </c>
      <c r="AK26" s="24">
        <v>501634.58</v>
      </c>
      <c r="AM26" s="27">
        <v>9</v>
      </c>
      <c r="AN26" s="24">
        <v>172827.1</v>
      </c>
      <c r="AO26" s="24">
        <v>157561.57999999999</v>
      </c>
      <c r="AU26" s="27">
        <v>9</v>
      </c>
      <c r="AV26" s="24">
        <v>990.4</v>
      </c>
      <c r="AW26" s="24">
        <v>1017.2</v>
      </c>
      <c r="AX26" s="24">
        <v>1203.3000000000002</v>
      </c>
      <c r="AY26" s="24">
        <v>1321.875</v>
      </c>
      <c r="BA26" s="27">
        <v>9</v>
      </c>
      <c r="BB26" s="24">
        <v>426.7</v>
      </c>
      <c r="BC26" s="24">
        <v>392.3</v>
      </c>
      <c r="BD26" s="24">
        <v>410.04999999999995</v>
      </c>
      <c r="BE26" s="24">
        <v>410.82499999999999</v>
      </c>
    </row>
    <row r="27" spans="2:57" x14ac:dyDescent="0.15">
      <c r="X27" s="27">
        <v>10</v>
      </c>
      <c r="Y27" s="30">
        <v>0.81640000000000001</v>
      </c>
      <c r="Z27" s="30">
        <v>0.76939999999999997</v>
      </c>
      <c r="AA27" s="24">
        <v>1.05</v>
      </c>
      <c r="AB27" s="24">
        <v>1</v>
      </c>
      <c r="AC27" s="27">
        <v>10</v>
      </c>
      <c r="AD27" s="30">
        <v>0.84735119047619023</v>
      </c>
      <c r="AE27" s="30">
        <v>0.94933928571428572</v>
      </c>
      <c r="AF27" s="24">
        <v>1.05</v>
      </c>
      <c r="AG27" s="24">
        <v>1</v>
      </c>
      <c r="AI27" s="27">
        <v>10</v>
      </c>
      <c r="AJ27" s="24">
        <v>341791.8</v>
      </c>
      <c r="AK27" s="24">
        <v>501634.58</v>
      </c>
      <c r="AM27" s="27">
        <v>10</v>
      </c>
      <c r="AN27" s="24">
        <v>160824.30000000002</v>
      </c>
      <c r="AO27" s="24">
        <v>157561.57999999999</v>
      </c>
      <c r="AU27" s="27">
        <v>10</v>
      </c>
      <c r="AV27" s="24">
        <v>1186.2916666666663</v>
      </c>
      <c r="AW27" s="24">
        <v>1329.075</v>
      </c>
      <c r="AX27" s="24">
        <v>1203.3000000000002</v>
      </c>
      <c r="AY27" s="24">
        <v>1321.875</v>
      </c>
      <c r="BA27" s="27">
        <v>10</v>
      </c>
      <c r="BB27" s="24">
        <v>408.2</v>
      </c>
      <c r="BC27" s="24">
        <v>384.7</v>
      </c>
      <c r="BD27" s="24">
        <v>410.04999999999995</v>
      </c>
      <c r="BE27" s="24">
        <v>410.82499999999999</v>
      </c>
    </row>
    <row r="28" spans="2:57" x14ac:dyDescent="0.15">
      <c r="X28" s="27">
        <v>11</v>
      </c>
      <c r="Y28" s="30">
        <v>1.1155999999999999</v>
      </c>
      <c r="Z28" s="30">
        <v>1.1592</v>
      </c>
      <c r="AA28" s="24">
        <v>1.05</v>
      </c>
      <c r="AB28" s="24">
        <v>1</v>
      </c>
      <c r="AC28" s="27">
        <v>11</v>
      </c>
      <c r="AD28" s="30">
        <v>0.98100000000000009</v>
      </c>
      <c r="AE28" s="30">
        <v>1.161</v>
      </c>
      <c r="AF28" s="24">
        <v>1.05</v>
      </c>
      <c r="AG28" s="24">
        <v>1</v>
      </c>
      <c r="AI28" s="27">
        <v>11</v>
      </c>
      <c r="AJ28" s="24">
        <v>477674.8</v>
      </c>
      <c r="AK28" s="24">
        <v>501634.58</v>
      </c>
      <c r="AM28" s="27">
        <v>11</v>
      </c>
      <c r="AN28" s="24">
        <v>189780.69999999998</v>
      </c>
      <c r="AO28" s="24">
        <v>157561.57999999999</v>
      </c>
      <c r="AU28" s="27">
        <v>11</v>
      </c>
      <c r="AV28" s="24">
        <v>1373.4</v>
      </c>
      <c r="AW28" s="24">
        <v>1625.4</v>
      </c>
      <c r="AX28" s="24">
        <v>1203.3000000000002</v>
      </c>
      <c r="AY28" s="24">
        <v>1321.875</v>
      </c>
      <c r="BA28" s="27">
        <v>11</v>
      </c>
      <c r="BB28" s="24">
        <v>557.79999999999995</v>
      </c>
      <c r="BC28" s="24">
        <v>579.6</v>
      </c>
      <c r="BD28" s="24">
        <v>410.04999999999995</v>
      </c>
      <c r="BE28" s="24">
        <v>410.82499999999999</v>
      </c>
    </row>
    <row r="29" spans="2:57" x14ac:dyDescent="0.15">
      <c r="X29" s="27">
        <v>12</v>
      </c>
      <c r="Y29" s="30">
        <v>0.85</v>
      </c>
      <c r="Z29" s="30">
        <v>0.96760000000000002</v>
      </c>
      <c r="AA29" s="24">
        <v>1.05</v>
      </c>
      <c r="AB29" s="24">
        <v>1</v>
      </c>
      <c r="AC29" s="27">
        <v>12</v>
      </c>
      <c r="AD29" s="30">
        <v>0.83399999999999996</v>
      </c>
      <c r="AE29" s="30">
        <v>0.91742857142857148</v>
      </c>
      <c r="AF29" s="24">
        <v>1.05</v>
      </c>
      <c r="AG29" s="24">
        <v>1</v>
      </c>
      <c r="AI29" s="27">
        <v>12</v>
      </c>
      <c r="AJ29" s="24">
        <v>449319.2</v>
      </c>
      <c r="AK29" s="24">
        <v>501634.58</v>
      </c>
      <c r="AM29" s="27">
        <v>12</v>
      </c>
      <c r="AN29" s="24">
        <v>172990</v>
      </c>
      <c r="AO29" s="24">
        <v>157561.57999999999</v>
      </c>
      <c r="AU29" s="27">
        <v>12</v>
      </c>
      <c r="AV29" s="24">
        <v>1167.5999999999999</v>
      </c>
      <c r="AW29" s="24">
        <v>1284.4000000000001</v>
      </c>
      <c r="AX29" s="24">
        <v>1203.3000000000002</v>
      </c>
      <c r="AY29" s="24">
        <v>1321.875</v>
      </c>
      <c r="BA29" s="27">
        <v>12</v>
      </c>
      <c r="BB29" s="24">
        <v>425</v>
      </c>
      <c r="BC29" s="24">
        <v>483.8</v>
      </c>
      <c r="BD29" s="24">
        <v>410.04999999999995</v>
      </c>
      <c r="BE29" s="24">
        <v>410.82499999999999</v>
      </c>
    </row>
    <row r="30" spans="2:57" x14ac:dyDescent="0.15">
      <c r="X30" s="26">
        <v>2017</v>
      </c>
      <c r="Y30" s="30">
        <v>0.85723333333333329</v>
      </c>
      <c r="Z30" s="30">
        <v>0.87008333333333321</v>
      </c>
      <c r="AA30" s="24">
        <v>12.600000000000003</v>
      </c>
      <c r="AB30" s="24">
        <v>12</v>
      </c>
      <c r="AC30" s="26">
        <v>2017</v>
      </c>
      <c r="AD30" s="30">
        <v>0.85615476190476203</v>
      </c>
      <c r="AE30" s="30">
        <v>0.93795238095238087</v>
      </c>
      <c r="AF30" s="24">
        <v>12.600000000000003</v>
      </c>
      <c r="AG30" s="24">
        <v>12</v>
      </c>
      <c r="AI30" s="26">
        <v>2017</v>
      </c>
      <c r="AJ30" s="24">
        <v>6120535.5599999996</v>
      </c>
      <c r="AK30" s="24">
        <v>6019614.96</v>
      </c>
      <c r="AM30" s="26">
        <v>2017</v>
      </c>
      <c r="AN30" s="24">
        <v>2068333.95</v>
      </c>
      <c r="AO30" s="24">
        <v>1890738.9600000002</v>
      </c>
      <c r="AU30" s="26">
        <v>2017</v>
      </c>
      <c r="AV30" s="24">
        <v>14383.400000000003</v>
      </c>
      <c r="AW30" s="24">
        <v>15757.599999999999</v>
      </c>
      <c r="AX30" s="24">
        <v>14439.599999999999</v>
      </c>
      <c r="AY30" s="24">
        <v>15862.5</v>
      </c>
      <c r="BA30" s="26">
        <v>2017</v>
      </c>
      <c r="BB30" s="24">
        <v>5143.4000000000005</v>
      </c>
      <c r="BC30" s="24">
        <v>5220.5000000000009</v>
      </c>
      <c r="BD30" s="24">
        <v>4920.6000000000013</v>
      </c>
      <c r="BE30" s="24">
        <v>4929.8999999999987</v>
      </c>
    </row>
    <row r="31" spans="2:57" x14ac:dyDescent="0.15">
      <c r="X31" s="27">
        <v>1</v>
      </c>
      <c r="Y31" s="30">
        <v>0.77279999999999993</v>
      </c>
      <c r="Z31" s="30">
        <v>0.88879999999999992</v>
      </c>
      <c r="AA31" s="24">
        <v>1.05</v>
      </c>
      <c r="AB31" s="24">
        <v>1</v>
      </c>
      <c r="AC31" s="27">
        <v>1</v>
      </c>
      <c r="AD31" s="30">
        <v>0.83399999999999996</v>
      </c>
      <c r="AE31" s="30">
        <v>0.91742857142857148</v>
      </c>
      <c r="AF31" s="24">
        <v>1.05</v>
      </c>
      <c r="AG31" s="24">
        <v>1</v>
      </c>
      <c r="AI31" s="27">
        <v>1</v>
      </c>
      <c r="AJ31" s="24">
        <v>449319.15</v>
      </c>
      <c r="AK31" s="24">
        <v>501634.58</v>
      </c>
      <c r="AM31" s="27">
        <v>1</v>
      </c>
      <c r="AN31" s="24">
        <v>167798.2</v>
      </c>
      <c r="AO31" s="24">
        <v>157561.57999999999</v>
      </c>
      <c r="AU31" s="27">
        <v>1</v>
      </c>
      <c r="AV31" s="24">
        <v>1167.5999999999999</v>
      </c>
      <c r="AW31" s="24">
        <v>1284.4000000000001</v>
      </c>
      <c r="AX31" s="24">
        <v>1203.3000000000002</v>
      </c>
      <c r="AY31" s="24">
        <v>1321.875</v>
      </c>
      <c r="BA31" s="27">
        <v>1</v>
      </c>
      <c r="BB31" s="24">
        <v>386.4</v>
      </c>
      <c r="BC31" s="24">
        <v>444.4</v>
      </c>
      <c r="BD31" s="24">
        <v>410.04999999999995</v>
      </c>
      <c r="BE31" s="24">
        <v>410.82499999999999</v>
      </c>
    </row>
    <row r="32" spans="2:57" x14ac:dyDescent="0.15">
      <c r="X32" s="27">
        <v>2</v>
      </c>
      <c r="Y32" s="30">
        <v>0.91400000000000003</v>
      </c>
      <c r="Z32" s="30">
        <v>1.0045999999999999</v>
      </c>
      <c r="AA32" s="24">
        <v>1.05</v>
      </c>
      <c r="AB32" s="24">
        <v>1</v>
      </c>
      <c r="AC32" s="27">
        <v>2</v>
      </c>
      <c r="AD32" s="30">
        <v>0.67442857142857149</v>
      </c>
      <c r="AE32" s="30">
        <v>0.82800000000000007</v>
      </c>
      <c r="AF32" s="24">
        <v>1.05</v>
      </c>
      <c r="AG32" s="24">
        <v>1</v>
      </c>
      <c r="AI32" s="27">
        <v>2</v>
      </c>
      <c r="AJ32" s="24">
        <v>473453.82</v>
      </c>
      <c r="AK32" s="24">
        <v>501634.58</v>
      </c>
      <c r="AM32" s="27">
        <v>2</v>
      </c>
      <c r="AN32" s="24">
        <v>194792.43</v>
      </c>
      <c r="AO32" s="24">
        <v>157561.57999999999</v>
      </c>
      <c r="AU32" s="27">
        <v>2</v>
      </c>
      <c r="AV32" s="24">
        <v>944.2</v>
      </c>
      <c r="AW32" s="24">
        <v>1159.2</v>
      </c>
      <c r="AX32" s="24">
        <v>1203.3000000000002</v>
      </c>
      <c r="AY32" s="24">
        <v>1321.875</v>
      </c>
      <c r="BA32" s="27">
        <v>2</v>
      </c>
      <c r="BB32" s="24">
        <v>457</v>
      </c>
      <c r="BC32" s="24">
        <v>502.3</v>
      </c>
      <c r="BD32" s="24">
        <v>410.04999999999995</v>
      </c>
      <c r="BE32" s="24">
        <v>410.82499999999999</v>
      </c>
    </row>
    <row r="33" spans="24:57" x14ac:dyDescent="0.15">
      <c r="X33" s="27">
        <v>3</v>
      </c>
      <c r="Y33" s="30">
        <v>1.1355999999999999</v>
      </c>
      <c r="Z33" s="30">
        <v>1.1474000000000002</v>
      </c>
      <c r="AA33" s="24">
        <v>1.05</v>
      </c>
      <c r="AB33" s="24">
        <v>1</v>
      </c>
      <c r="AC33" s="27">
        <v>3</v>
      </c>
      <c r="AD33" s="30">
        <v>0.99057142857142855</v>
      </c>
      <c r="AE33" s="30">
        <v>1.1435714285714285</v>
      </c>
      <c r="AF33" s="24">
        <v>1.05</v>
      </c>
      <c r="AG33" s="24">
        <v>1</v>
      </c>
      <c r="AI33" s="27">
        <v>3</v>
      </c>
      <c r="AJ33" s="24">
        <v>602113.47</v>
      </c>
      <c r="AK33" s="24">
        <v>501634.58</v>
      </c>
      <c r="AM33" s="27">
        <v>3</v>
      </c>
      <c r="AN33" s="24">
        <v>220635.24</v>
      </c>
      <c r="AO33" s="24">
        <v>157561.57999999999</v>
      </c>
      <c r="AU33" s="27">
        <v>3</v>
      </c>
      <c r="AV33" s="24">
        <v>1386.8</v>
      </c>
      <c r="AW33" s="24">
        <v>1601</v>
      </c>
      <c r="AX33" s="24">
        <v>1203.3000000000002</v>
      </c>
      <c r="AY33" s="24">
        <v>1321.875</v>
      </c>
      <c r="BA33" s="27">
        <v>3</v>
      </c>
      <c r="BB33" s="24">
        <v>567.79999999999995</v>
      </c>
      <c r="BC33" s="24">
        <v>573.70000000000005</v>
      </c>
      <c r="BD33" s="24">
        <v>410.04999999999995</v>
      </c>
      <c r="BE33" s="24">
        <v>410.82499999999999</v>
      </c>
    </row>
    <row r="34" spans="24:57" x14ac:dyDescent="0.15">
      <c r="X34" s="27">
        <v>4</v>
      </c>
      <c r="Y34" s="30">
        <v>0.96099999999999997</v>
      </c>
      <c r="Z34" s="30">
        <v>1.0129999999999999</v>
      </c>
      <c r="AA34" s="24">
        <v>1.05</v>
      </c>
      <c r="AB34" s="24">
        <v>1</v>
      </c>
      <c r="AC34" s="27">
        <v>4</v>
      </c>
      <c r="AD34" s="30">
        <v>0.98699999999999999</v>
      </c>
      <c r="AE34" s="30">
        <v>1.0835714285714286</v>
      </c>
      <c r="AF34" s="24">
        <v>1.05</v>
      </c>
      <c r="AG34" s="24">
        <v>1</v>
      </c>
      <c r="AI34" s="27">
        <v>4</v>
      </c>
      <c r="AJ34" s="24">
        <v>603450.32999999996</v>
      </c>
      <c r="AK34" s="24">
        <v>501634.58</v>
      </c>
      <c r="AM34" s="27">
        <v>4</v>
      </c>
      <c r="AN34" s="24">
        <v>196115.22</v>
      </c>
      <c r="AO34" s="24">
        <v>157561.57999999999</v>
      </c>
      <c r="AU34" s="27">
        <v>4</v>
      </c>
      <c r="AV34" s="24">
        <v>1381.8</v>
      </c>
      <c r="AW34" s="24">
        <v>1517</v>
      </c>
      <c r="AX34" s="24">
        <v>1203.3000000000002</v>
      </c>
      <c r="AY34" s="24">
        <v>1321.875</v>
      </c>
      <c r="BA34" s="27">
        <v>4</v>
      </c>
      <c r="BB34" s="24">
        <v>480.5</v>
      </c>
      <c r="BC34" s="24">
        <v>506.5</v>
      </c>
      <c r="BD34" s="24">
        <v>410.04999999999995</v>
      </c>
      <c r="BE34" s="24">
        <v>410.82499999999999</v>
      </c>
    </row>
    <row r="35" spans="24:57" x14ac:dyDescent="0.15">
      <c r="X35" s="27">
        <v>5</v>
      </c>
      <c r="Y35" s="30">
        <v>0.90379999999999994</v>
      </c>
      <c r="Z35" s="30">
        <v>0.79959999999999998</v>
      </c>
      <c r="AA35" s="24">
        <v>1.05</v>
      </c>
      <c r="AB35" s="24">
        <v>1</v>
      </c>
      <c r="AC35" s="27">
        <v>5</v>
      </c>
      <c r="AD35" s="30">
        <v>0.92278571428571432</v>
      </c>
      <c r="AE35" s="30">
        <v>1.0224285714285715</v>
      </c>
      <c r="AF35" s="24">
        <v>1.05</v>
      </c>
      <c r="AG35" s="24">
        <v>1</v>
      </c>
      <c r="AI35" s="27">
        <v>5</v>
      </c>
      <c r="AJ35" s="24">
        <v>528714.48</v>
      </c>
      <c r="AK35" s="24">
        <v>501634.58</v>
      </c>
      <c r="AM35" s="27">
        <v>5</v>
      </c>
      <c r="AN35" s="24">
        <v>154706.16</v>
      </c>
      <c r="AO35" s="24">
        <v>157561.57999999999</v>
      </c>
      <c r="AU35" s="27">
        <v>5</v>
      </c>
      <c r="AV35" s="24">
        <v>1291.9000000000001</v>
      </c>
      <c r="AW35" s="24">
        <v>1431.4</v>
      </c>
      <c r="AX35" s="24">
        <v>1203.3000000000002</v>
      </c>
      <c r="AY35" s="24">
        <v>1321.875</v>
      </c>
      <c r="BA35" s="27">
        <v>5</v>
      </c>
      <c r="BB35" s="24">
        <v>451.9</v>
      </c>
      <c r="BC35" s="24">
        <v>399.8</v>
      </c>
      <c r="BD35" s="24">
        <v>410.04999999999995</v>
      </c>
      <c r="BE35" s="24">
        <v>410.82499999999999</v>
      </c>
    </row>
    <row r="36" spans="24:57" x14ac:dyDescent="0.15">
      <c r="X36" s="27">
        <v>6</v>
      </c>
      <c r="Y36" s="30">
        <v>0.82820000000000005</v>
      </c>
      <c r="Z36" s="30">
        <v>0.8216</v>
      </c>
      <c r="AA36" s="24">
        <v>1.05</v>
      </c>
      <c r="AB36" s="24">
        <v>1</v>
      </c>
      <c r="AC36" s="27">
        <v>6</v>
      </c>
      <c r="AD36" s="30">
        <v>0.8304285714285714</v>
      </c>
      <c r="AE36" s="30">
        <v>0.83100000000000007</v>
      </c>
      <c r="AF36" s="24">
        <v>1.05</v>
      </c>
      <c r="AG36" s="24">
        <v>1</v>
      </c>
      <c r="AI36" s="27">
        <v>6</v>
      </c>
      <c r="AJ36" s="24">
        <v>504659.61</v>
      </c>
      <c r="AK36" s="24">
        <v>501634.58</v>
      </c>
      <c r="AM36" s="27">
        <v>6</v>
      </c>
      <c r="AN36" s="24">
        <v>160642.79999999999</v>
      </c>
      <c r="AO36" s="24">
        <v>157561.57999999999</v>
      </c>
      <c r="AU36" s="27">
        <v>6</v>
      </c>
      <c r="AV36" s="24">
        <v>1162.5999999999999</v>
      </c>
      <c r="AW36" s="24">
        <v>1163.4000000000001</v>
      </c>
      <c r="AX36" s="24">
        <v>1203.3000000000002</v>
      </c>
      <c r="AY36" s="24">
        <v>1321.875</v>
      </c>
      <c r="BA36" s="27">
        <v>6</v>
      </c>
      <c r="BB36" s="24">
        <v>414.1</v>
      </c>
      <c r="BC36" s="24">
        <v>410.8</v>
      </c>
      <c r="BD36" s="24">
        <v>410.04999999999995</v>
      </c>
      <c r="BE36" s="24">
        <v>410.82499999999999</v>
      </c>
    </row>
    <row r="37" spans="24:57" x14ac:dyDescent="0.15">
      <c r="X37" s="27">
        <v>7</v>
      </c>
      <c r="Y37" s="30">
        <v>0.74760000000000004</v>
      </c>
      <c r="Z37" s="30">
        <v>0.66520000000000001</v>
      </c>
      <c r="AA37" s="24">
        <v>1.05</v>
      </c>
      <c r="AB37" s="24">
        <v>1</v>
      </c>
      <c r="AC37" s="27">
        <v>7</v>
      </c>
      <c r="AD37" s="30">
        <v>0.76442857142857146</v>
      </c>
      <c r="AE37" s="30">
        <v>0.77699999999999991</v>
      </c>
      <c r="AF37" s="24">
        <v>1.05</v>
      </c>
      <c r="AG37" s="24">
        <v>1</v>
      </c>
      <c r="AI37" s="27">
        <v>7</v>
      </c>
      <c r="AJ37" s="24">
        <v>402496.6</v>
      </c>
      <c r="AK37" s="24">
        <v>501634.58</v>
      </c>
      <c r="AM37" s="27">
        <v>7</v>
      </c>
      <c r="AN37" s="24">
        <v>152457</v>
      </c>
      <c r="AO37" s="24">
        <v>157561.57999999999</v>
      </c>
      <c r="AU37" s="27">
        <v>7</v>
      </c>
      <c r="AV37" s="24">
        <v>1070.2</v>
      </c>
      <c r="AW37" s="24">
        <v>1087.8</v>
      </c>
      <c r="AX37" s="24">
        <v>1203.3000000000002</v>
      </c>
      <c r="AY37" s="24">
        <v>1321.875</v>
      </c>
      <c r="BA37" s="27">
        <v>7</v>
      </c>
      <c r="BB37" s="24">
        <v>373.8</v>
      </c>
      <c r="BC37" s="24">
        <v>332.6</v>
      </c>
      <c r="BD37" s="24">
        <v>410.04999999999995</v>
      </c>
      <c r="BE37" s="24">
        <v>410.82499999999999</v>
      </c>
    </row>
    <row r="38" spans="24:57" x14ac:dyDescent="0.15">
      <c r="X38" s="27">
        <v>8</v>
      </c>
      <c r="Y38" s="30">
        <v>0.75439999999999996</v>
      </c>
      <c r="Z38" s="30">
        <v>0.68879999999999997</v>
      </c>
      <c r="AA38" s="24">
        <v>1.05</v>
      </c>
      <c r="AB38" s="24">
        <v>1</v>
      </c>
      <c r="AC38" s="27">
        <v>8</v>
      </c>
      <c r="AD38" s="30">
        <v>0.76442857142857146</v>
      </c>
      <c r="AE38" s="30">
        <v>0.77699999999999991</v>
      </c>
      <c r="AF38" s="24">
        <v>1.05</v>
      </c>
      <c r="AG38" s="24">
        <v>1</v>
      </c>
      <c r="AI38" s="27">
        <v>8</v>
      </c>
      <c r="AJ38" s="24">
        <v>406698.6</v>
      </c>
      <c r="AK38" s="24">
        <v>501634.58</v>
      </c>
      <c r="AM38" s="27">
        <v>8</v>
      </c>
      <c r="AN38" s="24">
        <v>165308.9</v>
      </c>
      <c r="AO38" s="24">
        <v>157561.57999999999</v>
      </c>
      <c r="AU38" s="27">
        <v>8</v>
      </c>
      <c r="AV38" s="24">
        <v>1070.2</v>
      </c>
      <c r="AW38" s="24">
        <v>1087.8</v>
      </c>
      <c r="AX38" s="24">
        <v>1203.3000000000002</v>
      </c>
      <c r="AY38" s="24">
        <v>1321.875</v>
      </c>
      <c r="BA38" s="27">
        <v>8</v>
      </c>
      <c r="BB38" s="24">
        <v>377.2</v>
      </c>
      <c r="BC38" s="24">
        <v>344.4</v>
      </c>
      <c r="BD38" s="24">
        <v>410.04999999999995</v>
      </c>
      <c r="BE38" s="24">
        <v>410.82499999999999</v>
      </c>
    </row>
    <row r="39" spans="24:57" x14ac:dyDescent="0.15">
      <c r="X39" s="27">
        <v>9</v>
      </c>
      <c r="Y39" s="30">
        <v>0.70399999999999996</v>
      </c>
      <c r="Z39" s="30">
        <v>0.6754</v>
      </c>
      <c r="AA39" s="24">
        <v>1.05</v>
      </c>
      <c r="AB39" s="24">
        <v>1</v>
      </c>
      <c r="AC39" s="27">
        <v>9</v>
      </c>
      <c r="AD39" s="30">
        <v>0.76442857142857146</v>
      </c>
      <c r="AE39" s="30">
        <v>0.71342857142857141</v>
      </c>
      <c r="AF39" s="24">
        <v>1.05</v>
      </c>
      <c r="AG39" s="24">
        <v>1</v>
      </c>
      <c r="AI39" s="27">
        <v>9</v>
      </c>
      <c r="AJ39" s="24">
        <v>530846.1</v>
      </c>
      <c r="AK39" s="24">
        <v>501634.58</v>
      </c>
      <c r="AM39" s="27">
        <v>9</v>
      </c>
      <c r="AN39" s="24">
        <v>147845.5</v>
      </c>
      <c r="AO39" s="24">
        <v>157561.57999999999</v>
      </c>
      <c r="AU39" s="27">
        <v>9</v>
      </c>
      <c r="AV39" s="24">
        <v>1070.2</v>
      </c>
      <c r="AW39" s="24">
        <v>998.8</v>
      </c>
      <c r="AX39" s="24">
        <v>1203.3000000000002</v>
      </c>
      <c r="AY39" s="24">
        <v>1321.875</v>
      </c>
      <c r="BA39" s="27">
        <v>9</v>
      </c>
      <c r="BB39" s="24">
        <v>352</v>
      </c>
      <c r="BC39" s="24">
        <v>337.7</v>
      </c>
      <c r="BD39" s="24">
        <v>410.04999999999995</v>
      </c>
      <c r="BE39" s="24">
        <v>410.82499999999999</v>
      </c>
    </row>
    <row r="40" spans="24:57" x14ac:dyDescent="0.15">
      <c r="X40" s="27">
        <v>10</v>
      </c>
      <c r="Y40" s="30">
        <v>0.87860000000000005</v>
      </c>
      <c r="Z40" s="30">
        <v>0.91220000000000001</v>
      </c>
      <c r="AA40" s="24">
        <v>1.05</v>
      </c>
      <c r="AB40" s="24">
        <v>1</v>
      </c>
      <c r="AC40" s="27">
        <v>10</v>
      </c>
      <c r="AD40" s="30">
        <v>0.90600000000000003</v>
      </c>
      <c r="AE40" s="30">
        <v>1.0385714285714285</v>
      </c>
      <c r="AF40" s="24">
        <v>1.05</v>
      </c>
      <c r="AG40" s="24">
        <v>1</v>
      </c>
      <c r="AI40" s="27">
        <v>10</v>
      </c>
      <c r="AJ40" s="24">
        <v>463348.2</v>
      </c>
      <c r="AK40" s="24">
        <v>501634.58</v>
      </c>
      <c r="AM40" s="27">
        <v>10</v>
      </c>
      <c r="AN40" s="24">
        <v>186576.2</v>
      </c>
      <c r="AO40" s="24">
        <v>157561.57999999999</v>
      </c>
      <c r="AU40" s="27">
        <v>10</v>
      </c>
      <c r="AV40" s="24">
        <v>1268.4000000000001</v>
      </c>
      <c r="AW40" s="24">
        <v>1454</v>
      </c>
      <c r="AX40" s="24">
        <v>1203.3000000000002</v>
      </c>
      <c r="AY40" s="24">
        <v>1321.875</v>
      </c>
      <c r="BA40" s="27">
        <v>10</v>
      </c>
      <c r="BB40" s="24">
        <v>439.3</v>
      </c>
      <c r="BC40" s="24">
        <v>456.1</v>
      </c>
      <c r="BD40" s="24">
        <v>410.04999999999995</v>
      </c>
      <c r="BE40" s="24">
        <v>410.82499999999999</v>
      </c>
    </row>
    <row r="41" spans="24:57" x14ac:dyDescent="0.15">
      <c r="X41" s="27">
        <v>11</v>
      </c>
      <c r="Y41" s="30">
        <v>0.86020000000000008</v>
      </c>
      <c r="Z41" s="30">
        <v>0.91220000000000001</v>
      </c>
      <c r="AA41" s="24">
        <v>1.05</v>
      </c>
      <c r="AB41" s="24">
        <v>1</v>
      </c>
      <c r="AC41" s="27">
        <v>11</v>
      </c>
      <c r="AD41" s="30">
        <v>0.97257142857142853</v>
      </c>
      <c r="AE41" s="30">
        <v>1.1039999999999999</v>
      </c>
      <c r="AF41" s="24">
        <v>1.05</v>
      </c>
      <c r="AG41" s="24">
        <v>1</v>
      </c>
      <c r="AI41" s="27">
        <v>11</v>
      </c>
      <c r="AJ41" s="24">
        <v>547772.6</v>
      </c>
      <c r="AK41" s="24">
        <v>501634.58</v>
      </c>
      <c r="AM41" s="27">
        <v>11</v>
      </c>
      <c r="AN41" s="24">
        <v>146268.79999999999</v>
      </c>
      <c r="AO41" s="24">
        <v>157561.57999999999</v>
      </c>
      <c r="AU41" s="27">
        <v>11</v>
      </c>
      <c r="AV41" s="24">
        <v>1361.6</v>
      </c>
      <c r="AW41" s="24">
        <v>1545.6</v>
      </c>
      <c r="AX41" s="24">
        <v>1203.3000000000002</v>
      </c>
      <c r="AY41" s="24">
        <v>1321.875</v>
      </c>
      <c r="BA41" s="27">
        <v>11</v>
      </c>
      <c r="BB41" s="24">
        <v>430.1</v>
      </c>
      <c r="BC41" s="24">
        <v>456.1</v>
      </c>
      <c r="BD41" s="24">
        <v>410.04999999999995</v>
      </c>
      <c r="BE41" s="24">
        <v>410.82499999999999</v>
      </c>
    </row>
    <row r="42" spans="24:57" x14ac:dyDescent="0.15">
      <c r="X42" s="27">
        <v>12</v>
      </c>
      <c r="Y42" s="30">
        <v>0.8266</v>
      </c>
      <c r="Z42" s="30">
        <v>0.91220000000000001</v>
      </c>
      <c r="AA42" s="24">
        <v>1.05</v>
      </c>
      <c r="AB42" s="24">
        <v>1</v>
      </c>
      <c r="AC42" s="27">
        <v>12</v>
      </c>
      <c r="AD42" s="30">
        <v>0.86278571428571438</v>
      </c>
      <c r="AE42" s="30">
        <v>1.0194285714285714</v>
      </c>
      <c r="AF42" s="24">
        <v>1.05</v>
      </c>
      <c r="AG42" s="24">
        <v>1</v>
      </c>
      <c r="AI42" s="27">
        <v>12</v>
      </c>
      <c r="AJ42" s="24">
        <v>607662.6</v>
      </c>
      <c r="AK42" s="24">
        <v>501634.58</v>
      </c>
      <c r="AM42" s="27">
        <v>12</v>
      </c>
      <c r="AN42" s="24">
        <v>175187.5</v>
      </c>
      <c r="AO42" s="24">
        <v>157561.57999999999</v>
      </c>
      <c r="AU42" s="27">
        <v>12</v>
      </c>
      <c r="AV42" s="24">
        <v>1207.9000000000001</v>
      </c>
      <c r="AW42" s="24">
        <v>1427.2</v>
      </c>
      <c r="AX42" s="24">
        <v>1203.3000000000002</v>
      </c>
      <c r="AY42" s="24">
        <v>1321.875</v>
      </c>
      <c r="BA42" s="27">
        <v>12</v>
      </c>
      <c r="BB42" s="24">
        <v>413.3</v>
      </c>
      <c r="BC42" s="24">
        <v>456.1</v>
      </c>
      <c r="BD42" s="24">
        <v>410.04999999999995</v>
      </c>
      <c r="BE42" s="24">
        <v>410.82499999999999</v>
      </c>
    </row>
    <row r="43" spans="24:57" x14ac:dyDescent="0.15">
      <c r="X43" s="26">
        <v>2018</v>
      </c>
      <c r="Y43" s="30">
        <v>0.81964999999999988</v>
      </c>
      <c r="Z43" s="30">
        <v>0.81493333333333329</v>
      </c>
      <c r="AA43" s="24">
        <v>12.600000000000003</v>
      </c>
      <c r="AB43" s="24">
        <v>12</v>
      </c>
      <c r="AC43" s="26">
        <v>2018</v>
      </c>
      <c r="AD43" s="30">
        <v>0.85475000000000001</v>
      </c>
      <c r="AE43" s="30">
        <v>0.9362976190476191</v>
      </c>
      <c r="AF43" s="24">
        <v>12.600000000000003</v>
      </c>
      <c r="AG43" s="24">
        <v>12</v>
      </c>
      <c r="AI43" s="26">
        <v>2018</v>
      </c>
      <c r="AJ43" s="24">
        <v>6499062.0999999996</v>
      </c>
      <c r="AK43" s="24">
        <v>6019614.96</v>
      </c>
      <c r="AM43" s="26">
        <v>2018</v>
      </c>
      <c r="AN43" s="24">
        <v>1932116.7999999998</v>
      </c>
      <c r="AO43" s="24">
        <v>1890738.9600000002</v>
      </c>
      <c r="AU43" s="26">
        <v>2018</v>
      </c>
      <c r="AV43" s="24">
        <v>14359.8</v>
      </c>
      <c r="AW43" s="24">
        <v>15729.799999999997</v>
      </c>
      <c r="AX43" s="24">
        <v>14439.599999999999</v>
      </c>
      <c r="AY43" s="24">
        <v>15862.5</v>
      </c>
      <c r="BA43" s="26">
        <v>2018</v>
      </c>
      <c r="BB43" s="24">
        <v>4917.8999999999996</v>
      </c>
      <c r="BC43" s="24">
        <v>4889.5999999999995</v>
      </c>
      <c r="BD43" s="24">
        <v>4920.6000000000013</v>
      </c>
      <c r="BE43" s="24">
        <v>4929.8999999999987</v>
      </c>
    </row>
    <row r="44" spans="24:57" x14ac:dyDescent="0.15">
      <c r="X44" s="27">
        <v>1</v>
      </c>
      <c r="Y44" s="30">
        <v>0.77960000000000007</v>
      </c>
      <c r="Z44" s="30">
        <v>0.73920000000000008</v>
      </c>
      <c r="AA44" s="24">
        <v>1.05</v>
      </c>
      <c r="AB44" s="24">
        <v>1</v>
      </c>
      <c r="AC44" s="27">
        <v>1</v>
      </c>
      <c r="AD44" s="30">
        <v>0.79021428571428565</v>
      </c>
      <c r="AE44" s="30">
        <v>0.95878571428571424</v>
      </c>
      <c r="AF44" s="24">
        <v>1.05</v>
      </c>
      <c r="AG44" s="24">
        <v>1</v>
      </c>
      <c r="AI44" s="27">
        <v>1</v>
      </c>
      <c r="AJ44" s="24">
        <v>513256.3</v>
      </c>
      <c r="AK44" s="24">
        <v>501634.58</v>
      </c>
      <c r="AM44" s="27">
        <v>1</v>
      </c>
      <c r="AN44" s="24">
        <v>148686.1</v>
      </c>
      <c r="AO44" s="24">
        <v>157561.57999999999</v>
      </c>
      <c r="AU44" s="27">
        <v>1</v>
      </c>
      <c r="AV44" s="24">
        <v>1106.3</v>
      </c>
      <c r="AW44" s="24">
        <v>1342.3</v>
      </c>
      <c r="AX44" s="24">
        <v>1203.3000000000002</v>
      </c>
      <c r="AY44" s="24">
        <v>1321.875</v>
      </c>
      <c r="BA44" s="27">
        <v>1</v>
      </c>
      <c r="BB44" s="24">
        <v>389.8</v>
      </c>
      <c r="BC44" s="24">
        <v>369.6</v>
      </c>
      <c r="BD44" s="24">
        <v>410.04999999999995</v>
      </c>
      <c r="BE44" s="24">
        <v>410.82499999999999</v>
      </c>
    </row>
    <row r="45" spans="24:57" x14ac:dyDescent="0.15">
      <c r="X45" s="27">
        <v>2</v>
      </c>
      <c r="Y45" s="30">
        <v>0.60980000000000001</v>
      </c>
      <c r="Z45" s="30">
        <v>0.83320000000000005</v>
      </c>
      <c r="AA45" s="24">
        <v>1.05</v>
      </c>
      <c r="AB45" s="24">
        <v>1</v>
      </c>
      <c r="AC45" s="27">
        <v>2</v>
      </c>
      <c r="AD45" s="30">
        <v>0.67078571428571432</v>
      </c>
      <c r="AE45" s="30">
        <v>0.85078571428571426</v>
      </c>
      <c r="AF45" s="24">
        <v>1.05</v>
      </c>
      <c r="AG45" s="24">
        <v>1</v>
      </c>
      <c r="AI45" s="27">
        <v>2</v>
      </c>
      <c r="AJ45" s="24">
        <v>530669.80000000005</v>
      </c>
      <c r="AK45" s="24">
        <v>501634.58</v>
      </c>
      <c r="AM45" s="27">
        <v>2</v>
      </c>
      <c r="AN45" s="24">
        <v>174212.5</v>
      </c>
      <c r="AO45" s="24">
        <v>157561.57999999999</v>
      </c>
      <c r="AU45" s="27">
        <v>2</v>
      </c>
      <c r="AV45" s="24">
        <v>939.1</v>
      </c>
      <c r="AW45" s="24">
        <v>1191.0999999999999</v>
      </c>
      <c r="AX45" s="24">
        <v>1203.3000000000002</v>
      </c>
      <c r="AY45" s="24">
        <v>1321.875</v>
      </c>
      <c r="BA45" s="27">
        <v>2</v>
      </c>
      <c r="BB45" s="24">
        <v>304.89999999999998</v>
      </c>
      <c r="BC45" s="24">
        <v>416.6</v>
      </c>
      <c r="BD45" s="24">
        <v>410.04999999999995</v>
      </c>
      <c r="BE45" s="24">
        <v>410.82499999999999</v>
      </c>
    </row>
    <row r="46" spans="24:57" x14ac:dyDescent="0.15">
      <c r="X46" s="27">
        <v>3</v>
      </c>
      <c r="Y46" s="30">
        <v>0.97599999999999998</v>
      </c>
      <c r="Z46" s="30">
        <v>1.0045999999999999</v>
      </c>
      <c r="AA46" s="24">
        <v>1.05</v>
      </c>
      <c r="AB46" s="24">
        <v>1</v>
      </c>
      <c r="AC46" s="27">
        <v>3</v>
      </c>
      <c r="AD46" s="30">
        <v>1.0272142857142856</v>
      </c>
      <c r="AE46" s="30">
        <v>1.1244285714285716</v>
      </c>
      <c r="AF46" s="24">
        <v>1.05</v>
      </c>
      <c r="AG46" s="24">
        <v>1</v>
      </c>
      <c r="AI46" s="27">
        <v>3</v>
      </c>
      <c r="AJ46" s="24">
        <v>536342.4</v>
      </c>
      <c r="AK46" s="24">
        <v>501634.58</v>
      </c>
      <c r="AM46" s="27">
        <v>3</v>
      </c>
      <c r="AN46" s="24">
        <v>170361.5</v>
      </c>
      <c r="AO46" s="24">
        <v>157561.57999999999</v>
      </c>
      <c r="AU46" s="27">
        <v>3</v>
      </c>
      <c r="AV46" s="24">
        <v>1438.1</v>
      </c>
      <c r="AW46" s="24">
        <v>1574.2</v>
      </c>
      <c r="AX46" s="24">
        <v>1203.3000000000002</v>
      </c>
      <c r="AY46" s="24">
        <v>1321.875</v>
      </c>
      <c r="BA46" s="27">
        <v>3</v>
      </c>
      <c r="BB46" s="24">
        <v>488</v>
      </c>
      <c r="BC46" s="24">
        <v>502.3</v>
      </c>
      <c r="BD46" s="24">
        <v>410.04999999999995</v>
      </c>
      <c r="BE46" s="24">
        <v>410.82499999999999</v>
      </c>
    </row>
    <row r="47" spans="24:57" x14ac:dyDescent="0.15">
      <c r="X47" s="27">
        <v>4</v>
      </c>
      <c r="Y47" s="30">
        <v>0.9927999999999999</v>
      </c>
      <c r="Z47" s="30">
        <v>1.0264000000000002</v>
      </c>
      <c r="AA47" s="24">
        <v>1.05</v>
      </c>
      <c r="AB47" s="24">
        <v>1</v>
      </c>
      <c r="AC47" s="27">
        <v>4</v>
      </c>
      <c r="AD47" s="30">
        <v>0.91321428571428576</v>
      </c>
      <c r="AE47" s="30">
        <v>0.99657142857142855</v>
      </c>
      <c r="AF47" s="24">
        <v>1.05</v>
      </c>
      <c r="AG47" s="24">
        <v>1</v>
      </c>
      <c r="AI47" s="27">
        <v>4</v>
      </c>
      <c r="AJ47" s="24">
        <v>714128.9</v>
      </c>
      <c r="AK47" s="24">
        <v>501634.58</v>
      </c>
      <c r="AM47" s="27">
        <v>4</v>
      </c>
      <c r="AN47" s="24">
        <v>199373.4</v>
      </c>
      <c r="AO47" s="24">
        <v>157561.57999999999</v>
      </c>
      <c r="AU47" s="27">
        <v>4</v>
      </c>
      <c r="AV47" s="24">
        <v>1278.5</v>
      </c>
      <c r="AW47" s="24">
        <v>1395.2</v>
      </c>
      <c r="AX47" s="24">
        <v>1203.3000000000002</v>
      </c>
      <c r="AY47" s="24">
        <v>1321.875</v>
      </c>
      <c r="BA47" s="27">
        <v>4</v>
      </c>
      <c r="BB47" s="24">
        <v>496.4</v>
      </c>
      <c r="BC47" s="24">
        <v>513.20000000000005</v>
      </c>
      <c r="BD47" s="24">
        <v>410.04999999999995</v>
      </c>
      <c r="BE47" s="24">
        <v>410.82499999999999</v>
      </c>
    </row>
    <row r="48" spans="24:57" x14ac:dyDescent="0.15">
      <c r="X48" s="27">
        <v>5</v>
      </c>
      <c r="Y48" s="30">
        <v>0.83</v>
      </c>
      <c r="Z48" s="30">
        <v>0.78279999999999994</v>
      </c>
      <c r="AA48" s="24">
        <v>1.05</v>
      </c>
      <c r="AB48" s="24">
        <v>1</v>
      </c>
      <c r="AC48" s="27">
        <v>5</v>
      </c>
      <c r="AD48" s="30">
        <v>0.97857142857142854</v>
      </c>
      <c r="AE48" s="30">
        <v>1.0362142857142858</v>
      </c>
      <c r="AF48" s="24">
        <v>1.05</v>
      </c>
      <c r="AG48" s="24">
        <v>1</v>
      </c>
      <c r="AI48" s="27">
        <v>5</v>
      </c>
      <c r="AJ48" s="24">
        <v>586151.30000000005</v>
      </c>
      <c r="AK48" s="24">
        <v>501634.58</v>
      </c>
      <c r="AM48" s="27">
        <v>5</v>
      </c>
      <c r="AN48" s="24">
        <v>177013.8</v>
      </c>
      <c r="AO48" s="24">
        <v>157561.57999999999</v>
      </c>
      <c r="AU48" s="27">
        <v>5</v>
      </c>
      <c r="AV48" s="24">
        <v>1370</v>
      </c>
      <c r="AW48" s="24">
        <v>1450.7</v>
      </c>
      <c r="AX48" s="24">
        <v>1203.3000000000002</v>
      </c>
      <c r="AY48" s="24">
        <v>1321.875</v>
      </c>
      <c r="BA48" s="27">
        <v>5</v>
      </c>
      <c r="BB48" s="24">
        <v>415</v>
      </c>
      <c r="BC48" s="24">
        <v>391.4</v>
      </c>
      <c r="BD48" s="24">
        <v>410.04999999999995</v>
      </c>
      <c r="BE48" s="24">
        <v>410.82499999999999</v>
      </c>
    </row>
    <row r="49" spans="24:57" x14ac:dyDescent="0.15">
      <c r="X49" s="27">
        <v>6</v>
      </c>
      <c r="Y49" s="30">
        <v>0.8468</v>
      </c>
      <c r="Z49" s="30">
        <v>0.7006</v>
      </c>
      <c r="AA49" s="24">
        <v>1.05</v>
      </c>
      <c r="AB49" s="24">
        <v>1</v>
      </c>
      <c r="AC49" s="27">
        <v>6</v>
      </c>
      <c r="AD49" s="30">
        <v>0.85678571428571426</v>
      </c>
      <c r="AE49" s="30">
        <v>0.88442857142857145</v>
      </c>
      <c r="AF49" s="24">
        <v>1.05</v>
      </c>
      <c r="AG49" s="24">
        <v>1</v>
      </c>
      <c r="AI49" s="27">
        <v>6</v>
      </c>
      <c r="AJ49" s="24">
        <v>528585.5</v>
      </c>
      <c r="AK49" s="24">
        <v>501634.58</v>
      </c>
      <c r="AM49" s="27">
        <v>6</v>
      </c>
      <c r="AN49" s="24">
        <v>137632.70000000001</v>
      </c>
      <c r="AO49" s="24">
        <v>157561.57999999999</v>
      </c>
      <c r="AU49" s="27">
        <v>6</v>
      </c>
      <c r="AV49" s="24">
        <v>1199.5</v>
      </c>
      <c r="AW49" s="24">
        <v>1238.2</v>
      </c>
      <c r="AX49" s="24">
        <v>1203.3000000000002</v>
      </c>
      <c r="AY49" s="24">
        <v>1321.875</v>
      </c>
      <c r="BA49" s="27">
        <v>6</v>
      </c>
      <c r="BB49" s="24">
        <v>423.4</v>
      </c>
      <c r="BC49" s="24">
        <v>350.3</v>
      </c>
      <c r="BD49" s="24">
        <v>410.04999999999995</v>
      </c>
      <c r="BE49" s="24">
        <v>410.82499999999999</v>
      </c>
    </row>
    <row r="50" spans="24:57" x14ac:dyDescent="0.15">
      <c r="X50" s="27">
        <v>7</v>
      </c>
      <c r="Y50" s="30">
        <v>0.60799999999999998</v>
      </c>
      <c r="Z50" s="30">
        <v>0.74420000000000008</v>
      </c>
      <c r="AA50" s="24">
        <v>1.05</v>
      </c>
      <c r="AB50" s="24">
        <v>1</v>
      </c>
      <c r="AC50" s="27">
        <v>7</v>
      </c>
      <c r="AD50" s="30">
        <v>0.84300000000000008</v>
      </c>
      <c r="AE50" s="30">
        <v>0.84</v>
      </c>
      <c r="AF50" s="24">
        <v>1.05</v>
      </c>
      <c r="AG50" s="24">
        <v>1</v>
      </c>
      <c r="AI50" s="27">
        <v>7</v>
      </c>
      <c r="AJ50" s="24">
        <v>492520.9</v>
      </c>
      <c r="AK50" s="24">
        <v>501634.58</v>
      </c>
      <c r="AM50" s="27">
        <v>7</v>
      </c>
      <c r="AN50" s="24">
        <v>161619.9</v>
      </c>
      <c r="AO50" s="24">
        <v>157561.57999999999</v>
      </c>
      <c r="AU50" s="27">
        <v>7</v>
      </c>
      <c r="AV50" s="24">
        <v>1180.2</v>
      </c>
      <c r="AW50" s="24">
        <v>1176</v>
      </c>
      <c r="AX50" s="24">
        <v>1203.3000000000002</v>
      </c>
      <c r="AY50" s="24">
        <v>1321.875</v>
      </c>
      <c r="BA50" s="27">
        <v>7</v>
      </c>
      <c r="BB50" s="24">
        <v>304</v>
      </c>
      <c r="BC50" s="24">
        <v>372.1</v>
      </c>
      <c r="BD50" s="24">
        <v>410.04999999999995</v>
      </c>
      <c r="BE50" s="24">
        <v>410.82499999999999</v>
      </c>
    </row>
    <row r="51" spans="24:57" x14ac:dyDescent="0.15">
      <c r="X51" s="27">
        <v>8</v>
      </c>
      <c r="Y51" s="30">
        <v>0.77439999999999998</v>
      </c>
      <c r="Z51" s="30">
        <v>0.70399999999999996</v>
      </c>
      <c r="AA51" s="24">
        <v>1.05</v>
      </c>
      <c r="AB51" s="24">
        <v>1</v>
      </c>
      <c r="AC51" s="27">
        <v>8</v>
      </c>
      <c r="AD51" s="30">
        <v>0.82921428571428579</v>
      </c>
      <c r="AE51" s="30">
        <v>0.84778571428571436</v>
      </c>
      <c r="AF51" s="24">
        <v>1.05</v>
      </c>
      <c r="AG51" s="24">
        <v>1</v>
      </c>
      <c r="AI51" s="27">
        <v>8</v>
      </c>
      <c r="AJ51" s="24">
        <v>505458.8</v>
      </c>
      <c r="AK51" s="24">
        <v>501634.58</v>
      </c>
      <c r="AM51" s="27">
        <v>8</v>
      </c>
      <c r="AN51" s="24">
        <v>140624.29999999999</v>
      </c>
      <c r="AO51" s="24">
        <v>157561.57999999999</v>
      </c>
      <c r="AU51" s="27">
        <v>8</v>
      </c>
      <c r="AV51" s="24">
        <v>1160.9000000000001</v>
      </c>
      <c r="AW51" s="24">
        <v>1186.9000000000001</v>
      </c>
      <c r="AX51" s="24">
        <v>1203.3000000000002</v>
      </c>
      <c r="AY51" s="24">
        <v>1321.875</v>
      </c>
      <c r="BA51" s="27">
        <v>8</v>
      </c>
      <c r="BB51" s="24">
        <v>387.2</v>
      </c>
      <c r="BC51" s="24">
        <v>352</v>
      </c>
      <c r="BD51" s="24">
        <v>410.04999999999995</v>
      </c>
      <c r="BE51" s="24">
        <v>410.82499999999999</v>
      </c>
    </row>
    <row r="52" spans="24:57" x14ac:dyDescent="0.15">
      <c r="X52" s="27">
        <v>9</v>
      </c>
      <c r="Y52" s="30">
        <v>0.71399999999999997</v>
      </c>
      <c r="Z52" s="30">
        <v>0.7006</v>
      </c>
      <c r="AA52" s="24">
        <v>1.05</v>
      </c>
      <c r="AB52" s="24">
        <v>1</v>
      </c>
      <c r="AC52" s="27">
        <v>9</v>
      </c>
      <c r="AD52" s="30">
        <v>0.77699999999999991</v>
      </c>
      <c r="AE52" s="30">
        <v>0.79742857142857149</v>
      </c>
      <c r="AF52" s="24">
        <v>1.05</v>
      </c>
      <c r="AG52" s="24">
        <v>1</v>
      </c>
      <c r="AI52" s="27">
        <v>9</v>
      </c>
      <c r="AJ52" s="24">
        <v>497596.9</v>
      </c>
      <c r="AK52" s="24">
        <v>501634.58</v>
      </c>
      <c r="AM52" s="27">
        <v>9</v>
      </c>
      <c r="AN52" s="24">
        <v>137110</v>
      </c>
      <c r="AO52" s="24">
        <v>157561.57999999999</v>
      </c>
      <c r="AU52" s="27">
        <v>9</v>
      </c>
      <c r="AV52" s="24">
        <v>1087.8</v>
      </c>
      <c r="AW52" s="24">
        <v>1116.4000000000001</v>
      </c>
      <c r="AX52" s="24">
        <v>1203.3000000000002</v>
      </c>
      <c r="AY52" s="24">
        <v>1321.875</v>
      </c>
      <c r="BA52" s="27">
        <v>9</v>
      </c>
      <c r="BB52" s="24">
        <v>357</v>
      </c>
      <c r="BC52" s="24">
        <v>350.3</v>
      </c>
      <c r="BD52" s="24">
        <v>410.04999999999995</v>
      </c>
      <c r="BE52" s="24">
        <v>410.82499999999999</v>
      </c>
    </row>
    <row r="53" spans="24:57" x14ac:dyDescent="0.15">
      <c r="X53" s="27">
        <v>10</v>
      </c>
      <c r="Y53" s="30">
        <v>0.81820000000000004</v>
      </c>
      <c r="Z53" s="30">
        <v>0.81820000000000004</v>
      </c>
      <c r="AA53" s="24">
        <v>1.05</v>
      </c>
      <c r="AB53" s="24">
        <v>1</v>
      </c>
      <c r="AC53" s="27">
        <v>10</v>
      </c>
      <c r="AD53" s="30">
        <v>0.93600000000000005</v>
      </c>
      <c r="AE53" s="30">
        <v>1.0169999999999999</v>
      </c>
      <c r="AF53" s="24">
        <v>1.05</v>
      </c>
      <c r="AG53" s="24">
        <v>1</v>
      </c>
      <c r="AI53" s="27">
        <v>10</v>
      </c>
      <c r="AJ53" s="24">
        <v>566354.1</v>
      </c>
      <c r="AK53" s="24">
        <v>501634.58</v>
      </c>
      <c r="AM53" s="27">
        <v>10</v>
      </c>
      <c r="AN53" s="24">
        <v>171635.5</v>
      </c>
      <c r="AO53" s="24">
        <v>157561.57999999999</v>
      </c>
      <c r="AU53" s="27">
        <v>10</v>
      </c>
      <c r="AV53" s="24">
        <v>1310.4000000000001</v>
      </c>
      <c r="AW53" s="24">
        <v>1423.8</v>
      </c>
      <c r="AX53" s="24">
        <v>1203.3000000000002</v>
      </c>
      <c r="AY53" s="24">
        <v>1321.875</v>
      </c>
      <c r="BA53" s="27">
        <v>10</v>
      </c>
      <c r="BB53" s="24">
        <v>409.1</v>
      </c>
      <c r="BC53" s="24">
        <v>409.1</v>
      </c>
      <c r="BD53" s="24">
        <v>410.04999999999995</v>
      </c>
      <c r="BE53" s="24">
        <v>410.82499999999999</v>
      </c>
    </row>
    <row r="54" spans="24:57" x14ac:dyDescent="0.15">
      <c r="X54" s="27">
        <v>11</v>
      </c>
      <c r="Y54" s="30">
        <v>0.91220000000000001</v>
      </c>
      <c r="Z54" s="30">
        <v>0.83</v>
      </c>
      <c r="AA54" s="24">
        <v>1.05</v>
      </c>
      <c r="AB54" s="24">
        <v>1</v>
      </c>
      <c r="AC54" s="27">
        <v>11</v>
      </c>
      <c r="AD54" s="30">
        <v>0.71821428571428569</v>
      </c>
      <c r="AE54" s="30">
        <v>0.78657142857142859</v>
      </c>
      <c r="AF54" s="24">
        <v>1.05</v>
      </c>
      <c r="AG54" s="24">
        <v>1</v>
      </c>
      <c r="AI54" s="27">
        <v>11</v>
      </c>
      <c r="AJ54" s="24">
        <v>568695.6</v>
      </c>
      <c r="AK54" s="24">
        <v>501634.58</v>
      </c>
      <c r="AM54" s="27">
        <v>11</v>
      </c>
      <c r="AN54" s="24">
        <v>156488.70000000001</v>
      </c>
      <c r="AO54" s="24">
        <v>157561.57999999999</v>
      </c>
      <c r="AU54" s="27">
        <v>11</v>
      </c>
      <c r="AV54" s="24">
        <v>1005.5</v>
      </c>
      <c r="AW54" s="24">
        <v>1101.2</v>
      </c>
      <c r="AX54" s="24">
        <v>1203.3000000000002</v>
      </c>
      <c r="AY54" s="24">
        <v>1321.875</v>
      </c>
      <c r="BA54" s="27">
        <v>11</v>
      </c>
      <c r="BB54" s="24">
        <v>456.1</v>
      </c>
      <c r="BC54" s="24">
        <v>415</v>
      </c>
      <c r="BD54" s="24">
        <v>410.04999999999995</v>
      </c>
      <c r="BE54" s="24">
        <v>410.82499999999999</v>
      </c>
    </row>
    <row r="55" spans="24:57" x14ac:dyDescent="0.15">
      <c r="X55" s="27">
        <v>12</v>
      </c>
      <c r="Y55" s="30">
        <v>0.97399999999999998</v>
      </c>
      <c r="Z55" s="30">
        <v>0.89539999999999997</v>
      </c>
      <c r="AA55" s="24">
        <v>1.05</v>
      </c>
      <c r="AB55" s="24">
        <v>1</v>
      </c>
      <c r="AC55" s="27">
        <v>12</v>
      </c>
      <c r="AD55" s="30">
        <v>0.91678571428571431</v>
      </c>
      <c r="AE55" s="30">
        <v>1.0955714285714286</v>
      </c>
      <c r="AF55" s="24">
        <v>1.05</v>
      </c>
      <c r="AG55" s="24">
        <v>1</v>
      </c>
      <c r="AI55" s="27">
        <v>12</v>
      </c>
      <c r="AJ55" s="24">
        <v>459301.6</v>
      </c>
      <c r="AK55" s="24">
        <v>501634.58</v>
      </c>
      <c r="AM55" s="27">
        <v>12</v>
      </c>
      <c r="AN55" s="24">
        <v>157358.39999999999</v>
      </c>
      <c r="AO55" s="24">
        <v>157561.57999999999</v>
      </c>
      <c r="AU55" s="27">
        <v>12</v>
      </c>
      <c r="AV55" s="24">
        <v>1283.5</v>
      </c>
      <c r="AW55" s="24">
        <v>1533.8</v>
      </c>
      <c r="AX55" s="24">
        <v>1203.3000000000002</v>
      </c>
      <c r="AY55" s="24">
        <v>1321.875</v>
      </c>
      <c r="BA55" s="27">
        <v>12</v>
      </c>
      <c r="BB55" s="24">
        <v>487</v>
      </c>
      <c r="BC55" s="24">
        <v>447.7</v>
      </c>
      <c r="BD55" s="24">
        <v>410.04999999999995</v>
      </c>
      <c r="BE55" s="24">
        <v>410.82499999999999</v>
      </c>
    </row>
    <row r="56" spans="24:57" x14ac:dyDescent="0.15">
      <c r="X56" s="26">
        <v>2019</v>
      </c>
      <c r="Y56" s="30">
        <v>0.88715000000000011</v>
      </c>
      <c r="Z56" s="30">
        <v>0.85484999999999989</v>
      </c>
      <c r="AA56" s="24">
        <v>12.600000000000003</v>
      </c>
      <c r="AB56" s="24">
        <v>12</v>
      </c>
      <c r="AC56" s="26">
        <v>2019</v>
      </c>
      <c r="AD56" s="30">
        <v>0.87959829695767189</v>
      </c>
      <c r="AE56" s="30">
        <v>0.94675000000000009</v>
      </c>
      <c r="AF56" s="24">
        <v>12.600000000000003</v>
      </c>
      <c r="AG56" s="24">
        <v>12</v>
      </c>
      <c r="AI56" s="26">
        <v>2019</v>
      </c>
      <c r="AJ56" s="24">
        <v>6398397</v>
      </c>
      <c r="AK56" s="24">
        <v>6019614.96</v>
      </c>
      <c r="AM56" s="26">
        <v>2019</v>
      </c>
      <c r="AN56" s="24">
        <v>2108420.7000000002</v>
      </c>
      <c r="AO56" s="24">
        <v>1890738.9600000002</v>
      </c>
      <c r="AU56" s="26">
        <v>2019</v>
      </c>
      <c r="AV56" s="24">
        <v>14777.251388888888</v>
      </c>
      <c r="AW56" s="24">
        <v>15905.400000000001</v>
      </c>
      <c r="AX56" s="24">
        <v>14439.599999999999</v>
      </c>
      <c r="AY56" s="24">
        <v>15862.5</v>
      </c>
      <c r="BA56" s="26">
        <v>2019</v>
      </c>
      <c r="BB56" s="24">
        <v>5322.9</v>
      </c>
      <c r="BC56" s="24">
        <v>5129.1000000000004</v>
      </c>
      <c r="BD56" s="24">
        <v>4920.6000000000013</v>
      </c>
      <c r="BE56" s="24">
        <v>4929.8999999999987</v>
      </c>
    </row>
    <row r="57" spans="24:57" x14ac:dyDescent="0.15">
      <c r="X57" s="27">
        <v>1</v>
      </c>
      <c r="Y57" s="30">
        <v>0.92400000000000004</v>
      </c>
      <c r="Z57" s="30">
        <v>0.9224</v>
      </c>
      <c r="AA57" s="24">
        <v>1.05</v>
      </c>
      <c r="AB57" s="24">
        <v>1</v>
      </c>
      <c r="AC57" s="27">
        <v>1</v>
      </c>
      <c r="AD57" s="30">
        <v>0.8987857142857143</v>
      </c>
      <c r="AE57" s="30">
        <v>1.1142142857142858</v>
      </c>
      <c r="AF57" s="24">
        <v>1.05</v>
      </c>
      <c r="AG57" s="24">
        <v>1</v>
      </c>
      <c r="AI57" s="27">
        <v>1</v>
      </c>
      <c r="AJ57" s="24">
        <v>501033.8</v>
      </c>
      <c r="AK57" s="24">
        <v>501634.58</v>
      </c>
      <c r="AM57" s="27">
        <v>1</v>
      </c>
      <c r="AN57" s="24">
        <v>181944.8</v>
      </c>
      <c r="AO57" s="24">
        <v>157561.57999999999</v>
      </c>
      <c r="AU57" s="27">
        <v>1</v>
      </c>
      <c r="AV57" s="24">
        <v>1258.3</v>
      </c>
      <c r="AW57" s="24">
        <v>1559.9</v>
      </c>
      <c r="AX57" s="24">
        <v>1203.3000000000002</v>
      </c>
      <c r="AY57" s="24">
        <v>1321.875</v>
      </c>
      <c r="BA57" s="27">
        <v>1</v>
      </c>
      <c r="BB57" s="24">
        <v>462</v>
      </c>
      <c r="BC57" s="24">
        <v>461.2</v>
      </c>
      <c r="BD57" s="24">
        <v>410.04999999999995</v>
      </c>
      <c r="BE57" s="24">
        <v>410.82499999999999</v>
      </c>
    </row>
    <row r="58" spans="24:57" x14ac:dyDescent="0.15">
      <c r="X58" s="27">
        <v>2</v>
      </c>
      <c r="Y58" s="30">
        <v>0.97099999999999997</v>
      </c>
      <c r="Z58" s="30">
        <v>0.93740000000000001</v>
      </c>
      <c r="AA58" s="24">
        <v>1.05</v>
      </c>
      <c r="AB58" s="24">
        <v>1</v>
      </c>
      <c r="AC58" s="27">
        <v>2</v>
      </c>
      <c r="AD58" s="30">
        <v>0.86379761904761887</v>
      </c>
      <c r="AE58" s="30">
        <v>0.74278571428571438</v>
      </c>
      <c r="AF58" s="24">
        <v>1.05</v>
      </c>
      <c r="AG58" s="24">
        <v>1</v>
      </c>
      <c r="AI58" s="27">
        <v>2</v>
      </c>
      <c r="AJ58" s="24">
        <v>623035.5</v>
      </c>
      <c r="AK58" s="24">
        <v>501634.58</v>
      </c>
      <c r="AM58" s="27">
        <v>2</v>
      </c>
      <c r="AN58" s="24">
        <v>192260.5</v>
      </c>
      <c r="AO58" s="24">
        <v>157561.57999999999</v>
      </c>
      <c r="AU58" s="27">
        <v>2</v>
      </c>
      <c r="AV58" s="24">
        <v>1209.3166666666664</v>
      </c>
      <c r="AW58" s="24">
        <v>1039.9000000000001</v>
      </c>
      <c r="AX58" s="24">
        <v>1203.3000000000002</v>
      </c>
      <c r="AY58" s="24">
        <v>1321.875</v>
      </c>
      <c r="BA58" s="27">
        <v>2</v>
      </c>
      <c r="BB58" s="24">
        <v>485.5</v>
      </c>
      <c r="BC58" s="24">
        <v>468.7</v>
      </c>
      <c r="BD58" s="24">
        <v>410.04999999999995</v>
      </c>
      <c r="BE58" s="24">
        <v>410.82499999999999</v>
      </c>
    </row>
    <row r="59" spans="24:57" x14ac:dyDescent="0.15">
      <c r="X59" s="27">
        <v>3</v>
      </c>
      <c r="Y59" s="30">
        <v>1.0164</v>
      </c>
      <c r="Z59" s="30">
        <v>1.0534000000000001</v>
      </c>
      <c r="AA59" s="24">
        <v>1.05</v>
      </c>
      <c r="AB59" s="24">
        <v>1</v>
      </c>
      <c r="AC59" s="27">
        <v>3</v>
      </c>
      <c r="AD59" s="30">
        <v>0.87988194444444434</v>
      </c>
      <c r="AE59" s="30">
        <v>1.0182142857142857</v>
      </c>
      <c r="AF59" s="24">
        <v>1.05</v>
      </c>
      <c r="AG59" s="24">
        <v>1</v>
      </c>
      <c r="AI59" s="27">
        <v>3</v>
      </c>
      <c r="AJ59" s="24">
        <v>591344.69999999995</v>
      </c>
      <c r="AK59" s="24">
        <v>501634.58</v>
      </c>
      <c r="AM59" s="27">
        <v>3</v>
      </c>
      <c r="AN59" s="24">
        <v>196460.4</v>
      </c>
      <c r="AO59" s="24">
        <v>157561.57999999999</v>
      </c>
      <c r="AU59" s="27">
        <v>3</v>
      </c>
      <c r="AV59" s="24">
        <v>1231.8347222222221</v>
      </c>
      <c r="AW59" s="24">
        <v>1425.5</v>
      </c>
      <c r="AX59" s="24">
        <v>1203.3000000000002</v>
      </c>
      <c r="AY59" s="24">
        <v>1321.875</v>
      </c>
      <c r="BA59" s="27">
        <v>3</v>
      </c>
      <c r="BB59" s="24">
        <v>508.2</v>
      </c>
      <c r="BC59" s="24">
        <v>526.70000000000005</v>
      </c>
      <c r="BD59" s="24">
        <v>410.04999999999995</v>
      </c>
      <c r="BE59" s="24">
        <v>410.82499999999999</v>
      </c>
    </row>
    <row r="60" spans="24:57" x14ac:dyDescent="0.15">
      <c r="X60" s="27">
        <v>4</v>
      </c>
      <c r="Y60" s="30">
        <v>1.0264000000000002</v>
      </c>
      <c r="Z60" s="30">
        <v>1.0282</v>
      </c>
      <c r="AA60" s="24">
        <v>1.05</v>
      </c>
      <c r="AB60" s="24">
        <v>1</v>
      </c>
      <c r="AC60" s="27">
        <v>4</v>
      </c>
      <c r="AD60" s="30">
        <v>1.0457857142857143</v>
      </c>
      <c r="AE60" s="30">
        <v>1.1885714285714286</v>
      </c>
      <c r="AF60" s="24">
        <v>1.05</v>
      </c>
      <c r="AG60" s="24">
        <v>1</v>
      </c>
      <c r="AI60" s="27">
        <v>4</v>
      </c>
      <c r="AJ60" s="24">
        <v>629327.6</v>
      </c>
      <c r="AK60" s="24">
        <v>501634.58</v>
      </c>
      <c r="AM60" s="27">
        <v>4</v>
      </c>
      <c r="AN60" s="24">
        <v>200843</v>
      </c>
      <c r="AO60" s="24">
        <v>157561.57999999999</v>
      </c>
      <c r="AU60" s="27">
        <v>4</v>
      </c>
      <c r="AV60" s="24">
        <v>1464.1</v>
      </c>
      <c r="AW60" s="24">
        <v>1664</v>
      </c>
      <c r="AX60" s="24">
        <v>1203.3000000000002</v>
      </c>
      <c r="AY60" s="24">
        <v>1321.875</v>
      </c>
      <c r="BA60" s="27">
        <v>4</v>
      </c>
      <c r="BB60" s="24">
        <v>513.20000000000005</v>
      </c>
      <c r="BC60" s="24">
        <v>514.1</v>
      </c>
      <c r="BD60" s="24">
        <v>410.04999999999995</v>
      </c>
      <c r="BE60" s="24">
        <v>410.82499999999999</v>
      </c>
    </row>
    <row r="61" spans="24:57" x14ac:dyDescent="0.15">
      <c r="X61" s="27">
        <v>5</v>
      </c>
      <c r="Y61" s="30">
        <v>0.92559999999999998</v>
      </c>
      <c r="Z61" s="30">
        <v>0.872</v>
      </c>
      <c r="AA61" s="24">
        <v>1.05</v>
      </c>
      <c r="AB61" s="24">
        <v>1</v>
      </c>
      <c r="AC61" s="27">
        <v>5</v>
      </c>
      <c r="AD61" s="30">
        <v>1.008</v>
      </c>
      <c r="AE61" s="30">
        <v>1.095</v>
      </c>
      <c r="AF61" s="24">
        <v>1.05</v>
      </c>
      <c r="AG61" s="24">
        <v>1</v>
      </c>
      <c r="AI61" s="27">
        <v>5</v>
      </c>
      <c r="AJ61" s="24">
        <v>599844.6</v>
      </c>
      <c r="AK61" s="24">
        <v>501634.58</v>
      </c>
      <c r="AM61" s="27">
        <v>5</v>
      </c>
      <c r="AN61" s="24">
        <v>185805.7</v>
      </c>
      <c r="AO61" s="24">
        <v>157561.57999999999</v>
      </c>
      <c r="AU61" s="27">
        <v>5</v>
      </c>
      <c r="AV61" s="24">
        <v>1411.2</v>
      </c>
      <c r="AW61" s="24">
        <v>1533</v>
      </c>
      <c r="AX61" s="24">
        <v>1203.3000000000002</v>
      </c>
      <c r="AY61" s="24">
        <v>1321.875</v>
      </c>
      <c r="BA61" s="27">
        <v>5</v>
      </c>
      <c r="BB61" s="24">
        <v>462.8</v>
      </c>
      <c r="BC61" s="24">
        <v>436</v>
      </c>
      <c r="BD61" s="24">
        <v>410.04999999999995</v>
      </c>
      <c r="BE61" s="24">
        <v>410.82499999999999</v>
      </c>
    </row>
    <row r="62" spans="24:57" x14ac:dyDescent="0.15">
      <c r="X62" s="27">
        <v>6</v>
      </c>
      <c r="Y62" s="30">
        <v>0.72739999999999994</v>
      </c>
      <c r="Z62" s="30">
        <v>0.63679999999999992</v>
      </c>
      <c r="AA62" s="24">
        <v>1.05</v>
      </c>
      <c r="AB62" s="24">
        <v>1</v>
      </c>
      <c r="AC62" s="27">
        <v>6</v>
      </c>
      <c r="AD62" s="30">
        <v>0.84357142857142853</v>
      </c>
      <c r="AE62" s="30">
        <v>0.91500000000000004</v>
      </c>
      <c r="AF62" s="24">
        <v>1.05</v>
      </c>
      <c r="AG62" s="24">
        <v>1</v>
      </c>
      <c r="AI62" s="27">
        <v>6</v>
      </c>
      <c r="AJ62" s="24">
        <v>490990.7</v>
      </c>
      <c r="AK62" s="24">
        <v>501634.58</v>
      </c>
      <c r="AM62" s="27">
        <v>6</v>
      </c>
      <c r="AN62" s="24">
        <v>140716.80000000002</v>
      </c>
      <c r="AO62" s="24">
        <v>157561.57999999999</v>
      </c>
      <c r="AU62" s="27">
        <v>6</v>
      </c>
      <c r="AV62" s="24">
        <v>1181</v>
      </c>
      <c r="AW62" s="24">
        <v>1281</v>
      </c>
      <c r="AX62" s="24">
        <v>1203.3000000000002</v>
      </c>
      <c r="AY62" s="24">
        <v>1321.875</v>
      </c>
      <c r="BA62" s="27">
        <v>6</v>
      </c>
      <c r="BB62" s="24">
        <v>363.7</v>
      </c>
      <c r="BC62" s="24">
        <v>318.39999999999998</v>
      </c>
      <c r="BD62" s="24">
        <v>410.04999999999995</v>
      </c>
      <c r="BE62" s="24">
        <v>410.82499999999999</v>
      </c>
    </row>
    <row r="63" spans="24:57" x14ac:dyDescent="0.15">
      <c r="X63" s="27">
        <v>7</v>
      </c>
      <c r="Y63" s="30">
        <v>0.89379999999999993</v>
      </c>
      <c r="Z63" s="30">
        <v>0.84499999999999997</v>
      </c>
      <c r="AA63" s="24">
        <v>1.05</v>
      </c>
      <c r="AB63" s="24">
        <v>1</v>
      </c>
      <c r="AC63" s="27">
        <v>7</v>
      </c>
      <c r="AD63" s="30">
        <v>0.8105714285714285</v>
      </c>
      <c r="AE63" s="30">
        <v>0.83942857142857141</v>
      </c>
      <c r="AF63" s="24">
        <v>1.05</v>
      </c>
      <c r="AG63" s="24">
        <v>1</v>
      </c>
      <c r="AI63" s="27">
        <v>7</v>
      </c>
      <c r="AJ63" s="24">
        <v>459220.4</v>
      </c>
      <c r="AK63" s="24">
        <v>501634.58</v>
      </c>
      <c r="AM63" s="27">
        <v>7</v>
      </c>
      <c r="AN63" s="24">
        <v>162674.6</v>
      </c>
      <c r="AO63" s="24">
        <v>157561.57999999999</v>
      </c>
      <c r="AU63" s="27">
        <v>7</v>
      </c>
      <c r="AV63" s="24">
        <v>1134.8</v>
      </c>
      <c r="AW63" s="24">
        <v>1175.2</v>
      </c>
      <c r="AX63" s="24">
        <v>1203.3000000000002</v>
      </c>
      <c r="AY63" s="24">
        <v>1321.875</v>
      </c>
      <c r="BA63" s="27">
        <v>7</v>
      </c>
      <c r="BB63" s="24">
        <v>446.9</v>
      </c>
      <c r="BC63" s="24">
        <v>422.5</v>
      </c>
      <c r="BD63" s="24">
        <v>410.04999999999995</v>
      </c>
      <c r="BE63" s="24">
        <v>410.82499999999999</v>
      </c>
    </row>
    <row r="64" spans="24:57" x14ac:dyDescent="0.15">
      <c r="X64" s="27">
        <v>8</v>
      </c>
      <c r="Y64" s="30">
        <v>0.79120000000000001</v>
      </c>
      <c r="Z64" s="30">
        <v>0.68540000000000001</v>
      </c>
      <c r="AA64" s="24">
        <v>1.05</v>
      </c>
      <c r="AB64" s="24">
        <v>1</v>
      </c>
      <c r="AC64" s="27">
        <v>8</v>
      </c>
      <c r="AD64" s="30">
        <v>0.8105714285714285</v>
      </c>
      <c r="AE64" s="30">
        <v>0.67621428571428577</v>
      </c>
      <c r="AF64" s="24">
        <v>1.05</v>
      </c>
      <c r="AG64" s="24">
        <v>1</v>
      </c>
      <c r="AI64" s="27">
        <v>8</v>
      </c>
      <c r="AJ64" s="24">
        <v>471041.1</v>
      </c>
      <c r="AK64" s="24">
        <v>501634.58</v>
      </c>
      <c r="AM64" s="27">
        <v>8</v>
      </c>
      <c r="AN64" s="24">
        <v>149772.80000000002</v>
      </c>
      <c r="AO64" s="24">
        <v>157561.57999999999</v>
      </c>
      <c r="AU64" s="27">
        <v>8</v>
      </c>
      <c r="AV64" s="24">
        <v>1134.8</v>
      </c>
      <c r="AW64" s="24">
        <v>946.7</v>
      </c>
      <c r="AX64" s="24">
        <v>1203.3000000000002</v>
      </c>
      <c r="AY64" s="24">
        <v>1321.875</v>
      </c>
      <c r="BA64" s="27">
        <v>8</v>
      </c>
      <c r="BB64" s="24">
        <v>395.6</v>
      </c>
      <c r="BC64" s="24">
        <v>342.7</v>
      </c>
      <c r="BD64" s="24">
        <v>410.04999999999995</v>
      </c>
      <c r="BE64" s="24">
        <v>410.82499999999999</v>
      </c>
    </row>
    <row r="65" spans="24:57" x14ac:dyDescent="0.15">
      <c r="X65" s="27">
        <v>9</v>
      </c>
      <c r="Y65" s="30">
        <v>0.72399999999999998</v>
      </c>
      <c r="Z65" s="30">
        <v>0.71899999999999997</v>
      </c>
      <c r="AA65" s="24">
        <v>1.05</v>
      </c>
      <c r="AB65" s="24">
        <v>1</v>
      </c>
      <c r="AC65" s="27">
        <v>9</v>
      </c>
      <c r="AD65" s="30">
        <v>0.72242857142857142</v>
      </c>
      <c r="AE65" s="30">
        <v>0.78357142857142859</v>
      </c>
      <c r="AF65" s="24">
        <v>1.05</v>
      </c>
      <c r="AG65" s="24">
        <v>1</v>
      </c>
      <c r="AI65" s="27">
        <v>9</v>
      </c>
      <c r="AJ65" s="24">
        <v>448151.1</v>
      </c>
      <c r="AK65" s="24">
        <v>501634.58</v>
      </c>
      <c r="AM65" s="27">
        <v>9</v>
      </c>
      <c r="AN65" s="24">
        <v>144588.6</v>
      </c>
      <c r="AO65" s="24">
        <v>157561.57999999999</v>
      </c>
      <c r="AU65" s="27">
        <v>9</v>
      </c>
      <c r="AV65" s="24">
        <v>1011.4</v>
      </c>
      <c r="AW65" s="24">
        <v>1097</v>
      </c>
      <c r="AX65" s="24">
        <v>1203.3000000000002</v>
      </c>
      <c r="AY65" s="24">
        <v>1321.875</v>
      </c>
      <c r="BA65" s="27">
        <v>9</v>
      </c>
      <c r="BB65" s="24">
        <v>362</v>
      </c>
      <c r="BC65" s="24">
        <v>359.5</v>
      </c>
      <c r="BD65" s="24">
        <v>410.04999999999995</v>
      </c>
      <c r="BE65" s="24">
        <v>410.82499999999999</v>
      </c>
    </row>
    <row r="66" spans="24:57" x14ac:dyDescent="0.15">
      <c r="X66" s="27">
        <v>10</v>
      </c>
      <c r="Y66" s="30">
        <v>0.80640000000000001</v>
      </c>
      <c r="Z66" s="30">
        <v>0.73080000000000001</v>
      </c>
      <c r="AA66" s="24">
        <v>1.05</v>
      </c>
      <c r="AB66" s="24">
        <v>1</v>
      </c>
      <c r="AC66" s="27">
        <v>10</v>
      </c>
      <c r="AD66" s="30">
        <v>0.80521428571428566</v>
      </c>
      <c r="AE66" s="30">
        <v>0.90121428571428575</v>
      </c>
      <c r="AF66" s="24">
        <v>1.05</v>
      </c>
      <c r="AG66" s="24">
        <v>1</v>
      </c>
      <c r="AI66" s="27">
        <v>10</v>
      </c>
      <c r="AJ66" s="24">
        <v>457269.3</v>
      </c>
      <c r="AK66" s="24">
        <v>501634.58</v>
      </c>
      <c r="AM66" s="27">
        <v>10</v>
      </c>
      <c r="AN66" s="24">
        <v>159242.79999999999</v>
      </c>
      <c r="AO66" s="24">
        <v>157561.57999999999</v>
      </c>
      <c r="AU66" s="27">
        <v>10</v>
      </c>
      <c r="AV66" s="24">
        <v>1127.3</v>
      </c>
      <c r="AW66" s="24">
        <v>1261.7</v>
      </c>
      <c r="AX66" s="24">
        <v>1203.3000000000002</v>
      </c>
      <c r="AY66" s="24">
        <v>1321.875</v>
      </c>
      <c r="BA66" s="27">
        <v>10</v>
      </c>
      <c r="BB66" s="24">
        <v>403.2</v>
      </c>
      <c r="BC66" s="24">
        <v>365.4</v>
      </c>
      <c r="BD66" s="24">
        <v>410.04999999999995</v>
      </c>
      <c r="BE66" s="24">
        <v>410.82499999999999</v>
      </c>
    </row>
    <row r="67" spans="24:57" x14ac:dyDescent="0.15">
      <c r="X67" s="27">
        <v>11</v>
      </c>
      <c r="Y67" s="30">
        <v>1.0347999999999999</v>
      </c>
      <c r="Z67" s="30">
        <v>1.0432000000000001</v>
      </c>
      <c r="AA67" s="24">
        <v>1.05</v>
      </c>
      <c r="AB67" s="24">
        <v>1</v>
      </c>
      <c r="AC67" s="27">
        <v>11</v>
      </c>
      <c r="AD67" s="30">
        <v>1.0457857142857143</v>
      </c>
      <c r="AE67" s="30">
        <v>1.1567857142857143</v>
      </c>
      <c r="AF67" s="24">
        <v>1.05</v>
      </c>
      <c r="AG67" s="24">
        <v>1</v>
      </c>
      <c r="AI67" s="27">
        <v>11</v>
      </c>
      <c r="AJ67" s="24">
        <v>601039.5</v>
      </c>
      <c r="AK67" s="24">
        <v>501634.58</v>
      </c>
      <c r="AM67" s="27">
        <v>11</v>
      </c>
      <c r="AN67" s="24">
        <v>213717.5</v>
      </c>
      <c r="AO67" s="24">
        <v>157561.57999999999</v>
      </c>
      <c r="AU67" s="27">
        <v>11</v>
      </c>
      <c r="AV67" s="24">
        <v>1464.1</v>
      </c>
      <c r="AW67" s="24">
        <v>1619.5</v>
      </c>
      <c r="AX67" s="24">
        <v>1203.3000000000002</v>
      </c>
      <c r="AY67" s="24">
        <v>1321.875</v>
      </c>
      <c r="BA67" s="27">
        <v>11</v>
      </c>
      <c r="BB67" s="24">
        <v>517.4</v>
      </c>
      <c r="BC67" s="24">
        <v>521.6</v>
      </c>
      <c r="BD67" s="24">
        <v>410.04999999999995</v>
      </c>
      <c r="BE67" s="24">
        <v>410.82499999999999</v>
      </c>
    </row>
    <row r="68" spans="24:57" x14ac:dyDescent="0.15">
      <c r="X68" s="27">
        <v>12</v>
      </c>
      <c r="Y68" s="30">
        <v>0.80479999999999996</v>
      </c>
      <c r="Z68" s="30">
        <v>0.78460000000000008</v>
      </c>
      <c r="AA68" s="24">
        <v>1.05</v>
      </c>
      <c r="AB68" s="24">
        <v>1</v>
      </c>
      <c r="AC68" s="27">
        <v>12</v>
      </c>
      <c r="AD68" s="30">
        <v>0.82078571428571423</v>
      </c>
      <c r="AE68" s="30">
        <v>0.93</v>
      </c>
      <c r="AF68" s="24">
        <v>1.05</v>
      </c>
      <c r="AG68" s="24">
        <v>1</v>
      </c>
      <c r="AI68" s="27">
        <v>12</v>
      </c>
      <c r="AJ68" s="24">
        <v>526098.70000000007</v>
      </c>
      <c r="AK68" s="24">
        <v>501634.58</v>
      </c>
      <c r="AM68" s="27">
        <v>12</v>
      </c>
      <c r="AN68" s="24">
        <v>180393.2</v>
      </c>
      <c r="AO68" s="24">
        <v>157561.57999999999</v>
      </c>
      <c r="AU68" s="27">
        <v>12</v>
      </c>
      <c r="AV68" s="24">
        <v>1149.0999999999999</v>
      </c>
      <c r="AW68" s="24">
        <v>1302</v>
      </c>
      <c r="AX68" s="24">
        <v>1203.3000000000002</v>
      </c>
      <c r="AY68" s="24">
        <v>1321.875</v>
      </c>
      <c r="BA68" s="27">
        <v>12</v>
      </c>
      <c r="BB68" s="24">
        <v>402.4</v>
      </c>
      <c r="BC68" s="24">
        <v>392.3</v>
      </c>
      <c r="BD68" s="24">
        <v>410.04999999999995</v>
      </c>
      <c r="BE68" s="24">
        <v>410.82499999999999</v>
      </c>
    </row>
    <row r="69" spans="24:57" x14ac:dyDescent="0.15">
      <c r="X69" s="26" t="s">
        <v>58</v>
      </c>
      <c r="Y69" s="30">
        <v>0.92903916666666631</v>
      </c>
      <c r="Z69" s="30">
        <v>0.92081749999999996</v>
      </c>
      <c r="AA69" s="24">
        <v>62.999999999999929</v>
      </c>
      <c r="AB69" s="24">
        <v>60</v>
      </c>
      <c r="AC69" s="26" t="s">
        <v>58</v>
      </c>
      <c r="AD69" s="30">
        <v>0.85655289351851838</v>
      </c>
      <c r="AE69" s="30">
        <v>0.93806041666666684</v>
      </c>
      <c r="AF69" s="24">
        <v>62.999999999999929</v>
      </c>
      <c r="AG69" s="24">
        <v>60</v>
      </c>
      <c r="AI69" s="26" t="s">
        <v>58</v>
      </c>
      <c r="AJ69" s="24">
        <v>30582883.985000011</v>
      </c>
      <c r="AK69" s="24">
        <v>30098074.799999952</v>
      </c>
      <c r="AM69" s="26" t="s">
        <v>58</v>
      </c>
      <c r="AN69" s="24">
        <v>10194376.75</v>
      </c>
      <c r="AO69" s="24">
        <v>9453694.8000000026</v>
      </c>
      <c r="AU69" s="26" t="s">
        <v>58</v>
      </c>
      <c r="AV69" s="24">
        <v>71950.443055555559</v>
      </c>
      <c r="AW69" s="24">
        <v>78797.074999999997</v>
      </c>
      <c r="AX69" s="24">
        <v>72198.000000000073</v>
      </c>
      <c r="AY69" s="24">
        <v>79312.5</v>
      </c>
      <c r="BA69" s="26" t="s">
        <v>58</v>
      </c>
      <c r="BB69" s="24">
        <v>26144.400000000005</v>
      </c>
      <c r="BC69" s="24">
        <v>25890.799999999999</v>
      </c>
      <c r="BD69" s="24">
        <v>24602.999999999975</v>
      </c>
      <c r="BE69" s="24">
        <v>24649.500000000025</v>
      </c>
    </row>
    <row r="70" spans="24:57" x14ac:dyDescent="0.15">
      <c r="X70"/>
      <c r="Y70"/>
      <c r="Z70"/>
      <c r="AA70"/>
      <c r="AB70"/>
      <c r="AC70"/>
      <c r="AD70"/>
      <c r="AE70"/>
      <c r="AF70"/>
      <c r="AG70"/>
      <c r="AI70"/>
      <c r="AJ70"/>
      <c r="AK70"/>
      <c r="AM70"/>
      <c r="AN70"/>
      <c r="AO70"/>
      <c r="AU70"/>
      <c r="AV70"/>
      <c r="AW70"/>
      <c r="AX70"/>
      <c r="AY70"/>
      <c r="BA70"/>
      <c r="BB70"/>
      <c r="BC70"/>
      <c r="BD70"/>
      <c r="BE70"/>
    </row>
    <row r="71" spans="24:57" x14ac:dyDescent="0.15">
      <c r="X71"/>
      <c r="Y71"/>
      <c r="Z71"/>
      <c r="AA71"/>
      <c r="AB71"/>
      <c r="AC71"/>
      <c r="AD71"/>
      <c r="AE71"/>
      <c r="AF71"/>
      <c r="AG71"/>
      <c r="AI71"/>
      <c r="AJ71"/>
      <c r="AK71"/>
      <c r="AM71"/>
      <c r="AN71"/>
      <c r="AO71"/>
      <c r="AU71"/>
      <c r="AV71"/>
      <c r="AW71"/>
      <c r="AX71"/>
      <c r="AY71"/>
      <c r="BA71"/>
      <c r="BB71"/>
      <c r="BC71"/>
      <c r="BD71"/>
      <c r="BE71"/>
    </row>
    <row r="72" spans="24:57" x14ac:dyDescent="0.15">
      <c r="X72"/>
      <c r="Y72"/>
      <c r="Z72"/>
      <c r="AA72"/>
      <c r="AB72"/>
      <c r="AC72"/>
      <c r="AD72"/>
      <c r="AE72"/>
      <c r="AF72"/>
      <c r="AG72"/>
      <c r="AI72"/>
      <c r="AJ72"/>
      <c r="AK72"/>
      <c r="AM72"/>
      <c r="AN72"/>
      <c r="AO72"/>
      <c r="AU72"/>
      <c r="AV72"/>
      <c r="AW72"/>
      <c r="AX72"/>
      <c r="AY72"/>
      <c r="BA72"/>
      <c r="BB72"/>
      <c r="BC72"/>
      <c r="BD72"/>
      <c r="BE72"/>
    </row>
    <row r="73" spans="24:57" x14ac:dyDescent="0.15">
      <c r="X73"/>
      <c r="Y73"/>
      <c r="Z73"/>
      <c r="AA73"/>
      <c r="AB73"/>
      <c r="AC73"/>
      <c r="AD73"/>
      <c r="AE73"/>
      <c r="AF73"/>
      <c r="AG73"/>
      <c r="AI73"/>
      <c r="AJ73"/>
      <c r="AK73"/>
      <c r="AM73"/>
      <c r="AN73"/>
      <c r="AO73"/>
      <c r="AU73"/>
      <c r="AV73"/>
      <c r="AW73"/>
      <c r="AX73"/>
      <c r="AY73"/>
      <c r="BA73"/>
      <c r="BB73"/>
      <c r="BC73"/>
      <c r="BD73"/>
      <c r="BE73"/>
    </row>
    <row r="74" spans="24:57" x14ac:dyDescent="0.15">
      <c r="X74"/>
      <c r="Y74"/>
      <c r="Z74"/>
      <c r="AA74"/>
      <c r="AB74"/>
      <c r="AC74"/>
      <c r="AD74"/>
      <c r="AE74"/>
      <c r="AF74"/>
      <c r="AG74"/>
      <c r="AI74"/>
      <c r="AJ74"/>
      <c r="AK74"/>
      <c r="AM74"/>
      <c r="AN74"/>
      <c r="AO74"/>
      <c r="AU74"/>
      <c r="AV74"/>
      <c r="AW74"/>
      <c r="AX74"/>
      <c r="AY74"/>
      <c r="BA74"/>
      <c r="BB74"/>
      <c r="BC74"/>
      <c r="BD74"/>
      <c r="BE74"/>
    </row>
  </sheetData>
  <pageMargins left="0.511811024" right="0.511811024" top="0.78740157499999996" bottom="0.78740157499999996" header="0.31496062000000002" footer="0.31496062000000002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16E2-729E-4CD4-86D0-7884E4C5B571}">
  <dimension ref="A1:AN34"/>
  <sheetViews>
    <sheetView workbookViewId="0">
      <selection activeCell="P9" sqref="P9:R22"/>
    </sheetView>
  </sheetViews>
  <sheetFormatPr baseColWidth="10" defaultColWidth="9" defaultRowHeight="13" x14ac:dyDescent="0.15"/>
  <cols>
    <col min="1" max="1" width="9.1640625" style="49" customWidth="1"/>
    <col min="2" max="2" width="41.1640625" style="51" bestFit="1" customWidth="1"/>
    <col min="3" max="3" width="9" style="49"/>
    <col min="4" max="4" width="13.6640625" style="49" customWidth="1"/>
    <col min="5" max="5" width="9" style="49"/>
    <col min="6" max="6" width="3.83203125" style="48" customWidth="1"/>
    <col min="7" max="7" width="5" style="48" customWidth="1"/>
    <col min="8" max="8" width="10.33203125" style="49" bestFit="1" customWidth="1"/>
    <col min="9" max="9" width="32" style="49" bestFit="1" customWidth="1"/>
    <col min="10" max="10" width="22.1640625" style="49" bestFit="1" customWidth="1"/>
    <col min="11" max="11" width="9.33203125" style="49" customWidth="1"/>
    <col min="12" max="12" width="9" style="49"/>
    <col min="13" max="13" width="12.6640625" style="48" bestFit="1" customWidth="1"/>
    <col min="14" max="15" width="9" style="48"/>
    <col min="16" max="16" width="18" style="48" bestFit="1" customWidth="1"/>
    <col min="17" max="17" width="14.5" style="48" bestFit="1" customWidth="1"/>
    <col min="18" max="18" width="14.1640625" style="48" bestFit="1" customWidth="1"/>
    <col min="19" max="22" width="4.83203125" style="48" bestFit="1" customWidth="1"/>
    <col min="23" max="23" width="6" style="48" bestFit="1" customWidth="1"/>
    <col min="24" max="26" width="4.83203125" style="48" bestFit="1" customWidth="1"/>
    <col min="27" max="27" width="5.83203125" style="48" bestFit="1" customWidth="1"/>
    <col min="28" max="28" width="10.6640625" style="48" bestFit="1" customWidth="1"/>
    <col min="29" max="29" width="10.33203125" style="48" bestFit="1" customWidth="1"/>
    <col min="30" max="30" width="5.33203125" style="48" bestFit="1" customWidth="1"/>
    <col min="31" max="31" width="10.33203125" style="48" bestFit="1" customWidth="1"/>
    <col min="32" max="32" width="5.33203125" style="48" bestFit="1" customWidth="1"/>
    <col min="33" max="33" width="10.33203125" style="48" bestFit="1" customWidth="1"/>
    <col min="34" max="34" width="5.33203125" style="48" bestFit="1" customWidth="1"/>
    <col min="35" max="35" width="10.33203125" style="48" bestFit="1" customWidth="1"/>
    <col min="36" max="36" width="5.33203125" style="48" bestFit="1" customWidth="1"/>
    <col min="37" max="37" width="10.33203125" style="48" bestFit="1" customWidth="1"/>
    <col min="38" max="38" width="5.33203125" style="48" bestFit="1" customWidth="1"/>
    <col min="39" max="39" width="10.33203125" style="48" bestFit="1" customWidth="1"/>
    <col min="40" max="40" width="10.6640625" style="48" bestFit="1" customWidth="1"/>
    <col min="41" max="16384" width="9" style="48"/>
  </cols>
  <sheetData>
    <row r="1" spans="1:40" ht="14" x14ac:dyDescent="0.15">
      <c r="A1" s="49" t="s">
        <v>92</v>
      </c>
      <c r="B1" s="51" t="s">
        <v>74</v>
      </c>
      <c r="C1" s="49" t="s">
        <v>78</v>
      </c>
      <c r="D1" s="49" t="s">
        <v>80</v>
      </c>
      <c r="E1" s="49" t="s">
        <v>104</v>
      </c>
      <c r="F1" s="50"/>
      <c r="G1" s="46"/>
      <c r="H1" s="49" t="s">
        <v>72</v>
      </c>
      <c r="I1" s="49" t="s">
        <v>149</v>
      </c>
      <c r="J1" s="49" t="s">
        <v>107</v>
      </c>
      <c r="K1" s="89" t="s">
        <v>111</v>
      </c>
      <c r="L1" s="89"/>
    </row>
    <row r="2" spans="1:40" x14ac:dyDescent="0.15">
      <c r="A2" s="49" t="s">
        <v>66</v>
      </c>
      <c r="B2" s="51" t="s">
        <v>75</v>
      </c>
      <c r="C2" s="49" t="s">
        <v>79</v>
      </c>
      <c r="D2" s="49">
        <v>24</v>
      </c>
      <c r="E2" s="49">
        <f>2*D2</f>
        <v>48</v>
      </c>
      <c r="H2" s="49">
        <v>2015</v>
      </c>
      <c r="I2" s="49" t="s">
        <v>106</v>
      </c>
      <c r="J2" s="52" t="s">
        <v>109</v>
      </c>
      <c r="K2" s="51" t="s">
        <v>108</v>
      </c>
      <c r="L2" s="51" t="s">
        <v>110</v>
      </c>
    </row>
    <row r="3" spans="1:40" x14ac:dyDescent="0.15">
      <c r="A3" s="49" t="s">
        <v>66</v>
      </c>
      <c r="B3" s="51" t="s">
        <v>76</v>
      </c>
      <c r="C3" s="49" t="s">
        <v>79</v>
      </c>
      <c r="D3" s="49">
        <v>7</v>
      </c>
      <c r="E3" s="49">
        <f t="shared" ref="E3:E26" si="0">2*D3</f>
        <v>14</v>
      </c>
      <c r="H3" s="49">
        <v>2016</v>
      </c>
      <c r="I3" s="49" t="s">
        <v>115</v>
      </c>
      <c r="J3" s="49" t="s">
        <v>115</v>
      </c>
      <c r="K3" s="51" t="s">
        <v>115</v>
      </c>
      <c r="L3" s="51"/>
    </row>
    <row r="4" spans="1:40" ht="14" x14ac:dyDescent="0.15">
      <c r="A4" s="49" t="s">
        <v>66</v>
      </c>
      <c r="B4" s="51" t="s">
        <v>77</v>
      </c>
      <c r="C4" s="49" t="s">
        <v>79</v>
      </c>
      <c r="D4" s="49">
        <v>25</v>
      </c>
      <c r="E4" s="49">
        <f t="shared" si="0"/>
        <v>50</v>
      </c>
      <c r="H4" s="49">
        <v>2017</v>
      </c>
      <c r="I4" s="49" t="s">
        <v>118</v>
      </c>
      <c r="J4" s="53" t="s">
        <v>116</v>
      </c>
      <c r="K4" s="83" t="s">
        <v>117</v>
      </c>
      <c r="L4" s="51"/>
    </row>
    <row r="5" spans="1:40" x14ac:dyDescent="0.15">
      <c r="A5" s="49" t="s">
        <v>66</v>
      </c>
      <c r="B5" s="51" t="s">
        <v>81</v>
      </c>
      <c r="C5" s="49" t="s">
        <v>79</v>
      </c>
      <c r="D5" s="49">
        <v>25</v>
      </c>
      <c r="E5" s="49">
        <f t="shared" si="0"/>
        <v>50</v>
      </c>
      <c r="H5" s="49">
        <v>2018</v>
      </c>
      <c r="I5" s="49" t="s">
        <v>112</v>
      </c>
      <c r="J5" s="49" t="s">
        <v>113</v>
      </c>
      <c r="K5" s="51" t="s">
        <v>114</v>
      </c>
      <c r="L5" s="51"/>
    </row>
    <row r="6" spans="1:40" x14ac:dyDescent="0.15">
      <c r="A6" s="49" t="s">
        <v>66</v>
      </c>
      <c r="B6" s="51" t="s">
        <v>82</v>
      </c>
      <c r="C6" s="49" t="s">
        <v>79</v>
      </c>
      <c r="D6" s="49">
        <v>25</v>
      </c>
      <c r="E6" s="49">
        <f t="shared" si="0"/>
        <v>50</v>
      </c>
      <c r="H6" s="49">
        <v>2019</v>
      </c>
      <c r="I6" s="49" t="s">
        <v>119</v>
      </c>
      <c r="J6" s="53">
        <v>43630</v>
      </c>
      <c r="K6" s="51"/>
      <c r="L6" s="51"/>
    </row>
    <row r="7" spans="1:40" ht="14" x14ac:dyDescent="0.15">
      <c r="A7" s="49" t="s">
        <v>66</v>
      </c>
      <c r="B7" s="51" t="s">
        <v>83</v>
      </c>
      <c r="C7" s="49" t="s">
        <v>79</v>
      </c>
      <c r="D7" s="49">
        <v>25</v>
      </c>
      <c r="E7" s="49">
        <f t="shared" si="0"/>
        <v>50</v>
      </c>
      <c r="H7" s="49">
        <v>2020</v>
      </c>
      <c r="I7" s="49" t="s">
        <v>115</v>
      </c>
      <c r="J7" s="49" t="s">
        <v>115</v>
      </c>
      <c r="K7" s="51"/>
      <c r="L7" s="51"/>
      <c r="P7"/>
      <c r="Q7"/>
    </row>
    <row r="8" spans="1:40" x14ac:dyDescent="0.15">
      <c r="A8" s="49" t="s">
        <v>67</v>
      </c>
      <c r="B8" s="51" t="s">
        <v>84</v>
      </c>
      <c r="C8" s="49" t="s">
        <v>79</v>
      </c>
      <c r="D8" s="49">
        <v>125</v>
      </c>
      <c r="E8" s="49">
        <f t="shared" si="0"/>
        <v>250</v>
      </c>
    </row>
    <row r="9" spans="1:40" ht="14" x14ac:dyDescent="0.15">
      <c r="A9" s="49" t="s">
        <v>66</v>
      </c>
      <c r="B9" s="51" t="s">
        <v>85</v>
      </c>
      <c r="C9" s="49" t="s">
        <v>79</v>
      </c>
      <c r="D9" s="49">
        <v>63</v>
      </c>
      <c r="E9" s="49">
        <f t="shared" si="0"/>
        <v>126</v>
      </c>
      <c r="G9" s="48" t="s">
        <v>0</v>
      </c>
      <c r="H9" s="49" t="s">
        <v>72</v>
      </c>
      <c r="I9" s="49" t="s">
        <v>122</v>
      </c>
      <c r="J9" s="49" t="s">
        <v>123</v>
      </c>
      <c r="K9" s="49" t="s">
        <v>124</v>
      </c>
      <c r="L9" s="49" t="s">
        <v>125</v>
      </c>
      <c r="M9" s="49" t="s">
        <v>129</v>
      </c>
      <c r="N9" s="49" t="s">
        <v>150</v>
      </c>
      <c r="P9" s="25" t="s">
        <v>57</v>
      </c>
      <c r="Q9" t="s">
        <v>179</v>
      </c>
      <c r="R9" t="s">
        <v>180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ht="14" x14ac:dyDescent="0.15">
      <c r="A10" s="49" t="s">
        <v>67</v>
      </c>
      <c r="B10" s="51" t="s">
        <v>86</v>
      </c>
      <c r="C10" s="49" t="s">
        <v>79</v>
      </c>
      <c r="D10" s="49">
        <v>125</v>
      </c>
      <c r="E10" s="49">
        <f t="shared" si="0"/>
        <v>250</v>
      </c>
      <c r="G10" s="48" t="s">
        <v>66</v>
      </c>
      <c r="H10" s="49">
        <v>2015</v>
      </c>
      <c r="I10" s="57">
        <v>3688</v>
      </c>
      <c r="J10" s="57">
        <v>4699</v>
      </c>
      <c r="K10" s="57">
        <v>856</v>
      </c>
      <c r="L10" s="57">
        <f>SUM(I10:K10)</f>
        <v>9243</v>
      </c>
      <c r="M10" s="58">
        <v>1</v>
      </c>
      <c r="N10" s="57"/>
      <c r="P10" s="26" t="s">
        <v>66</v>
      </c>
      <c r="Q10" s="24">
        <v>18998</v>
      </c>
      <c r="R10" s="24">
        <v>24571</v>
      </c>
      <c r="S10"/>
      <c r="T10"/>
      <c r="U10"/>
      <c r="V10"/>
      <c r="W10" s="64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 ht="14" x14ac:dyDescent="0.15">
      <c r="A11" s="49" t="s">
        <v>66</v>
      </c>
      <c r="B11" s="51" t="s">
        <v>87</v>
      </c>
      <c r="C11" s="49" t="s">
        <v>79</v>
      </c>
      <c r="D11" s="49">
        <v>63</v>
      </c>
      <c r="E11" s="49">
        <f t="shared" si="0"/>
        <v>126</v>
      </c>
      <c r="G11" s="48" t="s">
        <v>66</v>
      </c>
      <c r="H11" s="49">
        <v>2016</v>
      </c>
      <c r="I11" s="57">
        <v>3438</v>
      </c>
      <c r="J11" s="57">
        <v>4344</v>
      </c>
      <c r="K11" s="57">
        <v>1030</v>
      </c>
      <c r="L11" s="57">
        <f>SUM(I11:K11)</f>
        <v>8812</v>
      </c>
      <c r="M11" s="58">
        <f>Tabela4[[#This Row],[TOTAL]]/$L$10</f>
        <v>0.95337011792707993</v>
      </c>
      <c r="N11" s="57"/>
      <c r="P11" s="27">
        <v>2015</v>
      </c>
      <c r="Q11" s="24">
        <v>3688</v>
      </c>
      <c r="R11" s="24">
        <v>4699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</row>
    <row r="12" spans="1:40" ht="14" x14ac:dyDescent="0.15">
      <c r="A12" s="49" t="s">
        <v>67</v>
      </c>
      <c r="B12" s="51" t="s">
        <v>88</v>
      </c>
      <c r="C12" s="49" t="s">
        <v>79</v>
      </c>
      <c r="D12" s="49">
        <v>63</v>
      </c>
      <c r="E12" s="49">
        <f t="shared" si="0"/>
        <v>126</v>
      </c>
      <c r="G12" s="48" t="s">
        <v>66</v>
      </c>
      <c r="H12" s="49">
        <v>2017</v>
      </c>
      <c r="I12" s="57">
        <v>3652</v>
      </c>
      <c r="J12" s="57">
        <v>4647</v>
      </c>
      <c r="K12" s="57">
        <v>1189</v>
      </c>
      <c r="L12" s="57">
        <f t="shared" ref="L12:L21" si="1">SUM(I12:K12)</f>
        <v>9488</v>
      </c>
      <c r="M12" s="58">
        <f>Tabela4[[#This Row],[TOTAL]]/$L$10</f>
        <v>1.0265065454938873</v>
      </c>
      <c r="N12" s="57"/>
      <c r="P12" s="27">
        <v>2016</v>
      </c>
      <c r="Q12" s="24">
        <v>3438</v>
      </c>
      <c r="R12" s="24">
        <v>4344</v>
      </c>
      <c r="S12"/>
      <c r="T12"/>
      <c r="U12"/>
      <c r="V12"/>
      <c r="W12"/>
      <c r="X12"/>
      <c r="Y12"/>
      <c r="Z12"/>
      <c r="AA12"/>
      <c r="AB12"/>
      <c r="AC12"/>
    </row>
    <row r="13" spans="1:40" ht="14" x14ac:dyDescent="0.15">
      <c r="A13" s="49" t="s">
        <v>66</v>
      </c>
      <c r="B13" s="51" t="s">
        <v>89</v>
      </c>
      <c r="C13" s="49" t="s">
        <v>79</v>
      </c>
      <c r="D13" s="49">
        <v>63</v>
      </c>
      <c r="E13" s="49">
        <f t="shared" si="0"/>
        <v>126</v>
      </c>
      <c r="G13" s="48" t="s">
        <v>66</v>
      </c>
      <c r="H13" s="49">
        <v>2018</v>
      </c>
      <c r="I13" s="57">
        <v>8640</v>
      </c>
      <c r="J13" s="57" t="s">
        <v>115</v>
      </c>
      <c r="K13" s="57">
        <f>538+338</f>
        <v>876</v>
      </c>
      <c r="L13" s="57">
        <f t="shared" si="1"/>
        <v>9516</v>
      </c>
      <c r="M13" s="58">
        <f>Tabela4[[#This Row],[TOTAL]]/$L$10</f>
        <v>1.029535864978903</v>
      </c>
      <c r="N13" s="57" t="s">
        <v>130</v>
      </c>
      <c r="P13" s="27">
        <v>2017</v>
      </c>
      <c r="Q13" s="24">
        <v>3652</v>
      </c>
      <c r="R13" s="24">
        <v>4647</v>
      </c>
      <c r="S13"/>
      <c r="T13"/>
      <c r="U13"/>
      <c r="V13"/>
      <c r="W13"/>
      <c r="X13"/>
      <c r="Y13"/>
      <c r="Z13"/>
      <c r="AA13"/>
      <c r="AB13"/>
      <c r="AC13"/>
    </row>
    <row r="14" spans="1:40" ht="14" x14ac:dyDescent="0.15">
      <c r="A14" s="49" t="s">
        <v>66</v>
      </c>
      <c r="B14" s="51" t="s">
        <v>90</v>
      </c>
      <c r="C14" s="49" t="s">
        <v>79</v>
      </c>
      <c r="D14" s="49">
        <v>63</v>
      </c>
      <c r="E14" s="49">
        <f t="shared" si="0"/>
        <v>126</v>
      </c>
      <c r="G14" s="48" t="s">
        <v>66</v>
      </c>
      <c r="H14" s="49">
        <v>2019</v>
      </c>
      <c r="I14" s="57">
        <v>3983</v>
      </c>
      <c r="J14" s="57">
        <v>5271</v>
      </c>
      <c r="K14" s="57">
        <v>971</v>
      </c>
      <c r="L14" s="57">
        <f t="shared" si="1"/>
        <v>10225</v>
      </c>
      <c r="M14" s="58">
        <f>Tabela4[[#This Row],[TOTAL]]/$L$10</f>
        <v>1.1062425619387646</v>
      </c>
      <c r="N14" s="57" t="s">
        <v>131</v>
      </c>
      <c r="P14" s="27">
        <v>2019</v>
      </c>
      <c r="Q14" s="24">
        <v>3983</v>
      </c>
      <c r="R14" s="24">
        <v>5271</v>
      </c>
      <c r="S14"/>
      <c r="T14"/>
      <c r="U14"/>
      <c r="V14"/>
      <c r="W14"/>
      <c r="X14"/>
      <c r="Y14"/>
      <c r="Z14"/>
      <c r="AA14"/>
      <c r="AB14"/>
      <c r="AC14"/>
    </row>
    <row r="15" spans="1:40" ht="14" x14ac:dyDescent="0.15">
      <c r="A15" s="49" t="s">
        <v>66</v>
      </c>
      <c r="B15" s="51" t="s">
        <v>91</v>
      </c>
      <c r="C15" s="49" t="s">
        <v>79</v>
      </c>
      <c r="D15" s="49">
        <v>63</v>
      </c>
      <c r="E15" s="49">
        <f t="shared" si="0"/>
        <v>126</v>
      </c>
      <c r="G15" s="48" t="s">
        <v>66</v>
      </c>
      <c r="H15" s="49">
        <v>2020</v>
      </c>
      <c r="I15" s="57">
        <v>4237</v>
      </c>
      <c r="J15" s="57">
        <v>5610</v>
      </c>
      <c r="K15" s="57">
        <v>1170</v>
      </c>
      <c r="L15" s="57">
        <f t="shared" si="1"/>
        <v>11017</v>
      </c>
      <c r="M15" s="58">
        <f>Tabela4[[#This Row],[TOTAL]]/$L$10</f>
        <v>1.1919290273720653</v>
      </c>
      <c r="N15" s="57" t="s">
        <v>131</v>
      </c>
      <c r="P15" s="27">
        <v>2020</v>
      </c>
      <c r="Q15" s="24">
        <v>4237</v>
      </c>
      <c r="R15" s="24">
        <v>5610</v>
      </c>
      <c r="S15"/>
      <c r="T15"/>
      <c r="U15"/>
      <c r="V15"/>
      <c r="W15"/>
      <c r="X15"/>
      <c r="Y15"/>
      <c r="Z15"/>
      <c r="AA15"/>
      <c r="AB15"/>
      <c r="AC15"/>
    </row>
    <row r="16" spans="1:40" ht="14" x14ac:dyDescent="0.15">
      <c r="A16" s="49" t="s">
        <v>67</v>
      </c>
      <c r="B16" s="51" t="s">
        <v>93</v>
      </c>
      <c r="C16" s="49" t="s">
        <v>79</v>
      </c>
      <c r="D16" s="49">
        <v>30</v>
      </c>
      <c r="E16" s="49">
        <f t="shared" si="0"/>
        <v>60</v>
      </c>
      <c r="G16" s="48" t="s">
        <v>67</v>
      </c>
      <c r="H16" s="49">
        <v>2015</v>
      </c>
      <c r="I16" s="57">
        <v>2125</v>
      </c>
      <c r="J16" s="57">
        <v>2523</v>
      </c>
      <c r="K16" s="57">
        <v>277</v>
      </c>
      <c r="L16" s="57">
        <f t="shared" si="1"/>
        <v>4925</v>
      </c>
      <c r="M16" s="58">
        <v>1</v>
      </c>
      <c r="N16" s="57"/>
      <c r="P16" s="26" t="s">
        <v>67</v>
      </c>
      <c r="Q16" s="24">
        <v>12644</v>
      </c>
      <c r="R16" s="24">
        <v>16288</v>
      </c>
      <c r="S16"/>
      <c r="T16"/>
      <c r="U16"/>
      <c r="V16"/>
      <c r="W16" s="64"/>
      <c r="X16"/>
      <c r="Y16"/>
      <c r="Z16"/>
      <c r="AA16"/>
      <c r="AB16"/>
      <c r="AC16"/>
    </row>
    <row r="17" spans="1:29" ht="14" x14ac:dyDescent="0.15">
      <c r="A17" s="49" t="s">
        <v>67</v>
      </c>
      <c r="B17" s="51" t="s">
        <v>94</v>
      </c>
      <c r="C17" s="49" t="s">
        <v>79</v>
      </c>
      <c r="D17" s="49">
        <v>37</v>
      </c>
      <c r="E17" s="49">
        <f t="shared" si="0"/>
        <v>74</v>
      </c>
      <c r="G17" s="48" t="s">
        <v>67</v>
      </c>
      <c r="H17" s="49">
        <v>2016</v>
      </c>
      <c r="I17" s="57">
        <v>2172</v>
      </c>
      <c r="J17" s="57">
        <v>2672</v>
      </c>
      <c r="K17" s="57">
        <v>398</v>
      </c>
      <c r="L17" s="57">
        <f t="shared" si="1"/>
        <v>5242</v>
      </c>
      <c r="M17" s="58">
        <f>Tabela4[[#This Row],[TOTAL]]/$L$16</f>
        <v>1.0643654822335025</v>
      </c>
      <c r="N17" s="57"/>
      <c r="P17" s="27">
        <v>2015</v>
      </c>
      <c r="Q17" s="24">
        <v>2125</v>
      </c>
      <c r="R17" s="24">
        <v>2523</v>
      </c>
      <c r="S17"/>
      <c r="T17"/>
      <c r="U17"/>
      <c r="V17"/>
      <c r="W17" s="64"/>
      <c r="X17"/>
      <c r="Y17"/>
      <c r="Z17"/>
      <c r="AA17"/>
      <c r="AB17"/>
      <c r="AC17"/>
    </row>
    <row r="18" spans="1:29" ht="14" x14ac:dyDescent="0.15">
      <c r="A18" s="49" t="s">
        <v>67</v>
      </c>
      <c r="B18" s="51" t="s">
        <v>95</v>
      </c>
      <c r="C18" s="49" t="s">
        <v>79</v>
      </c>
      <c r="D18" s="49">
        <v>25</v>
      </c>
      <c r="E18" s="49">
        <f t="shared" si="0"/>
        <v>50</v>
      </c>
      <c r="G18" s="48" t="s">
        <v>67</v>
      </c>
      <c r="H18" s="49">
        <v>2017</v>
      </c>
      <c r="I18" s="57">
        <v>2413</v>
      </c>
      <c r="J18" s="57">
        <v>3117</v>
      </c>
      <c r="K18" s="57">
        <v>328</v>
      </c>
      <c r="L18" s="57">
        <f t="shared" si="1"/>
        <v>5858</v>
      </c>
      <c r="M18" s="58">
        <f>Tabela4[[#This Row],[TOTAL]]/$L$16</f>
        <v>1.1894416243654822</v>
      </c>
      <c r="N18" s="57"/>
      <c r="P18" s="27">
        <v>2016</v>
      </c>
      <c r="Q18" s="24">
        <v>2172</v>
      </c>
      <c r="R18" s="24">
        <v>2672</v>
      </c>
      <c r="S18"/>
      <c r="T18"/>
      <c r="U18"/>
      <c r="V18"/>
      <c r="W18" s="64"/>
      <c r="X18"/>
      <c r="Y18"/>
      <c r="Z18"/>
      <c r="AA18"/>
      <c r="AB18"/>
      <c r="AC18"/>
    </row>
    <row r="19" spans="1:29" ht="14" x14ac:dyDescent="0.15">
      <c r="A19" s="49" t="s">
        <v>67</v>
      </c>
      <c r="B19" s="51" t="s">
        <v>96</v>
      </c>
      <c r="C19" s="49" t="s">
        <v>79</v>
      </c>
      <c r="D19" s="49">
        <v>38</v>
      </c>
      <c r="E19" s="49">
        <f t="shared" si="0"/>
        <v>76</v>
      </c>
      <c r="G19" s="48" t="s">
        <v>67</v>
      </c>
      <c r="H19" s="49">
        <v>2018</v>
      </c>
      <c r="I19" s="57">
        <v>6027</v>
      </c>
      <c r="J19" s="57" t="s">
        <v>115</v>
      </c>
      <c r="K19" s="57">
        <f>292+120</f>
        <v>412</v>
      </c>
      <c r="L19" s="57">
        <f t="shared" si="1"/>
        <v>6439</v>
      </c>
      <c r="M19" s="58">
        <f>Tabela4[[#This Row],[TOTAL]]/$L$16</f>
        <v>1.3074111675126903</v>
      </c>
      <c r="N19" s="57" t="s">
        <v>130</v>
      </c>
      <c r="P19" s="27">
        <v>2017</v>
      </c>
      <c r="Q19" s="24">
        <v>2413</v>
      </c>
      <c r="R19" s="24">
        <v>3117</v>
      </c>
      <c r="S19"/>
      <c r="T19"/>
      <c r="U19"/>
      <c r="V19"/>
      <c r="W19" s="64"/>
      <c r="X19"/>
      <c r="Y19"/>
      <c r="Z19"/>
      <c r="AA19"/>
      <c r="AB19"/>
      <c r="AC19"/>
    </row>
    <row r="20" spans="1:29" ht="14" x14ac:dyDescent="0.15">
      <c r="A20" s="49" t="s">
        <v>67</v>
      </c>
      <c r="B20" s="51" t="s">
        <v>97</v>
      </c>
      <c r="C20" s="49" t="s">
        <v>79</v>
      </c>
      <c r="D20" s="49">
        <v>37</v>
      </c>
      <c r="E20" s="49">
        <f t="shared" si="0"/>
        <v>74</v>
      </c>
      <c r="G20" s="48" t="s">
        <v>67</v>
      </c>
      <c r="H20" s="49">
        <v>2019</v>
      </c>
      <c r="I20" s="57">
        <v>2857</v>
      </c>
      <c r="J20" s="57">
        <v>3798</v>
      </c>
      <c r="K20" s="57">
        <v>475</v>
      </c>
      <c r="L20" s="57">
        <f t="shared" si="1"/>
        <v>7130</v>
      </c>
      <c r="M20" s="58">
        <f>Tabela4[[#This Row],[TOTAL]]/$L$16</f>
        <v>1.4477157360406092</v>
      </c>
      <c r="N20" s="57" t="s">
        <v>131</v>
      </c>
      <c r="P20" s="27">
        <v>2019</v>
      </c>
      <c r="Q20" s="24">
        <v>2857</v>
      </c>
      <c r="R20" s="24">
        <v>3798</v>
      </c>
      <c r="S20"/>
      <c r="T20"/>
      <c r="U20"/>
      <c r="V20"/>
      <c r="W20" s="64"/>
      <c r="X20"/>
      <c r="Y20"/>
      <c r="Z20"/>
      <c r="AA20"/>
      <c r="AB20"/>
      <c r="AC20"/>
    </row>
    <row r="21" spans="1:29" ht="14" x14ac:dyDescent="0.15">
      <c r="A21" s="49" t="s">
        <v>67</v>
      </c>
      <c r="B21" s="51" t="s">
        <v>98</v>
      </c>
      <c r="C21" s="49" t="s">
        <v>79</v>
      </c>
      <c r="D21" s="49">
        <v>38</v>
      </c>
      <c r="E21" s="49">
        <f t="shared" si="0"/>
        <v>76</v>
      </c>
      <c r="G21" s="48" t="s">
        <v>67</v>
      </c>
      <c r="H21" s="49">
        <v>2020</v>
      </c>
      <c r="I21" s="57">
        <v>3077</v>
      </c>
      <c r="J21" s="57">
        <v>4178</v>
      </c>
      <c r="K21" s="57">
        <v>570</v>
      </c>
      <c r="L21" s="57">
        <f t="shared" si="1"/>
        <v>7825</v>
      </c>
      <c r="M21" s="58">
        <f>Tabela4[[#This Row],[TOTAL]]/$L$16</f>
        <v>1.5888324873096447</v>
      </c>
      <c r="N21" s="57" t="s">
        <v>131</v>
      </c>
      <c r="P21" s="27">
        <v>2020</v>
      </c>
      <c r="Q21" s="24">
        <v>3077</v>
      </c>
      <c r="R21" s="24">
        <v>4178</v>
      </c>
      <c r="S21"/>
      <c r="T21"/>
      <c r="U21"/>
      <c r="V21"/>
      <c r="W21" s="64"/>
      <c r="X21"/>
      <c r="Y21"/>
      <c r="Z21"/>
      <c r="AA21"/>
      <c r="AB21"/>
      <c r="AC21"/>
    </row>
    <row r="22" spans="1:29" ht="14" x14ac:dyDescent="0.15">
      <c r="A22" s="49" t="s">
        <v>67</v>
      </c>
      <c r="B22" s="51" t="s">
        <v>99</v>
      </c>
      <c r="C22" s="49" t="s">
        <v>79</v>
      </c>
      <c r="D22" s="49">
        <v>25</v>
      </c>
      <c r="E22" s="49">
        <f t="shared" si="0"/>
        <v>50</v>
      </c>
      <c r="P22" s="26" t="s">
        <v>58</v>
      </c>
      <c r="Q22" s="24">
        <v>31642</v>
      </c>
      <c r="R22" s="24">
        <v>40859</v>
      </c>
      <c r="S22"/>
      <c r="T22"/>
      <c r="U22"/>
      <c r="V22"/>
      <c r="W22"/>
      <c r="X22"/>
      <c r="Y22"/>
      <c r="Z22"/>
      <c r="AA22"/>
      <c r="AB22"/>
      <c r="AC22"/>
    </row>
    <row r="23" spans="1:29" ht="14" x14ac:dyDescent="0.15">
      <c r="A23" s="49" t="s">
        <v>66</v>
      </c>
      <c r="B23" s="51" t="s">
        <v>100</v>
      </c>
      <c r="C23" s="49" t="s">
        <v>79</v>
      </c>
      <c r="D23" s="49">
        <v>20</v>
      </c>
      <c r="E23" s="49">
        <f t="shared" si="0"/>
        <v>40</v>
      </c>
      <c r="H23" s="51" t="s">
        <v>126</v>
      </c>
      <c r="P23"/>
      <c r="Q23"/>
      <c r="R23"/>
    </row>
    <row r="24" spans="1:29" ht="14" x14ac:dyDescent="0.15">
      <c r="A24" s="49" t="s">
        <v>66</v>
      </c>
      <c r="B24" s="51" t="s">
        <v>101</v>
      </c>
      <c r="C24" s="49" t="s">
        <v>79</v>
      </c>
      <c r="D24" s="49">
        <v>20</v>
      </c>
      <c r="E24" s="49">
        <f t="shared" si="0"/>
        <v>40</v>
      </c>
      <c r="H24" s="51" t="s">
        <v>127</v>
      </c>
      <c r="P24"/>
      <c r="Q24"/>
      <c r="R24"/>
    </row>
    <row r="25" spans="1:29" ht="14" x14ac:dyDescent="0.15">
      <c r="A25" s="49" t="s">
        <v>66</v>
      </c>
      <c r="B25" s="51" t="s">
        <v>102</v>
      </c>
      <c r="C25" s="49" t="s">
        <v>79</v>
      </c>
      <c r="D25" s="49">
        <v>20</v>
      </c>
      <c r="E25" s="49">
        <f t="shared" si="0"/>
        <v>40</v>
      </c>
      <c r="H25" s="51" t="s">
        <v>128</v>
      </c>
      <c r="P25"/>
      <c r="Q25"/>
      <c r="R25"/>
    </row>
    <row r="26" spans="1:29" ht="14" x14ac:dyDescent="0.15">
      <c r="A26" s="49" t="s">
        <v>66</v>
      </c>
      <c r="B26" s="51" t="s">
        <v>103</v>
      </c>
      <c r="C26" s="49" t="s">
        <v>79</v>
      </c>
      <c r="D26" s="49">
        <v>20</v>
      </c>
      <c r="E26" s="49">
        <f t="shared" si="0"/>
        <v>40</v>
      </c>
      <c r="P26"/>
      <c r="Q26"/>
      <c r="R26"/>
    </row>
    <row r="27" spans="1:29" ht="14" x14ac:dyDescent="0.15">
      <c r="A27" s="51" t="s">
        <v>120</v>
      </c>
      <c r="P27"/>
    </row>
    <row r="28" spans="1:29" ht="14" x14ac:dyDescent="0.15">
      <c r="A28" s="51" t="s">
        <v>121</v>
      </c>
      <c r="P28"/>
    </row>
    <row r="29" spans="1:29" ht="14" x14ac:dyDescent="0.15">
      <c r="P29"/>
    </row>
    <row r="30" spans="1:29" ht="14" x14ac:dyDescent="0.15">
      <c r="P30"/>
    </row>
    <row r="31" spans="1:29" ht="14" x14ac:dyDescent="0.15">
      <c r="E31" s="49">
        <f>SUM(Tabela2[Total])*2</f>
        <v>4276</v>
      </c>
      <c r="P31"/>
    </row>
    <row r="32" spans="1:29" ht="14" x14ac:dyDescent="0.15">
      <c r="P32"/>
    </row>
    <row r="33" spans="16:16" ht="14" x14ac:dyDescent="0.15">
      <c r="P33"/>
    </row>
    <row r="34" spans="16:16" ht="14" x14ac:dyDescent="0.15">
      <c r="P34"/>
    </row>
  </sheetData>
  <mergeCells count="1">
    <mergeCell ref="K1:L1"/>
  </mergeCells>
  <phoneticPr fontId="8" type="noConversion"/>
  <hyperlinks>
    <hyperlink ref="K4" r:id="rId2" xr:uid="{E8F1316B-0D30-4880-B297-E1F2CF73F4F2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3"/>
  <tableParts count="3"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000"/>
  <sheetViews>
    <sheetView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K33" sqref="K33"/>
    </sheetView>
  </sheetViews>
  <sheetFormatPr baseColWidth="10" defaultColWidth="12.6640625" defaultRowHeight="15" customHeight="1" outlineLevelCol="1" x14ac:dyDescent="0.2"/>
  <cols>
    <col min="1" max="3" width="10.6640625" style="1" customWidth="1"/>
    <col min="4" max="7" width="10.6640625" style="1" customWidth="1" outlineLevel="1"/>
    <col min="8" max="8" width="8.83203125" style="1" bestFit="1" customWidth="1" outlineLevel="1"/>
    <col min="9" max="9" width="25.33203125" style="1" customWidth="1" outlineLevel="1"/>
    <col min="10" max="10" width="23.5" style="1" customWidth="1" outlineLevel="1"/>
    <col min="11" max="11" width="26" style="1" bestFit="1" customWidth="1" outlineLevel="1"/>
    <col min="12" max="12" width="26.83203125" style="1" bestFit="1" customWidth="1" outlineLevel="1"/>
    <col min="13" max="13" width="20.1640625" style="1" customWidth="1" outlineLevel="1"/>
    <col min="14" max="14" width="16.1640625" style="1" customWidth="1" outlineLevel="1"/>
    <col min="15" max="15" width="17.1640625" style="1" customWidth="1" outlineLevel="1"/>
    <col min="16" max="16" width="16" style="1" customWidth="1" outlineLevel="1"/>
    <col min="17" max="17" width="16.83203125" style="1" customWidth="1" outlineLevel="1"/>
    <col min="18" max="18" width="17.33203125" style="1" customWidth="1" outlineLevel="1"/>
    <col min="19" max="19" width="18.1640625" style="1" customWidth="1" outlineLevel="1"/>
    <col min="20" max="20" width="15" style="1" customWidth="1" outlineLevel="1"/>
    <col min="21" max="21" width="15.83203125" style="1" customWidth="1" outlineLevel="1"/>
    <col min="22" max="22" width="18.1640625" style="1" customWidth="1" outlineLevel="1"/>
    <col min="23" max="23" width="19" style="1" customWidth="1" outlineLevel="1"/>
    <col min="24" max="24" width="16.83203125" style="1" customWidth="1" outlineLevel="1"/>
    <col min="25" max="25" width="17.6640625" style="1" customWidth="1" outlineLevel="1"/>
    <col min="26" max="26" width="14.33203125" style="1" customWidth="1" outlineLevel="1"/>
    <col min="27" max="27" width="14.1640625" style="1" customWidth="1" outlineLevel="1"/>
    <col min="28" max="28" width="16.5" style="1" customWidth="1" outlineLevel="1"/>
    <col min="29" max="30" width="17.5" style="1" customWidth="1" outlineLevel="1"/>
    <col min="31" max="31" width="14.83203125" style="1" customWidth="1"/>
    <col min="32" max="32" width="24.1640625" style="1" customWidth="1" outlineLevel="1"/>
    <col min="33" max="34" width="25.1640625" style="1" customWidth="1" outlineLevel="1"/>
    <col min="35" max="35" width="15" style="1" customWidth="1" outlineLevel="1"/>
    <col min="36" max="36" width="12.6640625" style="1" customWidth="1" outlineLevel="1"/>
    <col min="37" max="38" width="17.1640625" style="1" customWidth="1" outlineLevel="1"/>
    <col min="39" max="43" width="12.6640625" style="1"/>
    <col min="44" max="44" width="23" style="1" bestFit="1" customWidth="1"/>
    <col min="45" max="45" width="23" style="1" customWidth="1"/>
    <col min="46" max="46" width="21.33203125" style="1" bestFit="1" customWidth="1"/>
    <col min="47" max="47" width="12.6640625" style="1"/>
    <col min="48" max="48" width="6.6640625" style="1" bestFit="1" customWidth="1"/>
    <col min="49" max="49" width="6.1640625" style="1" hidden="1" customWidth="1"/>
    <col min="50" max="55" width="6.6640625" style="1" bestFit="1" customWidth="1"/>
    <col min="56" max="56" width="4.83203125" style="1" bestFit="1" customWidth="1"/>
    <col min="57" max="57" width="6.6640625" style="1" bestFit="1" customWidth="1"/>
    <col min="58" max="58" width="19.5" style="1" hidden="1" customWidth="1"/>
    <col min="59" max="63" width="6.6640625" style="1" bestFit="1" customWidth="1"/>
    <col min="64" max="64" width="10.6640625" style="1" bestFit="1" customWidth="1"/>
    <col min="65" max="65" width="12.6640625" style="1"/>
    <col min="66" max="66" width="18" style="1" bestFit="1" customWidth="1"/>
    <col min="67" max="67" width="22.6640625" style="1" bestFit="1" customWidth="1"/>
    <col min="68" max="16384" width="12.6640625" style="1"/>
  </cols>
  <sheetData>
    <row r="1" spans="1:68" s="13" customFormat="1" x14ac:dyDescent="0.15">
      <c r="A1" s="19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21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22" t="s">
        <v>31</v>
      </c>
      <c r="AG1" s="38" t="s">
        <v>59</v>
      </c>
      <c r="AH1" s="38" t="s">
        <v>60</v>
      </c>
      <c r="AI1" s="38" t="s">
        <v>61</v>
      </c>
      <c r="AJ1" s="38" t="s">
        <v>62</v>
      </c>
      <c r="AK1" s="38" t="s">
        <v>63</v>
      </c>
      <c r="AL1" s="38" t="s">
        <v>64</v>
      </c>
      <c r="AM1" s="38" t="s">
        <v>65</v>
      </c>
      <c r="AN1" s="38" t="s">
        <v>69</v>
      </c>
      <c r="AO1" s="38" t="s">
        <v>169</v>
      </c>
      <c r="AP1" s="38" t="s">
        <v>176</v>
      </c>
      <c r="AQ1" s="38" t="s">
        <v>177</v>
      </c>
      <c r="AR1" s="38" t="s">
        <v>190</v>
      </c>
      <c r="AS1" s="38" t="s">
        <v>191</v>
      </c>
      <c r="AT1" s="38" t="s">
        <v>187</v>
      </c>
      <c r="AV1" s="25" t="s">
        <v>155</v>
      </c>
      <c r="AW1" s="25" t="s">
        <v>72</v>
      </c>
      <c r="AX1"/>
      <c r="AY1"/>
      <c r="AZ1"/>
      <c r="BA1"/>
      <c r="BB1"/>
      <c r="BC1"/>
      <c r="BE1" s="25" t="s">
        <v>175</v>
      </c>
      <c r="BF1" s="25" t="s">
        <v>72</v>
      </c>
      <c r="BG1"/>
      <c r="BH1"/>
      <c r="BI1"/>
      <c r="BJ1"/>
      <c r="BK1"/>
      <c r="BL1"/>
      <c r="BN1" s="25" t="s">
        <v>0</v>
      </c>
      <c r="BO1" t="s">
        <v>66</v>
      </c>
      <c r="BP1"/>
    </row>
    <row r="2" spans="1:68" x14ac:dyDescent="0.2">
      <c r="A2" s="39" t="s">
        <v>66</v>
      </c>
      <c r="B2" s="14">
        <v>42005</v>
      </c>
      <c r="C2" s="2">
        <v>2015</v>
      </c>
      <c r="D2" s="2">
        <v>1</v>
      </c>
      <c r="E2" s="2">
        <v>31</v>
      </c>
      <c r="F2" s="2">
        <v>6.6E-3</v>
      </c>
      <c r="G2" s="2">
        <v>3.0200000000000001E-2</v>
      </c>
      <c r="H2" s="2">
        <v>0.18</v>
      </c>
      <c r="I2" s="2">
        <v>1400</v>
      </c>
      <c r="J2" s="2">
        <v>1400</v>
      </c>
      <c r="K2" s="2">
        <v>1009.7</v>
      </c>
      <c r="L2" s="2">
        <v>1139.9000000000001</v>
      </c>
      <c r="M2" s="2"/>
      <c r="N2" s="3"/>
      <c r="O2" s="2">
        <v>7.2863600000000002</v>
      </c>
      <c r="P2" s="2"/>
      <c r="Q2" s="2">
        <v>41511.5</v>
      </c>
      <c r="R2" s="2">
        <v>421700.20000000007</v>
      </c>
      <c r="S2" s="2">
        <v>0.30453000000000002</v>
      </c>
      <c r="T2" s="2">
        <v>2.18E-2</v>
      </c>
      <c r="U2" s="2">
        <v>0.28789709677419351</v>
      </c>
      <c r="V2" s="2">
        <v>0.17969709677419357</v>
      </c>
      <c r="W2" s="2">
        <v>2489.1</v>
      </c>
      <c r="X2" s="2">
        <v>23603.600000000002</v>
      </c>
      <c r="Y2" s="2"/>
      <c r="Z2" s="2"/>
      <c r="AA2" s="33">
        <v>142229.76000000001</v>
      </c>
      <c r="AB2" s="33">
        <v>463211.70000000007</v>
      </c>
      <c r="AC2" s="33"/>
      <c r="AD2" s="33">
        <v>18929.25</v>
      </c>
      <c r="AE2" s="33">
        <v>35137.72</v>
      </c>
      <c r="AF2" s="16" t="s">
        <v>32</v>
      </c>
      <c r="AG2" s="28">
        <f>IFERROR(IF(Dados_SA[[#This Row],[DEMANDA_REGISTRADA_P]]/Dados_SA[[#This Row],[DEMANDA_CONTRATADA_P]]=0,"",Dados_SA[[#This Row],[DEMANDA_REGISTRADA_P]]/Dados_SA[[#This Row],[DEMANDA_CONTRATADA_P]]),"")</f>
        <v>0.7212142857142857</v>
      </c>
      <c r="AH2" s="28">
        <f>IFERROR(IF(Dados_SA[[#This Row],[DEMANDA_REGISTRADA_FP]]/Dados_SA[[#This Row],[DEMANDA_CONTRATADA_FP]]=0,"",Dados_SA[[#This Row],[DEMANDA_REGISTRADA_FP]]/Dados_SA[[#This Row],[DEMANDA_CONTRATADA_FP]]),"")</f>
        <v>0.81421428571428578</v>
      </c>
      <c r="AI2" s="3">
        <f>IF(Dados_SA[[#This Row],[% Demanda contratada P]]&gt;105%,1,0)</f>
        <v>0</v>
      </c>
      <c r="AJ2" s="3">
        <f>IF(Dados_SA[[#This Row],[% Demanda contratada FP]]&gt;105%,1,0)</f>
        <v>0</v>
      </c>
      <c r="AK2" s="36">
        <f>Dados_SA[[#This Row],[Acrescimo_Bamar]]/Dados_SA[[#This Row],[Valor da Fatura]]</f>
        <v>0</v>
      </c>
      <c r="AL2" s="36">
        <f>Dados_SA[[#This Row],[Acrescimo_Bverm1]]/Dados_SA[[#This Row],[Valor da Fatura]]</f>
        <v>0.13308923533302733</v>
      </c>
      <c r="AM2" s="36">
        <f>Dados_SA[[#This Row],[Acrescimo_Bverm2]]/Dados_SA[[#This Row],[Valor da Fatura]]</f>
        <v>0.24704900015299189</v>
      </c>
      <c r="AN2" s="36">
        <v>1.05</v>
      </c>
      <c r="AO2" s="36">
        <v>1</v>
      </c>
      <c r="AP2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2" s="65">
        <f>IF(Dados_SA[[#This Row],[Exced]]&lt;&gt;"",1,0)</f>
        <v>0</v>
      </c>
      <c r="AR2" s="65">
        <f>AVERAGEIFS(Dados_SA[DEMANDA_REGISTRADA_P],Dados_SA[ANO],2015,Dados_SA[UC],"SA")</f>
        <v>1203.3000000000002</v>
      </c>
      <c r="AS2" s="65">
        <f>AVERAGEIFS(Dados_SA[DEMANDA_REGISTRADA_FP],Dados_SA[ANO],2015,Dados_SA[UC],"SA")</f>
        <v>1321.875</v>
      </c>
      <c r="AT2" s="65">
        <v>501634.58</v>
      </c>
      <c r="AV2" s="25" t="s">
        <v>0</v>
      </c>
      <c r="AW2">
        <v>2015</v>
      </c>
      <c r="AX2">
        <v>2016</v>
      </c>
      <c r="AY2">
        <v>2017</v>
      </c>
      <c r="AZ2">
        <v>2018</v>
      </c>
      <c r="BA2">
        <v>2019</v>
      </c>
      <c r="BB2">
        <v>2020</v>
      </c>
      <c r="BC2"/>
      <c r="BE2" s="25" t="s">
        <v>0</v>
      </c>
      <c r="BF2">
        <v>2015</v>
      </c>
      <c r="BG2">
        <v>2016</v>
      </c>
      <c r="BH2">
        <v>2017</v>
      </c>
      <c r="BI2">
        <v>2018</v>
      </c>
      <c r="BJ2">
        <v>2019</v>
      </c>
      <c r="BK2">
        <v>2020</v>
      </c>
      <c r="BL2"/>
      <c r="BN2"/>
      <c r="BO2"/>
      <c r="BP2"/>
    </row>
    <row r="3" spans="1:68" x14ac:dyDescent="0.2">
      <c r="A3" s="39" t="s">
        <v>66</v>
      </c>
      <c r="B3" s="14">
        <v>42036</v>
      </c>
      <c r="C3" s="2">
        <v>2015</v>
      </c>
      <c r="D3" s="2">
        <v>2</v>
      </c>
      <c r="E3" s="2">
        <v>28</v>
      </c>
      <c r="F3" s="2">
        <v>1.2500000000000001E-2</v>
      </c>
      <c r="G3" s="2">
        <v>5.7000000000000002E-2</v>
      </c>
      <c r="H3" s="2">
        <v>0.18</v>
      </c>
      <c r="I3" s="2">
        <v>1400</v>
      </c>
      <c r="J3" s="2">
        <v>1400</v>
      </c>
      <c r="K3" s="2">
        <v>1306.2</v>
      </c>
      <c r="L3" s="2">
        <v>1392.7</v>
      </c>
      <c r="M3" s="2"/>
      <c r="N3" s="3"/>
      <c r="O3" s="2">
        <v>7.77</v>
      </c>
      <c r="P3" s="2"/>
      <c r="Q3" s="2">
        <v>56469.2</v>
      </c>
      <c r="R3" s="2">
        <v>457617.1</v>
      </c>
      <c r="S3" s="2">
        <v>0.32399</v>
      </c>
      <c r="T3" s="2">
        <v>2.179E-2</v>
      </c>
      <c r="U3" s="2">
        <v>0.30051</v>
      </c>
      <c r="V3" s="2">
        <v>0.19231000000000001</v>
      </c>
      <c r="W3" s="2">
        <v>5674.2</v>
      </c>
      <c r="X3" s="2">
        <v>35088.9</v>
      </c>
      <c r="Y3" s="2"/>
      <c r="Z3" s="2"/>
      <c r="AA3" s="33">
        <v>180765.99</v>
      </c>
      <c r="AB3" s="33">
        <v>514086.3</v>
      </c>
      <c r="AC3" s="33"/>
      <c r="AD3" s="33">
        <v>104973.9</v>
      </c>
      <c r="AE3" s="33"/>
      <c r="AF3" s="16" t="s">
        <v>32</v>
      </c>
      <c r="AG3" s="28">
        <f>IFERROR(IF(Dados_SA[[#This Row],[DEMANDA_REGISTRADA_P]]/Dados_SA[[#This Row],[DEMANDA_CONTRATADA_P]]=0,"",Dados_SA[[#This Row],[DEMANDA_REGISTRADA_P]]/Dados_SA[[#This Row],[DEMANDA_CONTRATADA_P]]),"")</f>
        <v>0.93300000000000005</v>
      </c>
      <c r="AH3" s="28">
        <f>IFERROR(IF(Dados_SA[[#This Row],[DEMANDA_REGISTRADA_FP]]/Dados_SA[[#This Row],[DEMANDA_CONTRATADA_FP]]=0,"",Dados_SA[[#This Row],[DEMANDA_REGISTRADA_FP]]/Dados_SA[[#This Row],[DEMANDA_CONTRATADA_FP]]),"")</f>
        <v>0.99478571428571427</v>
      </c>
      <c r="AI3" s="3">
        <f>IF(Dados_SA[[#This Row],[% Demanda contratada P]]&gt;105%,1,0)</f>
        <v>0</v>
      </c>
      <c r="AJ3" s="3">
        <f>IF(Dados_SA[[#This Row],[% Demanda contratada FP]]&gt;105%,1,0)</f>
        <v>0</v>
      </c>
      <c r="AK3" s="36">
        <f>Dados_SA[[#This Row],[Acrescimo_Bamar]]/Dados_SA[[#This Row],[Valor da Fatura]]</f>
        <v>0</v>
      </c>
      <c r="AL3" s="36">
        <f>Dados_SA[[#This Row],[Acrescimo_Bverm1]]/Dados_SA[[#This Row],[Valor da Fatura]]</f>
        <v>0.58071709174939379</v>
      </c>
      <c r="AM3" s="36">
        <f>Dados_SA[[#This Row],[Acrescimo_Bverm2]]/Dados_SA[[#This Row],[Valor da Fatura]]</f>
        <v>0</v>
      </c>
      <c r="AN3" s="36">
        <v>1.05</v>
      </c>
      <c r="AO3" s="36">
        <v>1</v>
      </c>
      <c r="AP3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3" s="65">
        <f>IF(Dados_SA[[#This Row],[Exced]]&lt;&gt;"",1,0)</f>
        <v>0</v>
      </c>
      <c r="AR3" s="65">
        <f>AVERAGEIFS(Dados_SA[DEMANDA_REGISTRADA_P],Dados_SA[ANO],2015,Dados_SA[UC],"SA")</f>
        <v>1203.3000000000002</v>
      </c>
      <c r="AS3" s="65">
        <f>AVERAGEIFS(Dados_SA[DEMANDA_REGISTRADA_FP],Dados_SA[ANO],2015,Dados_SA[UC],"SA")</f>
        <v>1321.875</v>
      </c>
      <c r="AT3" s="65">
        <v>501634.58</v>
      </c>
      <c r="AU3" s="47"/>
      <c r="AV3" s="26" t="s">
        <v>66</v>
      </c>
      <c r="AW3" s="30"/>
      <c r="AX3" s="30">
        <v>-3.1109472099873546E-2</v>
      </c>
      <c r="AY3" s="30">
        <v>-3.8920745727027053E-3</v>
      </c>
      <c r="AZ3" s="30">
        <v>-5.526468877254255E-3</v>
      </c>
      <c r="BA3" s="30">
        <v>2.3383707920502483E-2</v>
      </c>
      <c r="BB3" s="30">
        <v>-0.67120280340175631</v>
      </c>
      <c r="BC3"/>
      <c r="BE3" s="26" t="s">
        <v>66</v>
      </c>
      <c r="BF3" s="30"/>
      <c r="BG3" s="30">
        <v>-2.0219070133963658E-2</v>
      </c>
      <c r="BH3" s="30">
        <v>-6.6130811662727471E-3</v>
      </c>
      <c r="BI3" s="30">
        <v>-8.3656422379828239E-3</v>
      </c>
      <c r="BJ3" s="30">
        <v>2.7044917257684131E-3</v>
      </c>
      <c r="BK3" s="30">
        <v>-0.66210244286840025</v>
      </c>
      <c r="BL3"/>
      <c r="BN3" s="25" t="s">
        <v>57</v>
      </c>
      <c r="BO3" t="s">
        <v>71</v>
      </c>
      <c r="BP3"/>
    </row>
    <row r="4" spans="1:68" x14ac:dyDescent="0.2">
      <c r="A4" s="39" t="s">
        <v>66</v>
      </c>
      <c r="B4" s="14">
        <v>42064</v>
      </c>
      <c r="C4" s="2">
        <v>2015</v>
      </c>
      <c r="D4" s="2">
        <v>3</v>
      </c>
      <c r="E4" s="2">
        <v>31</v>
      </c>
      <c r="F4" s="2">
        <v>9.4999999999999998E-3</v>
      </c>
      <c r="G4" s="4">
        <v>4.36E-2</v>
      </c>
      <c r="H4" s="2">
        <v>0.18</v>
      </c>
      <c r="I4" s="2">
        <v>1400</v>
      </c>
      <c r="J4" s="2">
        <v>1400</v>
      </c>
      <c r="K4" s="2">
        <v>1338.1</v>
      </c>
      <c r="L4" s="2">
        <v>1455.7</v>
      </c>
      <c r="M4" s="2"/>
      <c r="N4" s="3"/>
      <c r="O4" s="2">
        <v>7.9582100000000002</v>
      </c>
      <c r="P4" s="2"/>
      <c r="Q4" s="2">
        <v>66738.600000000006</v>
      </c>
      <c r="R4" s="2">
        <v>468047.60000000003</v>
      </c>
      <c r="S4" s="2">
        <v>0.36119000000000001</v>
      </c>
      <c r="T4" s="2">
        <v>5.0700000000000002E-2</v>
      </c>
      <c r="U4" s="2">
        <v>0.34238416979079567</v>
      </c>
      <c r="V4" s="2">
        <v>0.21264895227050012</v>
      </c>
      <c r="W4" s="2">
        <v>7578.5</v>
      </c>
      <c r="X4" s="2">
        <v>44565.1</v>
      </c>
      <c r="Y4" s="2"/>
      <c r="Z4" s="2"/>
      <c r="AA4" s="33">
        <v>229632.74</v>
      </c>
      <c r="AB4" s="33">
        <v>534786.20000000007</v>
      </c>
      <c r="AC4" s="33"/>
      <c r="AD4" s="33">
        <v>22850.239999999998</v>
      </c>
      <c r="AE4" s="33">
        <v>104746.78</v>
      </c>
      <c r="AF4" s="16" t="s">
        <v>32</v>
      </c>
      <c r="AG4" s="28">
        <f>IFERROR(IF(Dados_SA[[#This Row],[DEMANDA_REGISTRADA_P]]/Dados_SA[[#This Row],[DEMANDA_CONTRATADA_P]]=0,"",Dados_SA[[#This Row],[DEMANDA_REGISTRADA_P]]/Dados_SA[[#This Row],[DEMANDA_CONTRATADA_P]]),"")</f>
        <v>0.95578571428571424</v>
      </c>
      <c r="AH4" s="28">
        <f>IFERROR(IF(Dados_SA[[#This Row],[DEMANDA_REGISTRADA_FP]]/Dados_SA[[#This Row],[DEMANDA_CONTRATADA_FP]]=0,"",Dados_SA[[#This Row],[DEMANDA_REGISTRADA_FP]]/Dados_SA[[#This Row],[DEMANDA_CONTRATADA_FP]]),"")</f>
        <v>1.0397857142857143</v>
      </c>
      <c r="AI4" s="3">
        <f>IF(Dados_SA[[#This Row],[% Demanda contratada P]]&gt;105%,1,0)</f>
        <v>0</v>
      </c>
      <c r="AJ4" s="3">
        <f>IF(Dados_SA[[#This Row],[% Demanda contratada FP]]&gt;105%,1,0)</f>
        <v>0</v>
      </c>
      <c r="AK4" s="36">
        <f>Dados_SA[[#This Row],[Acrescimo_Bamar]]/Dados_SA[[#This Row],[Valor da Fatura]]</f>
        <v>0</v>
      </c>
      <c r="AL4" s="36">
        <f>Dados_SA[[#This Row],[Acrescimo_Bverm1]]/Dados_SA[[#This Row],[Valor da Fatura]]</f>
        <v>9.9507761828735747E-2</v>
      </c>
      <c r="AM4" s="36">
        <f>Dados_SA[[#This Row],[Acrescimo_Bverm2]]/Dados_SA[[#This Row],[Valor da Fatura]]</f>
        <v>0.456149153644206</v>
      </c>
      <c r="AN4" s="36">
        <v>1.05</v>
      </c>
      <c r="AO4" s="36">
        <v>1</v>
      </c>
      <c r="AP4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4" s="65">
        <f>IF(Dados_SA[[#This Row],[Exced]]&lt;&gt;"",1,0)</f>
        <v>0</v>
      </c>
      <c r="AR4" s="65">
        <f>AVERAGEIFS(Dados_SA[DEMANDA_REGISTRADA_P],Dados_SA[ANO],2015,Dados_SA[UC],"SA")</f>
        <v>1203.3000000000002</v>
      </c>
      <c r="AS4" s="65">
        <f>AVERAGEIFS(Dados_SA[DEMANDA_REGISTRADA_FP],Dados_SA[ANO],2015,Dados_SA[UC],"SA")</f>
        <v>1321.875</v>
      </c>
      <c r="AT4" s="65">
        <v>501634.58</v>
      </c>
      <c r="AU4" s="47"/>
      <c r="AV4" s="27">
        <v>1</v>
      </c>
      <c r="AW4" s="30"/>
      <c r="AX4" s="30">
        <v>2.4957908289591144E-2</v>
      </c>
      <c r="AY4" s="30">
        <v>0.15638308408438148</v>
      </c>
      <c r="AZ4" s="30">
        <v>9.5671981776765308E-2</v>
      </c>
      <c r="BA4" s="30">
        <v>0.24621174606318713</v>
      </c>
      <c r="BB4" s="30">
        <v>0.18718431217193227</v>
      </c>
      <c r="BC4" s="64">
        <f>AVERAGEIF(AX4:BA4,"&gt;-1",AX4:BA4)</f>
        <v>0.13080618005348127</v>
      </c>
      <c r="BE4" s="27">
        <v>1</v>
      </c>
      <c r="BF4" s="30"/>
      <c r="BG4" s="30">
        <v>0.10974646898850768</v>
      </c>
      <c r="BH4" s="30">
        <v>0.12676550574611806</v>
      </c>
      <c r="BI4" s="30">
        <v>0.1775594350381611</v>
      </c>
      <c r="BJ4" s="30">
        <v>0.36845337310290371</v>
      </c>
      <c r="BK4" s="30">
        <v>0.12816913764365287</v>
      </c>
      <c r="BL4" s="64">
        <f>AVERAGEIF(BG4:BJ4,"&gt;-1",BG4:BJ4)</f>
        <v>0.19563119571892262</v>
      </c>
      <c r="BN4" s="26">
        <v>2015</v>
      </c>
      <c r="BO4" s="24">
        <v>6019615</v>
      </c>
      <c r="BP4"/>
    </row>
    <row r="5" spans="1:68" x14ac:dyDescent="0.2">
      <c r="A5" s="39" t="s">
        <v>66</v>
      </c>
      <c r="B5" s="14">
        <v>42095</v>
      </c>
      <c r="C5" s="2">
        <v>2015</v>
      </c>
      <c r="D5" s="2">
        <v>4</v>
      </c>
      <c r="E5" s="2">
        <v>30</v>
      </c>
      <c r="F5" s="4">
        <v>6.7000000000000002E-3</v>
      </c>
      <c r="G5" s="2">
        <v>3.0800000000000001E-2</v>
      </c>
      <c r="H5" s="2">
        <v>0.18</v>
      </c>
      <c r="I5" s="2">
        <v>1400</v>
      </c>
      <c r="J5" s="2">
        <v>1400</v>
      </c>
      <c r="K5" s="2">
        <v>1249.9000000000001</v>
      </c>
      <c r="L5" s="2">
        <v>1368.4</v>
      </c>
      <c r="M5" s="2"/>
      <c r="N5" s="3"/>
      <c r="O5" s="2">
        <v>8.08</v>
      </c>
      <c r="P5" s="2"/>
      <c r="Q5" s="2">
        <v>63900.7</v>
      </c>
      <c r="R5" s="2">
        <v>456376.19999999995</v>
      </c>
      <c r="S5" s="2">
        <v>0.38525999999999999</v>
      </c>
      <c r="T5" s="2">
        <v>6.9409999999999999E-2</v>
      </c>
      <c r="U5" s="2">
        <v>0.36798999999999998</v>
      </c>
      <c r="V5" s="2">
        <v>0.24590999999999999</v>
      </c>
      <c r="W5" s="2">
        <v>5526.4</v>
      </c>
      <c r="X5" s="2">
        <v>35616.800000000003</v>
      </c>
      <c r="Y5" s="2"/>
      <c r="Z5" s="2"/>
      <c r="AA5" s="33">
        <v>244705.37</v>
      </c>
      <c r="AB5" s="33">
        <v>520276.89999999997</v>
      </c>
      <c r="AC5" s="33"/>
      <c r="AD5" s="33">
        <v>135742.28</v>
      </c>
      <c r="AE5" s="33"/>
      <c r="AF5" s="16" t="s">
        <v>32</v>
      </c>
      <c r="AG5" s="28">
        <f>IFERROR(IF(Dados_SA[[#This Row],[DEMANDA_REGISTRADA_P]]/Dados_SA[[#This Row],[DEMANDA_CONTRATADA_P]]=0,"",Dados_SA[[#This Row],[DEMANDA_REGISTRADA_P]]/Dados_SA[[#This Row],[DEMANDA_CONTRATADA_P]]),"")</f>
        <v>0.8927857142857144</v>
      </c>
      <c r="AH5" s="28">
        <f>IFERROR(IF(Dados_SA[[#This Row],[DEMANDA_REGISTRADA_FP]]/Dados_SA[[#This Row],[DEMANDA_CONTRATADA_FP]]=0,"",Dados_SA[[#This Row],[DEMANDA_REGISTRADA_FP]]/Dados_SA[[#This Row],[DEMANDA_CONTRATADA_FP]]),"")</f>
        <v>0.97742857142857154</v>
      </c>
      <c r="AI5" s="3">
        <f>IF(Dados_SA[[#This Row],[% Demanda contratada P]]&gt;105%,1,0)</f>
        <v>0</v>
      </c>
      <c r="AJ5" s="3">
        <f>IF(Dados_SA[[#This Row],[% Demanda contratada FP]]&gt;105%,1,0)</f>
        <v>0</v>
      </c>
      <c r="AK5" s="36">
        <f>Dados_SA[[#This Row],[Acrescimo_Bamar]]/Dados_SA[[#This Row],[Valor da Fatura]]</f>
        <v>0</v>
      </c>
      <c r="AL5" s="36">
        <f>Dados_SA[[#This Row],[Acrescimo_Bverm1]]/Dados_SA[[#This Row],[Valor da Fatura]]</f>
        <v>0.5547172095160805</v>
      </c>
      <c r="AM5" s="36">
        <f>Dados_SA[[#This Row],[Acrescimo_Bverm2]]/Dados_SA[[#This Row],[Valor da Fatura]]</f>
        <v>0</v>
      </c>
      <c r="AN5" s="36">
        <v>1.05</v>
      </c>
      <c r="AO5" s="36">
        <v>1</v>
      </c>
      <c r="AP5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5" s="65">
        <f>IF(Dados_SA[[#This Row],[Exced]]&lt;&gt;"",1,0)</f>
        <v>0</v>
      </c>
      <c r="AR5" s="65">
        <f>AVERAGEIFS(Dados_SA[DEMANDA_REGISTRADA_P],Dados_SA[ANO],2015,Dados_SA[UC],"SA")</f>
        <v>1203.3000000000002</v>
      </c>
      <c r="AS5" s="65">
        <f>AVERAGEIFS(Dados_SA[DEMANDA_REGISTRADA_FP],Dados_SA[ANO],2015,Dados_SA[UC],"SA")</f>
        <v>1321.875</v>
      </c>
      <c r="AT5" s="65">
        <v>501634.58</v>
      </c>
      <c r="AV5" s="27">
        <v>2</v>
      </c>
      <c r="AW5" s="30"/>
      <c r="AX5" s="30">
        <v>-7.9773388455060559E-2</v>
      </c>
      <c r="AY5" s="30">
        <v>-0.27713979482468226</v>
      </c>
      <c r="AZ5" s="30">
        <v>-0.28104425049762671</v>
      </c>
      <c r="BA5" s="30">
        <v>-7.4171898126882296E-2</v>
      </c>
      <c r="BB5" s="30">
        <v>-0.15564232123717656</v>
      </c>
      <c r="BC5" s="64">
        <f t="shared" ref="BC5:BC15" si="0">AVERAGEIF(AX5:BA5,"&gt;-1",AX5:BA5)</f>
        <v>-0.17803233297606294</v>
      </c>
      <c r="BE5" s="27">
        <v>2</v>
      </c>
      <c r="BF5" s="30"/>
      <c r="BG5" s="30">
        <v>4.4015222230200296E-2</v>
      </c>
      <c r="BH5" s="30">
        <v>-0.16765994112156243</v>
      </c>
      <c r="BI5" s="30">
        <v>-0.14475479284842402</v>
      </c>
      <c r="BJ5" s="30">
        <v>-0.25332088748474185</v>
      </c>
      <c r="BK5" s="30">
        <v>-9.4708120916205993E-2</v>
      </c>
      <c r="BL5" s="64">
        <f t="shared" ref="BL5:BL15" si="1">AVERAGEIF(BG5:BJ5,"&gt;-1",BG5:BJ5)</f>
        <v>-0.13043009980613202</v>
      </c>
      <c r="BN5" s="26">
        <v>2016</v>
      </c>
      <c r="BO5" s="24">
        <v>5545274.3250000002</v>
      </c>
      <c r="BP5"/>
    </row>
    <row r="6" spans="1:68" x14ac:dyDescent="0.2">
      <c r="A6" s="39" t="s">
        <v>66</v>
      </c>
      <c r="B6" s="14">
        <v>42125</v>
      </c>
      <c r="C6" s="2">
        <v>2015</v>
      </c>
      <c r="D6" s="2">
        <v>5</v>
      </c>
      <c r="E6" s="2">
        <v>31</v>
      </c>
      <c r="F6" s="2">
        <v>8.5000000000000006E-3</v>
      </c>
      <c r="G6" s="2">
        <v>3.9E-2</v>
      </c>
      <c r="H6" s="2">
        <v>0.18</v>
      </c>
      <c r="I6" s="2">
        <v>1400</v>
      </c>
      <c r="J6" s="2">
        <v>1400</v>
      </c>
      <c r="K6" s="2">
        <v>1167.5999999999999</v>
      </c>
      <c r="L6" s="2">
        <v>1269.2</v>
      </c>
      <c r="M6" s="2"/>
      <c r="N6" s="3"/>
      <c r="O6" s="2">
        <v>8.08</v>
      </c>
      <c r="P6" s="2"/>
      <c r="Q6" s="2">
        <v>53464.3</v>
      </c>
      <c r="R6" s="2">
        <v>434005.5</v>
      </c>
      <c r="S6" s="2">
        <v>0.38525999999999999</v>
      </c>
      <c r="T6" s="2">
        <v>6.9409999999999999E-2</v>
      </c>
      <c r="U6" s="2">
        <v>0.36798999999999998</v>
      </c>
      <c r="V6" s="2">
        <v>0.24590999999999999</v>
      </c>
      <c r="W6" s="2">
        <v>1844.9</v>
      </c>
      <c r="X6" s="2">
        <v>18923.900000000001</v>
      </c>
      <c r="Y6" s="2"/>
      <c r="Z6" s="2"/>
      <c r="AA6" s="33">
        <v>229699.08</v>
      </c>
      <c r="AB6" s="33">
        <v>487469.8</v>
      </c>
      <c r="AC6" s="33"/>
      <c r="AD6" s="33">
        <v>126400.62</v>
      </c>
      <c r="AE6" s="33"/>
      <c r="AF6" s="16" t="s">
        <v>32</v>
      </c>
      <c r="AG6" s="28">
        <f>IFERROR(IF(Dados_SA[[#This Row],[DEMANDA_REGISTRADA_P]]/Dados_SA[[#This Row],[DEMANDA_CONTRATADA_P]]=0,"",Dados_SA[[#This Row],[DEMANDA_REGISTRADA_P]]/Dados_SA[[#This Row],[DEMANDA_CONTRATADA_P]]),"")</f>
        <v>0.83399999999999996</v>
      </c>
      <c r="AH6" s="28">
        <f>IFERROR(IF(Dados_SA[[#This Row],[DEMANDA_REGISTRADA_FP]]/Dados_SA[[#This Row],[DEMANDA_CONTRATADA_FP]]=0,"",Dados_SA[[#This Row],[DEMANDA_REGISTRADA_FP]]/Dados_SA[[#This Row],[DEMANDA_CONTRATADA_FP]]),"")</f>
        <v>0.90657142857142858</v>
      </c>
      <c r="AI6" s="3">
        <f>IF(Dados_SA[[#This Row],[% Demanda contratada P]]&gt;105%,1,0)</f>
        <v>0</v>
      </c>
      <c r="AJ6" s="3">
        <f>IF(Dados_SA[[#This Row],[% Demanda contratada FP]]&gt;105%,1,0)</f>
        <v>0</v>
      </c>
      <c r="AK6" s="36">
        <f>Dados_SA[[#This Row],[Acrescimo_Bamar]]/Dados_SA[[#This Row],[Valor da Fatura]]</f>
        <v>0</v>
      </c>
      <c r="AL6" s="36">
        <f>Dados_SA[[#This Row],[Acrescimo_Bverm1]]/Dados_SA[[#This Row],[Valor da Fatura]]</f>
        <v>0.55028788099630177</v>
      </c>
      <c r="AM6" s="36">
        <f>Dados_SA[[#This Row],[Acrescimo_Bverm2]]/Dados_SA[[#This Row],[Valor da Fatura]]</f>
        <v>0</v>
      </c>
      <c r="AN6" s="36">
        <v>1.05</v>
      </c>
      <c r="AO6" s="36">
        <v>1</v>
      </c>
      <c r="AP6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6" s="65">
        <f>IF(Dados_SA[[#This Row],[Exced]]&lt;&gt;"",1,0)</f>
        <v>0</v>
      </c>
      <c r="AR6" s="65">
        <f>AVERAGEIFS(Dados_SA[DEMANDA_REGISTRADA_P],Dados_SA[ANO],2015,Dados_SA[UC],"SA")</f>
        <v>1203.3000000000002</v>
      </c>
      <c r="AS6" s="65">
        <f>AVERAGEIFS(Dados_SA[DEMANDA_REGISTRADA_FP],Dados_SA[ANO],2015,Dados_SA[UC],"SA")</f>
        <v>1321.875</v>
      </c>
      <c r="AT6" s="65">
        <v>501634.58</v>
      </c>
      <c r="AV6" s="27">
        <v>3</v>
      </c>
      <c r="AW6" s="30"/>
      <c r="AX6" s="30">
        <v>-1.3152978103280767E-2</v>
      </c>
      <c r="AY6" s="30">
        <v>3.6394888274418981E-2</v>
      </c>
      <c r="AZ6" s="30">
        <v>7.4732830132277078E-2</v>
      </c>
      <c r="BA6" s="30">
        <v>-7.9415049531259149E-2</v>
      </c>
      <c r="BB6" s="30">
        <v>-3.5124430162170255E-2</v>
      </c>
      <c r="BC6" s="64">
        <f t="shared" si="0"/>
        <v>4.6399226930390371E-3</v>
      </c>
      <c r="BE6" s="27">
        <v>3</v>
      </c>
      <c r="BF6" s="30"/>
      <c r="BG6" s="30">
        <v>1.2159098715394686E-2</v>
      </c>
      <c r="BH6" s="30">
        <v>9.9814522222985466E-2</v>
      </c>
      <c r="BI6" s="30">
        <v>8.1404135467472688E-2</v>
      </c>
      <c r="BJ6" s="30">
        <v>-2.0746032836436109E-2</v>
      </c>
      <c r="BK6" s="30">
        <v>8.078587621075764E-2</v>
      </c>
      <c r="BL6" s="64">
        <f t="shared" si="1"/>
        <v>4.3157930892354181E-2</v>
      </c>
      <c r="BN6" s="26">
        <v>2017</v>
      </c>
      <c r="BO6" s="24">
        <v>6120535.5599999996</v>
      </c>
      <c r="BP6"/>
    </row>
    <row r="7" spans="1:68" x14ac:dyDescent="0.2">
      <c r="A7" s="39" t="s">
        <v>66</v>
      </c>
      <c r="B7" s="14">
        <v>42156</v>
      </c>
      <c r="C7" s="2">
        <v>2015</v>
      </c>
      <c r="D7" s="2">
        <v>6</v>
      </c>
      <c r="E7" s="2">
        <v>30</v>
      </c>
      <c r="F7" s="2">
        <v>7.9000000000000008E-3</v>
      </c>
      <c r="G7" s="2">
        <v>3.6400000000000002E-2</v>
      </c>
      <c r="H7" s="2">
        <v>0.18</v>
      </c>
      <c r="I7" s="2">
        <v>1400</v>
      </c>
      <c r="J7" s="2">
        <v>1400</v>
      </c>
      <c r="K7" s="2">
        <v>1212.0999999999999</v>
      </c>
      <c r="L7" s="2">
        <v>1268.4000000000001</v>
      </c>
      <c r="M7" s="2"/>
      <c r="N7" s="3"/>
      <c r="O7" s="2">
        <v>8.08</v>
      </c>
      <c r="P7" s="2"/>
      <c r="Q7" s="2">
        <v>55003.6</v>
      </c>
      <c r="R7" s="2">
        <v>402350</v>
      </c>
      <c r="S7" s="2">
        <v>0.38525999999999999</v>
      </c>
      <c r="T7" s="2">
        <v>6.9409999999999999E-2</v>
      </c>
      <c r="U7" s="2">
        <v>0.36798999999999998</v>
      </c>
      <c r="V7" s="2">
        <v>0.24590999999999999</v>
      </c>
      <c r="W7" s="2">
        <v>2677.3</v>
      </c>
      <c r="X7" s="2">
        <v>18708.3</v>
      </c>
      <c r="Y7" s="2"/>
      <c r="Z7" s="2"/>
      <c r="AA7" s="33">
        <v>218046.32</v>
      </c>
      <c r="AB7" s="33">
        <v>457353.6</v>
      </c>
      <c r="AC7" s="33"/>
      <c r="AD7" s="33">
        <v>119182.64</v>
      </c>
      <c r="AE7" s="33"/>
      <c r="AF7" s="16" t="s">
        <v>32</v>
      </c>
      <c r="AG7" s="28">
        <f>IFERROR(IF(Dados_SA[[#This Row],[DEMANDA_REGISTRADA_P]]/Dados_SA[[#This Row],[DEMANDA_CONTRATADA_P]]=0,"",Dados_SA[[#This Row],[DEMANDA_REGISTRADA_P]]/Dados_SA[[#This Row],[DEMANDA_CONTRATADA_P]]),"")</f>
        <v>0.86578571428571427</v>
      </c>
      <c r="AH7" s="28">
        <f>IFERROR(IF(Dados_SA[[#This Row],[DEMANDA_REGISTRADA_FP]]/Dados_SA[[#This Row],[DEMANDA_CONTRATADA_FP]]=0,"",Dados_SA[[#This Row],[DEMANDA_REGISTRADA_FP]]/Dados_SA[[#This Row],[DEMANDA_CONTRATADA_FP]]),"")</f>
        <v>0.90600000000000003</v>
      </c>
      <c r="AI7" s="3">
        <f>IF(Dados_SA[[#This Row],[% Demanda contratada P]]&gt;105%,1,0)</f>
        <v>0</v>
      </c>
      <c r="AJ7" s="3">
        <f>IF(Dados_SA[[#This Row],[% Demanda contratada FP]]&gt;105%,1,0)</f>
        <v>0</v>
      </c>
      <c r="AK7" s="36">
        <f>Dados_SA[[#This Row],[Acrescimo_Bamar]]/Dados_SA[[#This Row],[Valor da Fatura]]</f>
        <v>0</v>
      </c>
      <c r="AL7" s="36">
        <f>Dados_SA[[#This Row],[Acrescimo_Bverm1]]/Dados_SA[[#This Row],[Valor da Fatura]]</f>
        <v>0.54659321927561078</v>
      </c>
      <c r="AM7" s="36">
        <f>Dados_SA[[#This Row],[Acrescimo_Bverm2]]/Dados_SA[[#This Row],[Valor da Fatura]]</f>
        <v>0</v>
      </c>
      <c r="AN7" s="36">
        <v>1.05</v>
      </c>
      <c r="AO7" s="36">
        <v>1</v>
      </c>
      <c r="AP7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7" s="65">
        <f>IF(Dados_SA[[#This Row],[Exced]]&lt;&gt;"",1,0)</f>
        <v>0</v>
      </c>
      <c r="AR7" s="65">
        <f>AVERAGEIFS(Dados_SA[DEMANDA_REGISTRADA_P],Dados_SA[ANO],2015,Dados_SA[UC],"SA")</f>
        <v>1203.3000000000002</v>
      </c>
      <c r="AS7" s="65">
        <f>AVERAGEIFS(Dados_SA[DEMANDA_REGISTRADA_FP],Dados_SA[ANO],2015,Dados_SA[UC],"SA")</f>
        <v>1321.875</v>
      </c>
      <c r="AT7" s="65">
        <v>501634.58</v>
      </c>
      <c r="AV7" s="27">
        <v>4</v>
      </c>
      <c r="AW7" s="30"/>
      <c r="AX7" s="30">
        <v>8.6006880550443962E-2</v>
      </c>
      <c r="AY7" s="30">
        <v>0.10552844227538187</v>
      </c>
      <c r="AZ7" s="30">
        <v>2.2881830546443625E-2</v>
      </c>
      <c r="BA7" s="30">
        <v>0.17137370989679163</v>
      </c>
      <c r="BB7" s="30">
        <v>-7.5926074085927053E-2</v>
      </c>
      <c r="BC7" s="64">
        <f t="shared" si="0"/>
        <v>9.6447715817265273E-2</v>
      </c>
      <c r="BE7" s="27">
        <v>4</v>
      </c>
      <c r="BF7" s="30"/>
      <c r="BG7" s="30">
        <v>8.3455130078924147E-2</v>
      </c>
      <c r="BH7" s="30">
        <v>0.10859397836889791</v>
      </c>
      <c r="BI7" s="30">
        <v>1.958491669102598E-2</v>
      </c>
      <c r="BJ7" s="30">
        <v>0.21601870798012268</v>
      </c>
      <c r="BK7" s="30">
        <v>-9.3978368897983139E-2</v>
      </c>
      <c r="BL7" s="64">
        <f t="shared" si="1"/>
        <v>0.10691318327974268</v>
      </c>
      <c r="BN7" s="26">
        <v>2018</v>
      </c>
      <c r="BO7" s="24">
        <v>6499062.0999999996</v>
      </c>
      <c r="BP7"/>
    </row>
    <row r="8" spans="1:68" x14ac:dyDescent="0.2">
      <c r="A8" s="39" t="s">
        <v>66</v>
      </c>
      <c r="B8" s="14">
        <v>42186</v>
      </c>
      <c r="C8" s="2">
        <v>2015</v>
      </c>
      <c r="D8" s="2">
        <v>7</v>
      </c>
      <c r="E8" s="2">
        <v>31</v>
      </c>
      <c r="F8" s="2">
        <v>8.3999999999999995E-3</v>
      </c>
      <c r="G8" s="2">
        <v>3.8900000000000004E-2</v>
      </c>
      <c r="H8" s="2">
        <v>0.18</v>
      </c>
      <c r="I8" s="2">
        <v>1400</v>
      </c>
      <c r="J8" s="2">
        <v>1400</v>
      </c>
      <c r="K8" s="2">
        <v>1074.4000000000001</v>
      </c>
      <c r="L8" s="2">
        <v>1134</v>
      </c>
      <c r="M8" s="2"/>
      <c r="N8" s="3"/>
      <c r="O8" s="2">
        <v>7.9326699999999999</v>
      </c>
      <c r="P8" s="2"/>
      <c r="Q8" s="2">
        <v>58440.5</v>
      </c>
      <c r="R8" s="2">
        <v>400517.9</v>
      </c>
      <c r="S8" s="2">
        <v>0.38203999999999999</v>
      </c>
      <c r="T8" s="2">
        <v>7.2969999999999993E-2</v>
      </c>
      <c r="U8" s="2">
        <v>0.39004</v>
      </c>
      <c r="V8" s="2">
        <v>0.2622666666666667</v>
      </c>
      <c r="W8" s="2">
        <v>667.2</v>
      </c>
      <c r="X8" s="2">
        <v>12715.9</v>
      </c>
      <c r="Y8" s="2"/>
      <c r="Z8" s="2"/>
      <c r="AA8" s="33">
        <v>230250.69</v>
      </c>
      <c r="AB8" s="33">
        <v>458958.4</v>
      </c>
      <c r="AC8" s="33"/>
      <c r="AD8" s="33">
        <v>75207.42</v>
      </c>
      <c r="AE8" s="33">
        <v>51069.41</v>
      </c>
      <c r="AF8" s="16" t="s">
        <v>32</v>
      </c>
      <c r="AG8" s="28">
        <f>IFERROR(IF(Dados_SA[[#This Row],[DEMANDA_REGISTRADA_P]]/Dados_SA[[#This Row],[DEMANDA_CONTRATADA_P]]=0,"",Dados_SA[[#This Row],[DEMANDA_REGISTRADA_P]]/Dados_SA[[#This Row],[DEMANDA_CONTRATADA_P]]),"")</f>
        <v>0.76742857142857146</v>
      </c>
      <c r="AH8" s="28">
        <f>IFERROR(IF(Dados_SA[[#This Row],[DEMANDA_REGISTRADA_FP]]/Dados_SA[[#This Row],[DEMANDA_CONTRATADA_FP]]=0,"",Dados_SA[[#This Row],[DEMANDA_REGISTRADA_FP]]/Dados_SA[[#This Row],[DEMANDA_CONTRATADA_FP]]),"")</f>
        <v>0.81</v>
      </c>
      <c r="AI8" s="3">
        <f>IF(Dados_SA[[#This Row],[% Demanda contratada P]]&gt;105%,1,0)</f>
        <v>0</v>
      </c>
      <c r="AJ8" s="3">
        <f>IF(Dados_SA[[#This Row],[% Demanda contratada FP]]&gt;105%,1,0)</f>
        <v>0</v>
      </c>
      <c r="AK8" s="36">
        <f>Dados_SA[[#This Row],[Acrescimo_Bamar]]/Dados_SA[[#This Row],[Valor da Fatura]]</f>
        <v>0</v>
      </c>
      <c r="AL8" s="36">
        <f>Dados_SA[[#This Row],[Acrescimo_Bverm1]]/Dados_SA[[#This Row],[Valor da Fatura]]</f>
        <v>0.32663276709398786</v>
      </c>
      <c r="AM8" s="36">
        <f>Dados_SA[[#This Row],[Acrescimo_Bverm2]]/Dados_SA[[#This Row],[Valor da Fatura]]</f>
        <v>0.22179916160077523</v>
      </c>
      <c r="AN8" s="36">
        <v>1.05</v>
      </c>
      <c r="AO8" s="36">
        <v>1</v>
      </c>
      <c r="AP8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8" s="65">
        <f>IF(Dados_SA[[#This Row],[Exced]]&lt;&gt;"",1,0)</f>
        <v>0</v>
      </c>
      <c r="AR8" s="65">
        <f>AVERAGEIFS(Dados_SA[DEMANDA_REGISTRADA_P],Dados_SA[ANO],2015,Dados_SA[UC],"SA")</f>
        <v>1203.3000000000002</v>
      </c>
      <c r="AS8" s="65">
        <f>AVERAGEIFS(Dados_SA[DEMANDA_REGISTRADA_FP],Dados_SA[ANO],2015,Dados_SA[UC],"SA")</f>
        <v>1321.875</v>
      </c>
      <c r="AT8" s="65">
        <v>501634.58</v>
      </c>
      <c r="AV8" s="27">
        <v>5</v>
      </c>
      <c r="AW8" s="30"/>
      <c r="AX8" s="30">
        <v>0.23235697156560473</v>
      </c>
      <c r="AY8" s="30">
        <v>0.10645769099006518</v>
      </c>
      <c r="AZ8" s="30">
        <v>0.17334703665638918</v>
      </c>
      <c r="BA8" s="30">
        <v>0.20863309352517992</v>
      </c>
      <c r="BB8" s="30" t="s">
        <v>174</v>
      </c>
      <c r="BC8" s="64">
        <f t="shared" si="0"/>
        <v>0.18019869818430972</v>
      </c>
      <c r="BE8" s="27">
        <v>5</v>
      </c>
      <c r="BF8" s="30"/>
      <c r="BG8" s="30">
        <v>0.18602269145918682</v>
      </c>
      <c r="BH8" s="30">
        <v>0.12779703750393953</v>
      </c>
      <c r="BI8" s="30">
        <v>0.1430034667507091</v>
      </c>
      <c r="BJ8" s="30">
        <v>0.20784746296879919</v>
      </c>
      <c r="BK8" s="30" t="s">
        <v>174</v>
      </c>
      <c r="BL8" s="64">
        <f t="shared" si="1"/>
        <v>0.16616766467065866</v>
      </c>
      <c r="BN8" s="26">
        <v>2019</v>
      </c>
      <c r="BO8" s="24">
        <v>6398397</v>
      </c>
      <c r="BP8"/>
    </row>
    <row r="9" spans="1:68" x14ac:dyDescent="0.2">
      <c r="A9" s="39" t="s">
        <v>66</v>
      </c>
      <c r="B9" s="14">
        <v>42217</v>
      </c>
      <c r="C9" s="2">
        <v>2015</v>
      </c>
      <c r="D9" s="2">
        <v>8</v>
      </c>
      <c r="E9" s="2">
        <v>31</v>
      </c>
      <c r="F9" s="2">
        <v>6.0000000000000001E-3</v>
      </c>
      <c r="G9" s="2">
        <v>2.75E-2</v>
      </c>
      <c r="H9" s="2">
        <v>0.18</v>
      </c>
      <c r="I9" s="2">
        <v>1400</v>
      </c>
      <c r="J9" s="2">
        <v>1400</v>
      </c>
      <c r="K9" s="2">
        <v>1157.5</v>
      </c>
      <c r="L9" s="2">
        <v>1150.8</v>
      </c>
      <c r="M9" s="2"/>
      <c r="N9" s="3"/>
      <c r="O9" s="2">
        <v>7.74</v>
      </c>
      <c r="P9" s="2"/>
      <c r="Q9" s="2">
        <v>63353</v>
      </c>
      <c r="R9" s="2">
        <v>450612.4</v>
      </c>
      <c r="S9" s="2">
        <v>0.37784000000000001</v>
      </c>
      <c r="T9" s="2">
        <v>7.7630000000000005E-2</v>
      </c>
      <c r="U9" s="2">
        <v>0.36024</v>
      </c>
      <c r="V9" s="2">
        <v>0.22595999999999999</v>
      </c>
      <c r="W9" s="2">
        <v>2385.8000000000002</v>
      </c>
      <c r="X9" s="2">
        <v>11893.6</v>
      </c>
      <c r="Y9" s="2"/>
      <c r="Z9" s="2"/>
      <c r="AA9" s="33">
        <v>266587.52000000002</v>
      </c>
      <c r="AB9" s="33">
        <v>513965.4</v>
      </c>
      <c r="AC9" s="33"/>
      <c r="AD9" s="33">
        <v>28268.07</v>
      </c>
      <c r="AE9" s="33"/>
      <c r="AF9" s="16" t="s">
        <v>32</v>
      </c>
      <c r="AG9" s="28">
        <f>IFERROR(IF(Dados_SA[[#This Row],[DEMANDA_REGISTRADA_P]]/Dados_SA[[#This Row],[DEMANDA_CONTRATADA_P]]=0,"",Dados_SA[[#This Row],[DEMANDA_REGISTRADA_P]]/Dados_SA[[#This Row],[DEMANDA_CONTRATADA_P]]),"")</f>
        <v>0.82678571428571423</v>
      </c>
      <c r="AH9" s="28">
        <f>IFERROR(IF(Dados_SA[[#This Row],[DEMANDA_REGISTRADA_FP]]/Dados_SA[[#This Row],[DEMANDA_CONTRATADA_FP]]=0,"",Dados_SA[[#This Row],[DEMANDA_REGISTRADA_FP]]/Dados_SA[[#This Row],[DEMANDA_CONTRATADA_FP]]),"")</f>
        <v>0.82199999999999995</v>
      </c>
      <c r="AI9" s="3">
        <f>IF(Dados_SA[[#This Row],[% Demanda contratada P]]&gt;105%,1,0)</f>
        <v>0</v>
      </c>
      <c r="AJ9" s="3">
        <f>IF(Dados_SA[[#This Row],[% Demanda contratada FP]]&gt;105%,1,0)</f>
        <v>0</v>
      </c>
      <c r="AK9" s="36">
        <f>Dados_SA[[#This Row],[Acrescimo_Bamar]]/Dados_SA[[#This Row],[Valor da Fatura]]</f>
        <v>0</v>
      </c>
      <c r="AL9" s="36">
        <f>Dados_SA[[#This Row],[Acrescimo_Bverm1]]/Dados_SA[[#This Row],[Valor da Fatura]]</f>
        <v>0.10603673420271136</v>
      </c>
      <c r="AM9" s="36">
        <f>Dados_SA[[#This Row],[Acrescimo_Bverm2]]/Dados_SA[[#This Row],[Valor da Fatura]]</f>
        <v>0</v>
      </c>
      <c r="AN9" s="36">
        <v>1.05</v>
      </c>
      <c r="AO9" s="36">
        <v>1</v>
      </c>
      <c r="AP9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9" s="65">
        <f>IF(Dados_SA[[#This Row],[Exced]]&lt;&gt;"",1,0)</f>
        <v>0</v>
      </c>
      <c r="AR9" s="65">
        <f>AVERAGEIFS(Dados_SA[DEMANDA_REGISTRADA_P],Dados_SA[ANO],2015,Dados_SA[UC],"SA")</f>
        <v>1203.3000000000002</v>
      </c>
      <c r="AS9" s="65">
        <f>AVERAGEIFS(Dados_SA[DEMANDA_REGISTRADA_FP],Dados_SA[ANO],2015,Dados_SA[UC],"SA")</f>
        <v>1321.875</v>
      </c>
      <c r="AT9" s="65">
        <v>501634.58</v>
      </c>
      <c r="AV9" s="27">
        <v>6</v>
      </c>
      <c r="AW9" s="30"/>
      <c r="AX9" s="30">
        <v>-0.20443857767510937</v>
      </c>
      <c r="AY9" s="30">
        <v>-4.0838214668756714E-2</v>
      </c>
      <c r="AZ9" s="30">
        <v>-1.0395181915683534E-2</v>
      </c>
      <c r="BA9" s="30">
        <v>-2.565794901410778E-2</v>
      </c>
      <c r="BB9" s="30" t="s">
        <v>174</v>
      </c>
      <c r="BC9" s="64">
        <f t="shared" si="0"/>
        <v>-7.0332480818414353E-2</v>
      </c>
      <c r="BE9" s="27">
        <v>6</v>
      </c>
      <c r="BF9" s="30"/>
      <c r="BG9" s="30">
        <v>-0.17683695994954285</v>
      </c>
      <c r="BH9" s="30">
        <v>-8.2781456953642377E-2</v>
      </c>
      <c r="BI9" s="30">
        <v>-2.3809523809523843E-2</v>
      </c>
      <c r="BJ9" s="30">
        <v>9.9337748344370137E-3</v>
      </c>
      <c r="BK9" s="30" t="s">
        <v>174</v>
      </c>
      <c r="BL9" s="64">
        <f t="shared" si="1"/>
        <v>-6.8373541469568005E-2</v>
      </c>
      <c r="BN9" s="26" t="s">
        <v>58</v>
      </c>
      <c r="BO9" s="24">
        <v>30582883.984999999</v>
      </c>
      <c r="BP9"/>
    </row>
    <row r="10" spans="1:68" x14ac:dyDescent="0.2">
      <c r="A10" s="39" t="s">
        <v>66</v>
      </c>
      <c r="B10" s="14">
        <v>42248</v>
      </c>
      <c r="C10" s="2">
        <v>2015</v>
      </c>
      <c r="D10" s="2">
        <v>9</v>
      </c>
      <c r="E10" s="2">
        <v>30</v>
      </c>
      <c r="F10" s="2">
        <v>1.1200000000000002E-2</v>
      </c>
      <c r="G10" s="2">
        <v>5.1399999999999994E-2</v>
      </c>
      <c r="H10" s="2">
        <v>0.18</v>
      </c>
      <c r="I10" s="2">
        <v>1400</v>
      </c>
      <c r="J10" s="2">
        <v>1400</v>
      </c>
      <c r="K10" s="2">
        <v>951.7</v>
      </c>
      <c r="L10" s="2">
        <v>1037.4000000000001</v>
      </c>
      <c r="M10" s="2"/>
      <c r="N10" s="3"/>
      <c r="O10" s="2">
        <v>7.74</v>
      </c>
      <c r="P10" s="2"/>
      <c r="Q10" s="2">
        <v>47254</v>
      </c>
      <c r="R10" s="2">
        <v>369840</v>
      </c>
      <c r="S10" s="2">
        <v>0.37784000000000001</v>
      </c>
      <c r="T10" s="2">
        <v>7.7630000000000005E-2</v>
      </c>
      <c r="U10" s="2">
        <v>0.36024</v>
      </c>
      <c r="V10" s="2">
        <v>0.22595999999999999</v>
      </c>
      <c r="W10" s="2">
        <v>549.20000000000005</v>
      </c>
      <c r="X10" s="2">
        <v>9855.1</v>
      </c>
      <c r="Y10" s="2"/>
      <c r="Z10" s="2"/>
      <c r="AA10" s="33">
        <v>222681.96</v>
      </c>
      <c r="AB10" s="33">
        <v>417094</v>
      </c>
      <c r="AC10" s="33"/>
      <c r="AD10" s="33">
        <v>20843.260000000002</v>
      </c>
      <c r="AE10" s="34"/>
      <c r="AF10" s="16" t="s">
        <v>32</v>
      </c>
      <c r="AG10" s="28">
        <f>IFERROR(IF(Dados_SA[[#This Row],[DEMANDA_REGISTRADA_P]]/Dados_SA[[#This Row],[DEMANDA_CONTRATADA_P]]=0,"",Dados_SA[[#This Row],[DEMANDA_REGISTRADA_P]]/Dados_SA[[#This Row],[DEMANDA_CONTRATADA_P]]),"")</f>
        <v>0.67978571428571433</v>
      </c>
      <c r="AH10" s="28">
        <f>IFERROR(IF(Dados_SA[[#This Row],[DEMANDA_REGISTRADA_FP]]/Dados_SA[[#This Row],[DEMANDA_CONTRATADA_FP]]=0,"",Dados_SA[[#This Row],[DEMANDA_REGISTRADA_FP]]/Dados_SA[[#This Row],[DEMANDA_CONTRATADA_FP]]),"")</f>
        <v>0.7410000000000001</v>
      </c>
      <c r="AI10" s="3">
        <f>IF(Dados_SA[[#This Row],[% Demanda contratada P]]&gt;105%,1,0)</f>
        <v>0</v>
      </c>
      <c r="AJ10" s="3">
        <f>IF(Dados_SA[[#This Row],[% Demanda contratada FP]]&gt;105%,1,0)</f>
        <v>0</v>
      </c>
      <c r="AK10" s="36">
        <f>Dados_SA[[#This Row],[Acrescimo_Bamar]]/Dados_SA[[#This Row],[Valor da Fatura]]</f>
        <v>0</v>
      </c>
      <c r="AL10" s="36">
        <f>Dados_SA[[#This Row],[Acrescimo_Bverm1]]/Dados_SA[[#This Row],[Valor da Fatura]]</f>
        <v>9.3601026324718908E-2</v>
      </c>
      <c r="AM10" s="36">
        <f>Dados_SA[[#This Row],[Acrescimo_Bverm2]]/Dados_SA[[#This Row],[Valor da Fatura]]</f>
        <v>0</v>
      </c>
      <c r="AN10" s="36">
        <v>1.05</v>
      </c>
      <c r="AO10" s="36">
        <v>1</v>
      </c>
      <c r="AP10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0" s="65">
        <f>IF(Dados_SA[[#This Row],[Exced]]&lt;&gt;"",1,0)</f>
        <v>0</v>
      </c>
      <c r="AR10" s="65">
        <f>AVERAGEIFS(Dados_SA[DEMANDA_REGISTRADA_P],Dados_SA[ANO],2015,Dados_SA[UC],"SA")</f>
        <v>1203.3000000000002</v>
      </c>
      <c r="AS10" s="65">
        <f>AVERAGEIFS(Dados_SA[DEMANDA_REGISTRADA_FP],Dados_SA[ANO],2015,Dados_SA[UC],"SA")</f>
        <v>1321.875</v>
      </c>
      <c r="AT10" s="65">
        <v>501634.58</v>
      </c>
      <c r="AV10" s="27">
        <v>7</v>
      </c>
      <c r="AW10" s="30"/>
      <c r="AX10" s="30">
        <v>-0.10247580044676111</v>
      </c>
      <c r="AY10" s="30">
        <v>-3.9091586001489239E-3</v>
      </c>
      <c r="AZ10" s="30">
        <v>9.8473566641846672E-2</v>
      </c>
      <c r="BA10" s="30">
        <v>5.6217423678331956E-2</v>
      </c>
      <c r="BB10" s="30" t="s">
        <v>174</v>
      </c>
      <c r="BC10" s="64">
        <f t="shared" si="0"/>
        <v>1.2076507818317149E-2</v>
      </c>
      <c r="BE10" s="27">
        <v>7</v>
      </c>
      <c r="BF10" s="30"/>
      <c r="BG10" s="30">
        <v>-7.9276895943562686E-2</v>
      </c>
      <c r="BH10" s="30">
        <v>-4.0740740740740779E-2</v>
      </c>
      <c r="BI10" s="30">
        <v>3.7037037037037035E-2</v>
      </c>
      <c r="BJ10" s="30">
        <v>3.6331569664903036E-2</v>
      </c>
      <c r="BK10" s="30" t="s">
        <v>174</v>
      </c>
      <c r="BL10" s="64">
        <f t="shared" si="1"/>
        <v>-1.1662257495590847E-2</v>
      </c>
      <c r="BN10"/>
      <c r="BO10"/>
      <c r="BP10"/>
    </row>
    <row r="11" spans="1:68" x14ac:dyDescent="0.2">
      <c r="A11" s="39" t="s">
        <v>66</v>
      </c>
      <c r="B11" s="14">
        <v>42278</v>
      </c>
      <c r="C11" s="2">
        <v>2015</v>
      </c>
      <c r="D11" s="2">
        <v>10</v>
      </c>
      <c r="E11" s="2">
        <v>31</v>
      </c>
      <c r="F11" s="2">
        <v>1.18E-2</v>
      </c>
      <c r="G11" s="2">
        <v>5.4600000000000003E-2</v>
      </c>
      <c r="H11" s="2">
        <v>0.18</v>
      </c>
      <c r="I11" s="2">
        <v>1400</v>
      </c>
      <c r="J11" s="2">
        <v>1400</v>
      </c>
      <c r="K11" s="2">
        <v>1411.2</v>
      </c>
      <c r="L11" s="2">
        <v>1488.5</v>
      </c>
      <c r="M11" s="2"/>
      <c r="N11" s="3"/>
      <c r="O11" s="2">
        <v>7.74</v>
      </c>
      <c r="P11" s="2"/>
      <c r="Q11" s="2">
        <v>68672.3</v>
      </c>
      <c r="R11" s="2">
        <v>471332</v>
      </c>
      <c r="S11" s="2">
        <v>0.37784000000000001</v>
      </c>
      <c r="T11" s="2">
        <v>7.7630000000000005E-2</v>
      </c>
      <c r="U11" s="2">
        <v>0.36024</v>
      </c>
      <c r="V11" s="2">
        <v>0.22595999999999999</v>
      </c>
      <c r="W11" s="2">
        <v>8661.7000000000007</v>
      </c>
      <c r="X11" s="2">
        <v>45990</v>
      </c>
      <c r="Y11" s="2"/>
      <c r="Z11" s="2"/>
      <c r="AA11" s="33">
        <v>288617.38</v>
      </c>
      <c r="AB11" s="33">
        <v>540004.30000000005</v>
      </c>
      <c r="AC11" s="33"/>
      <c r="AD11" s="33">
        <v>24300.18</v>
      </c>
      <c r="AE11" s="33"/>
      <c r="AF11" s="16" t="s">
        <v>32</v>
      </c>
      <c r="AG11" s="28">
        <f>IFERROR(IF(Dados_SA[[#This Row],[DEMANDA_REGISTRADA_P]]/Dados_SA[[#This Row],[DEMANDA_CONTRATADA_P]]=0,"",Dados_SA[[#This Row],[DEMANDA_REGISTRADA_P]]/Dados_SA[[#This Row],[DEMANDA_CONTRATADA_P]]),"")</f>
        <v>1.008</v>
      </c>
      <c r="AH11" s="28">
        <f>IFERROR(IF(Dados_SA[[#This Row],[DEMANDA_REGISTRADA_FP]]/Dados_SA[[#This Row],[DEMANDA_CONTRATADA_FP]]=0,"",Dados_SA[[#This Row],[DEMANDA_REGISTRADA_FP]]/Dados_SA[[#This Row],[DEMANDA_CONTRATADA_FP]]),"")</f>
        <v>1.0632142857142857</v>
      </c>
      <c r="AI11" s="3">
        <f>IF(Dados_SA[[#This Row],[% Demanda contratada P]]&gt;105%,1,0)</f>
        <v>0</v>
      </c>
      <c r="AJ11" s="3">
        <f>IF(Dados_SA[[#This Row],[% Demanda contratada FP]]&gt;105%,1,0)</f>
        <v>1</v>
      </c>
      <c r="AK11" s="36">
        <f>Dados_SA[[#This Row],[Acrescimo_Bamar]]/Dados_SA[[#This Row],[Valor da Fatura]]</f>
        <v>0</v>
      </c>
      <c r="AL11" s="36">
        <f>Dados_SA[[#This Row],[Acrescimo_Bverm1]]/Dados_SA[[#This Row],[Valor da Fatura]]</f>
        <v>8.4195137520824276E-2</v>
      </c>
      <c r="AM11" s="36">
        <f>Dados_SA[[#This Row],[Acrescimo_Bverm2]]/Dados_SA[[#This Row],[Valor da Fatura]]</f>
        <v>0</v>
      </c>
      <c r="AN11" s="36">
        <v>1.05</v>
      </c>
      <c r="AO11" s="36">
        <v>1</v>
      </c>
      <c r="AP11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11" s="65">
        <f>IF(Dados_SA[[#This Row],[Exced]]&lt;&gt;"",1,0)</f>
        <v>1</v>
      </c>
      <c r="AR11" s="65">
        <f>AVERAGEIFS(Dados_SA[DEMANDA_REGISTRADA_P],Dados_SA[ANO],2015,Dados_SA[UC],"SA")</f>
        <v>1203.3000000000002</v>
      </c>
      <c r="AS11" s="65">
        <f>AVERAGEIFS(Dados_SA[DEMANDA_REGISTRADA_FP],Dados_SA[ANO],2015,Dados_SA[UC],"SA")</f>
        <v>1321.875</v>
      </c>
      <c r="AT11" s="65">
        <v>501634.58</v>
      </c>
      <c r="AV11" s="27">
        <v>8</v>
      </c>
      <c r="AW11" s="30"/>
      <c r="AX11" s="30">
        <v>-0.14436285097192222</v>
      </c>
      <c r="AY11" s="30">
        <v>-7.5421166306695375E-2</v>
      </c>
      <c r="AZ11" s="30">
        <v>2.9373650107992924E-3</v>
      </c>
      <c r="BA11" s="30">
        <v>-1.9611231101511906E-2</v>
      </c>
      <c r="BB11" s="30" t="s">
        <v>174</v>
      </c>
      <c r="BC11" s="64">
        <f t="shared" si="0"/>
        <v>-5.9114470842332553E-2</v>
      </c>
      <c r="BE11" s="27">
        <v>8</v>
      </c>
      <c r="BF11" s="30"/>
      <c r="BG11" s="30">
        <v>-0.11609315258950288</v>
      </c>
      <c r="BH11" s="30">
        <v>-5.4744525547445258E-2</v>
      </c>
      <c r="BI11" s="30">
        <v>3.1369482099409228E-2</v>
      </c>
      <c r="BJ11" s="30">
        <v>-0.17735488355926304</v>
      </c>
      <c r="BK11" s="30" t="s">
        <v>174</v>
      </c>
      <c r="BL11" s="64">
        <f t="shared" si="1"/>
        <v>-7.9205769899200487E-2</v>
      </c>
      <c r="BN11"/>
      <c r="BO11"/>
      <c r="BP11"/>
    </row>
    <row r="12" spans="1:68" x14ac:dyDescent="0.2">
      <c r="A12" s="39" t="s">
        <v>66</v>
      </c>
      <c r="B12" s="14">
        <v>42309</v>
      </c>
      <c r="C12" s="2">
        <v>2015</v>
      </c>
      <c r="D12" s="2">
        <v>11</v>
      </c>
      <c r="E12" s="2">
        <v>30</v>
      </c>
      <c r="F12" s="2">
        <v>1.1000000000000001E-2</v>
      </c>
      <c r="G12" s="2">
        <v>5.0599999999999999E-2</v>
      </c>
      <c r="H12" s="2">
        <v>0.18</v>
      </c>
      <c r="I12" s="2">
        <v>1400</v>
      </c>
      <c r="J12" s="2">
        <v>1400</v>
      </c>
      <c r="K12" s="2">
        <v>1302</v>
      </c>
      <c r="L12" s="2">
        <v>1575.8</v>
      </c>
      <c r="M12" s="2"/>
      <c r="N12" s="3"/>
      <c r="O12" s="2">
        <v>7.74</v>
      </c>
      <c r="P12" s="2"/>
      <c r="Q12" s="2">
        <v>64220.3</v>
      </c>
      <c r="R12" s="2">
        <v>493639.6</v>
      </c>
      <c r="S12" s="2">
        <v>0.37784000000000001</v>
      </c>
      <c r="T12" s="2">
        <v>7.7630000000000005E-2</v>
      </c>
      <c r="U12" s="2">
        <v>0.36024</v>
      </c>
      <c r="V12" s="2">
        <v>0.22595999999999999</v>
      </c>
      <c r="W12" s="2">
        <v>7494.3</v>
      </c>
      <c r="X12" s="2">
        <v>45804.600000000006</v>
      </c>
      <c r="Y12" s="2"/>
      <c r="Z12" s="2"/>
      <c r="AA12" s="33">
        <v>294627.44</v>
      </c>
      <c r="AB12" s="33">
        <v>557859.9</v>
      </c>
      <c r="AC12" s="33"/>
      <c r="AD12" s="33">
        <v>25103.69</v>
      </c>
      <c r="AE12" s="33"/>
      <c r="AF12" s="16" t="s">
        <v>32</v>
      </c>
      <c r="AG12" s="28">
        <f>IFERROR(IF(Dados_SA[[#This Row],[DEMANDA_REGISTRADA_P]]/Dados_SA[[#This Row],[DEMANDA_CONTRATADA_P]]=0,"",Dados_SA[[#This Row],[DEMANDA_REGISTRADA_P]]/Dados_SA[[#This Row],[DEMANDA_CONTRATADA_P]]),"")</f>
        <v>0.93</v>
      </c>
      <c r="AH12" s="28">
        <f>IFERROR(IF(Dados_SA[[#This Row],[DEMANDA_REGISTRADA_FP]]/Dados_SA[[#This Row],[DEMANDA_CONTRATADA_FP]]=0,"",Dados_SA[[#This Row],[DEMANDA_REGISTRADA_FP]]/Dados_SA[[#This Row],[DEMANDA_CONTRATADA_FP]]),"")</f>
        <v>1.1255714285714284</v>
      </c>
      <c r="AI12" s="3">
        <f>IF(Dados_SA[[#This Row],[% Demanda contratada P]]&gt;105%,1,0)</f>
        <v>0</v>
      </c>
      <c r="AJ12" s="3">
        <f>IF(Dados_SA[[#This Row],[% Demanda contratada FP]]&gt;105%,1,0)</f>
        <v>1</v>
      </c>
      <c r="AK12" s="36">
        <f>Dados_SA[[#This Row],[Acrescimo_Bamar]]/Dados_SA[[#This Row],[Valor da Fatura]]</f>
        <v>0</v>
      </c>
      <c r="AL12" s="36">
        <f>Dados_SA[[#This Row],[Acrescimo_Bverm1]]/Dados_SA[[#This Row],[Valor da Fatura]]</f>
        <v>8.520486075567163E-2</v>
      </c>
      <c r="AM12" s="36">
        <f>Dados_SA[[#This Row],[Acrescimo_Bverm2]]/Dados_SA[[#This Row],[Valor da Fatura]]</f>
        <v>0</v>
      </c>
      <c r="AN12" s="36">
        <v>1.05</v>
      </c>
      <c r="AO12" s="36">
        <v>1</v>
      </c>
      <c r="AP12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12" s="65">
        <f>IF(Dados_SA[[#This Row],[Exced]]&lt;&gt;"",1,0)</f>
        <v>1</v>
      </c>
      <c r="AR12" s="65">
        <f>AVERAGEIFS(Dados_SA[DEMANDA_REGISTRADA_P],Dados_SA[ANO],2015,Dados_SA[UC],"SA")</f>
        <v>1203.3000000000002</v>
      </c>
      <c r="AS12" s="65">
        <f>AVERAGEIFS(Dados_SA[DEMANDA_REGISTRADA_FP],Dados_SA[ANO],2015,Dados_SA[UC],"SA")</f>
        <v>1321.875</v>
      </c>
      <c r="AT12" s="65">
        <v>501634.58</v>
      </c>
      <c r="AV12" s="27">
        <v>9</v>
      </c>
      <c r="AW12" s="30"/>
      <c r="AX12" s="30">
        <v>4.0664074813491553E-2</v>
      </c>
      <c r="AY12" s="30">
        <v>0.1245140275296837</v>
      </c>
      <c r="AZ12" s="30">
        <v>0.14300725018388127</v>
      </c>
      <c r="BA12" s="30">
        <v>6.2729851844068429E-2</v>
      </c>
      <c r="BB12" s="30" t="s">
        <v>174</v>
      </c>
      <c r="BC12" s="64">
        <f t="shared" si="0"/>
        <v>9.2728801092781241E-2</v>
      </c>
      <c r="BE12" s="27">
        <v>9</v>
      </c>
      <c r="BF12" s="30"/>
      <c r="BG12" s="30">
        <v>-1.9471756313861621E-2</v>
      </c>
      <c r="BH12" s="30">
        <v>-3.7208405629458388E-2</v>
      </c>
      <c r="BI12" s="30">
        <v>7.6151918257181414E-2</v>
      </c>
      <c r="BJ12" s="30">
        <v>5.7451320609215255E-2</v>
      </c>
      <c r="BK12" s="30" t="s">
        <v>174</v>
      </c>
      <c r="BL12" s="64">
        <f t="shared" si="1"/>
        <v>1.9230769230769162E-2</v>
      </c>
      <c r="BN12"/>
      <c r="BO12"/>
      <c r="BP12"/>
    </row>
    <row r="13" spans="1:68" x14ac:dyDescent="0.2">
      <c r="A13" s="39" t="s">
        <v>66</v>
      </c>
      <c r="B13" s="14">
        <v>42339</v>
      </c>
      <c r="C13" s="2">
        <v>2015</v>
      </c>
      <c r="D13" s="2">
        <v>12</v>
      </c>
      <c r="E13" s="2">
        <v>31</v>
      </c>
      <c r="F13" s="2">
        <v>1.1000000000000001E-2</v>
      </c>
      <c r="G13" s="4">
        <v>5.0999999999999997E-2</v>
      </c>
      <c r="H13" s="2">
        <v>0.18</v>
      </c>
      <c r="I13" s="2">
        <v>1400</v>
      </c>
      <c r="J13" s="2">
        <v>1400</v>
      </c>
      <c r="K13" s="2">
        <v>1259.2</v>
      </c>
      <c r="L13" s="2">
        <v>1581.7</v>
      </c>
      <c r="M13" s="2"/>
      <c r="N13" s="3"/>
      <c r="O13" s="2">
        <v>7.74</v>
      </c>
      <c r="P13" s="2"/>
      <c r="Q13" s="2">
        <v>66427.8</v>
      </c>
      <c r="R13" s="2">
        <v>488120.69999999995</v>
      </c>
      <c r="S13" s="2">
        <v>0.37784000000000001</v>
      </c>
      <c r="T13" s="2">
        <v>7.7630000000000005E-2</v>
      </c>
      <c r="U13" s="2">
        <v>0.36024</v>
      </c>
      <c r="V13" s="2">
        <v>0.22595999999999999</v>
      </c>
      <c r="W13" s="2">
        <v>9650.2999999999993</v>
      </c>
      <c r="X13" s="2">
        <v>61790.2</v>
      </c>
      <c r="Y13" s="2"/>
      <c r="Z13" s="2"/>
      <c r="AA13" s="33">
        <v>294705.24</v>
      </c>
      <c r="AB13" s="33">
        <v>554548.5</v>
      </c>
      <c r="AC13" s="33"/>
      <c r="AD13" s="33">
        <v>24954.67</v>
      </c>
      <c r="AE13" s="33"/>
      <c r="AF13" s="16" t="s">
        <v>32</v>
      </c>
      <c r="AG13" s="28">
        <f>IFERROR(IF(Dados_SA[[#This Row],[DEMANDA_REGISTRADA_P]]/Dados_SA[[#This Row],[DEMANDA_CONTRATADA_P]]=0,"",Dados_SA[[#This Row],[DEMANDA_REGISTRADA_P]]/Dados_SA[[#This Row],[DEMANDA_CONTRATADA_P]]),"")</f>
        <v>0.89942857142857147</v>
      </c>
      <c r="AH13" s="28">
        <f>IFERROR(IF(Dados_SA[[#This Row],[DEMANDA_REGISTRADA_FP]]/Dados_SA[[#This Row],[DEMANDA_CONTRATADA_FP]]=0,"",Dados_SA[[#This Row],[DEMANDA_REGISTRADA_FP]]/Dados_SA[[#This Row],[DEMANDA_CONTRATADA_FP]]),"")</f>
        <v>1.1297857142857144</v>
      </c>
      <c r="AI13" s="3">
        <f>IF(Dados_SA[[#This Row],[% Demanda contratada P]]&gt;105%,1,0)</f>
        <v>0</v>
      </c>
      <c r="AJ13" s="3">
        <f>IF(Dados_SA[[#This Row],[% Demanda contratada FP]]&gt;105%,1,0)</f>
        <v>1</v>
      </c>
      <c r="AK13" s="36">
        <f>Dados_SA[[#This Row],[Acrescimo_Bamar]]/Dados_SA[[#This Row],[Valor da Fatura]]</f>
        <v>0</v>
      </c>
      <c r="AL13" s="36">
        <f>Dados_SA[[#This Row],[Acrescimo_Bverm1]]/Dados_SA[[#This Row],[Valor da Fatura]]</f>
        <v>8.4676709514903775E-2</v>
      </c>
      <c r="AM13" s="36">
        <f>Dados_SA[[#This Row],[Acrescimo_Bverm2]]/Dados_SA[[#This Row],[Valor da Fatura]]</f>
        <v>0</v>
      </c>
      <c r="AN13" s="36">
        <v>1.05</v>
      </c>
      <c r="AO13" s="36">
        <v>1</v>
      </c>
      <c r="AP13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13" s="65">
        <f>IF(Dados_SA[[#This Row],[Exced]]&lt;&gt;"",1,0)</f>
        <v>1</v>
      </c>
      <c r="AR13" s="65">
        <f>AVERAGEIFS(Dados_SA[DEMANDA_REGISTRADA_P],Dados_SA[ANO],2015,Dados_SA[UC],"SA")</f>
        <v>1203.3000000000002</v>
      </c>
      <c r="AS13" s="65">
        <f>AVERAGEIFS(Dados_SA[DEMANDA_REGISTRADA_FP],Dados_SA[ANO],2015,Dados_SA[UC],"SA")</f>
        <v>1321.875</v>
      </c>
      <c r="AT13" s="65">
        <v>501634.58</v>
      </c>
      <c r="AV13" s="27">
        <v>10</v>
      </c>
      <c r="AW13" s="30"/>
      <c r="AX13" s="30">
        <v>-0.15937381897203351</v>
      </c>
      <c r="AY13" s="30">
        <v>-0.10119047619047616</v>
      </c>
      <c r="AZ13" s="30">
        <v>-7.1428571428571383E-2</v>
      </c>
      <c r="BA13" s="30">
        <v>-0.20117630385487534</v>
      </c>
      <c r="BB13" s="30" t="s">
        <v>174</v>
      </c>
      <c r="BC13" s="64">
        <f t="shared" si="0"/>
        <v>-0.13329229261148912</v>
      </c>
      <c r="BE13" s="27">
        <v>10</v>
      </c>
      <c r="BF13" s="30"/>
      <c r="BG13" s="30">
        <v>-0.1071044675848169</v>
      </c>
      <c r="BH13" s="30">
        <v>-2.3177695666778637E-2</v>
      </c>
      <c r="BI13" s="30">
        <v>-4.3466577091031272E-2</v>
      </c>
      <c r="BJ13" s="30">
        <v>-0.15236815586160563</v>
      </c>
      <c r="BK13" s="30" t="s">
        <v>174</v>
      </c>
      <c r="BL13" s="64">
        <f t="shared" si="1"/>
        <v>-8.1529224051058113E-2</v>
      </c>
      <c r="BN13"/>
      <c r="BO13"/>
      <c r="BP13"/>
    </row>
    <row r="14" spans="1:68" x14ac:dyDescent="0.2">
      <c r="A14" s="39" t="s">
        <v>66</v>
      </c>
      <c r="B14" s="14" t="s">
        <v>33</v>
      </c>
      <c r="C14" s="2">
        <v>2016</v>
      </c>
      <c r="D14" s="2">
        <v>1</v>
      </c>
      <c r="E14" s="2">
        <v>31</v>
      </c>
      <c r="F14" s="2">
        <v>9.2999999999999992E-3</v>
      </c>
      <c r="G14" s="2">
        <v>4.2599999999999999E-2</v>
      </c>
      <c r="H14" s="2">
        <v>0.18</v>
      </c>
      <c r="I14" s="2">
        <v>1400</v>
      </c>
      <c r="J14" s="2">
        <v>1400</v>
      </c>
      <c r="K14" s="2">
        <v>1034.9000000000001</v>
      </c>
      <c r="L14" s="2">
        <v>1265</v>
      </c>
      <c r="M14" s="2"/>
      <c r="N14" s="3"/>
      <c r="O14" s="2">
        <v>7.74</v>
      </c>
      <c r="P14" s="2"/>
      <c r="Q14" s="2">
        <v>36844.1</v>
      </c>
      <c r="R14" s="2">
        <v>375281.1</v>
      </c>
      <c r="S14" s="2">
        <v>0.37784000000000001</v>
      </c>
      <c r="T14" s="2">
        <v>7.7630000000000005E-2</v>
      </c>
      <c r="U14" s="2">
        <v>0.36024</v>
      </c>
      <c r="V14" s="2">
        <v>0.22595999999999999</v>
      </c>
      <c r="W14" s="2">
        <v>3509.9</v>
      </c>
      <c r="X14" s="2">
        <f>31082.9+194.9</f>
        <v>31277.800000000003</v>
      </c>
      <c r="Y14" s="2"/>
      <c r="Z14" s="2"/>
      <c r="AA14" s="33">
        <v>209040.48</v>
      </c>
      <c r="AB14" s="33">
        <f t="shared" ref="AB14:AB25" si="2">Q14+R14</f>
        <v>412125.19999999995</v>
      </c>
      <c r="AC14" s="33"/>
      <c r="AD14" s="33">
        <f>16887.65+1657.98</f>
        <v>18545.63</v>
      </c>
      <c r="AE14" s="33"/>
      <c r="AF14" s="16" t="s">
        <v>32</v>
      </c>
      <c r="AG14" s="28">
        <f>IFERROR(IF(Dados_SA[[#This Row],[DEMANDA_REGISTRADA_P]]/Dados_SA[[#This Row],[DEMANDA_CONTRATADA_P]]=0,"",Dados_SA[[#This Row],[DEMANDA_REGISTRADA_P]]/Dados_SA[[#This Row],[DEMANDA_CONTRATADA_P]]),"")</f>
        <v>0.73921428571428582</v>
      </c>
      <c r="AH14" s="28">
        <f>IFERROR(IF(Dados_SA[[#This Row],[DEMANDA_REGISTRADA_FP]]/Dados_SA[[#This Row],[DEMANDA_CONTRATADA_FP]]=0,"",Dados_SA[[#This Row],[DEMANDA_REGISTRADA_FP]]/Dados_SA[[#This Row],[DEMANDA_CONTRATADA_FP]]),"")</f>
        <v>0.90357142857142858</v>
      </c>
      <c r="AI14" s="3">
        <f>IF(Dados_SA[[#This Row],[% Demanda contratada P]]&gt;105%,1,0)</f>
        <v>0</v>
      </c>
      <c r="AJ14" s="3">
        <f>IF(Dados_SA[[#This Row],[% Demanda contratada FP]]&gt;105%,1,0)</f>
        <v>0</v>
      </c>
      <c r="AK14" s="36">
        <f>Dados_SA[[#This Row],[Acrescimo_Bamar]]/Dados_SA[[#This Row],[Valor da Fatura]]</f>
        <v>0</v>
      </c>
      <c r="AL14" s="36">
        <f>Dados_SA[[#This Row],[Acrescimo_Bverm1]]/Dados_SA[[#This Row],[Valor da Fatura]]</f>
        <v>8.8717888516138113E-2</v>
      </c>
      <c r="AM14" s="36">
        <f>Dados_SA[[#This Row],[Acrescimo_Bverm2]]/Dados_SA[[#This Row],[Valor da Fatura]]</f>
        <v>0</v>
      </c>
      <c r="AN14" s="36">
        <v>1.05</v>
      </c>
      <c r="AO14" s="36">
        <v>1</v>
      </c>
      <c r="AP14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4" s="65">
        <f>IF(Dados_SA[[#This Row],[Exced]]&lt;&gt;"",1,0)</f>
        <v>0</v>
      </c>
      <c r="AR14" s="65">
        <f>AVERAGEIFS(Dados_SA[DEMANDA_REGISTRADA_P],Dados_SA[ANO],2015,Dados_SA[UC],"SA")</f>
        <v>1203.3000000000002</v>
      </c>
      <c r="AS14" s="65">
        <f>AVERAGEIFS(Dados_SA[DEMANDA_REGISTRADA_FP],Dados_SA[ANO],2015,Dados_SA[UC],"SA")</f>
        <v>1321.875</v>
      </c>
      <c r="AT14" s="65">
        <v>501634.58</v>
      </c>
      <c r="AV14" s="27">
        <v>11</v>
      </c>
      <c r="AW14" s="30"/>
      <c r="AX14" s="30">
        <v>5.4838709677419398E-2</v>
      </c>
      <c r="AY14" s="30">
        <v>4.5775729646697287E-2</v>
      </c>
      <c r="AZ14" s="30">
        <v>-0.22772657450076811</v>
      </c>
      <c r="BA14" s="30">
        <v>0.12450076804915512</v>
      </c>
      <c r="BB14" s="30" t="s">
        <v>174</v>
      </c>
      <c r="BC14" s="64">
        <f t="shared" si="0"/>
        <v>-6.5284178187407713E-4</v>
      </c>
      <c r="BE14" s="27">
        <v>11</v>
      </c>
      <c r="BF14" s="30"/>
      <c r="BG14" s="30">
        <v>3.1476075644117363E-2</v>
      </c>
      <c r="BH14" s="30">
        <v>-1.9164868638152078E-2</v>
      </c>
      <c r="BI14" s="30">
        <v>-0.30118035283665434</v>
      </c>
      <c r="BJ14" s="30">
        <v>2.7731945678385612E-2</v>
      </c>
      <c r="BK14" s="30" t="s">
        <v>174</v>
      </c>
      <c r="BL14" s="64">
        <f t="shared" si="1"/>
        <v>-6.5284300038075865E-2</v>
      </c>
      <c r="BN14"/>
      <c r="BO14"/>
      <c r="BP14"/>
    </row>
    <row r="15" spans="1:68" x14ac:dyDescent="0.2">
      <c r="A15" s="39" t="s">
        <v>66</v>
      </c>
      <c r="B15" s="14" t="s">
        <v>34</v>
      </c>
      <c r="C15" s="2">
        <v>2016</v>
      </c>
      <c r="D15" s="2">
        <v>2</v>
      </c>
      <c r="E15" s="2">
        <v>29</v>
      </c>
      <c r="F15" s="2">
        <v>9.1999999999999998E-3</v>
      </c>
      <c r="G15" s="2">
        <v>4.2200000000000001E-2</v>
      </c>
      <c r="H15" s="2">
        <v>0.18</v>
      </c>
      <c r="I15" s="2">
        <v>1400</v>
      </c>
      <c r="J15" s="2">
        <v>1400</v>
      </c>
      <c r="K15" s="2">
        <v>1202</v>
      </c>
      <c r="L15" s="2">
        <v>1454</v>
      </c>
      <c r="M15" s="2"/>
      <c r="N15" s="3"/>
      <c r="O15" s="2">
        <v>7.74</v>
      </c>
      <c r="P15" s="2"/>
      <c r="Q15" s="2">
        <v>45162.8</v>
      </c>
      <c r="R15" s="2">
        <v>406399.4</v>
      </c>
      <c r="S15" s="2">
        <v>0.37784000000000001</v>
      </c>
      <c r="T15" s="2">
        <v>7.7630000000000005E-2</v>
      </c>
      <c r="U15" s="2">
        <v>0.36024</v>
      </c>
      <c r="V15" s="2">
        <v>0.22595999999999999</v>
      </c>
      <c r="W15" s="2">
        <v>3634.5</v>
      </c>
      <c r="X15" s="2">
        <f>30340.4+1554.4</f>
        <v>31894.800000000003</v>
      </c>
      <c r="Y15" s="2"/>
      <c r="Z15" s="2"/>
      <c r="AA15" s="33">
        <v>226189.68</v>
      </c>
      <c r="AB15" s="33">
        <f t="shared" si="2"/>
        <v>451562.2</v>
      </c>
      <c r="AC15" s="33"/>
      <c r="AD15" s="33">
        <f>14990.3+1961.38</f>
        <v>16951.68</v>
      </c>
      <c r="AE15" s="33"/>
      <c r="AF15" s="16" t="s">
        <v>32</v>
      </c>
      <c r="AG15" s="28">
        <f>IFERROR(IF(Dados_SA[[#This Row],[DEMANDA_REGISTRADA_P]]/Dados_SA[[#This Row],[DEMANDA_CONTRATADA_P]]=0,"",Dados_SA[[#This Row],[DEMANDA_REGISTRADA_P]]/Dados_SA[[#This Row],[DEMANDA_CONTRATADA_P]]),"")</f>
        <v>0.85857142857142854</v>
      </c>
      <c r="AH15" s="28">
        <f>IFERROR(IF(Dados_SA[[#This Row],[DEMANDA_REGISTRADA_FP]]/Dados_SA[[#This Row],[DEMANDA_CONTRATADA_FP]]=0,"",Dados_SA[[#This Row],[DEMANDA_REGISTRADA_FP]]/Dados_SA[[#This Row],[DEMANDA_CONTRATADA_FP]]),"")</f>
        <v>1.0385714285714285</v>
      </c>
      <c r="AI15" s="3">
        <f>IF(Dados_SA[[#This Row],[% Demanda contratada P]]&gt;105%,1,0)</f>
        <v>0</v>
      </c>
      <c r="AJ15" s="3">
        <f>IF(Dados_SA[[#This Row],[% Demanda contratada FP]]&gt;105%,1,0)</f>
        <v>0</v>
      </c>
      <c r="AK15" s="36">
        <f>Dados_SA[[#This Row],[Acrescimo_Bamar]]/Dados_SA[[#This Row],[Valor da Fatura]]</f>
        <v>0</v>
      </c>
      <c r="AL15" s="36">
        <f>Dados_SA[[#This Row],[Acrescimo_Bverm1]]/Dados_SA[[#This Row],[Valor da Fatura]]</f>
        <v>7.4944533278441361E-2</v>
      </c>
      <c r="AM15" s="36">
        <f>Dados_SA[[#This Row],[Acrescimo_Bverm2]]/Dados_SA[[#This Row],[Valor da Fatura]]</f>
        <v>0</v>
      </c>
      <c r="AN15" s="36">
        <v>1.05</v>
      </c>
      <c r="AO15" s="36">
        <v>1</v>
      </c>
      <c r="AP15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5" s="65">
        <f>IF(Dados_SA[[#This Row],[Exced]]&lt;&gt;"",1,0)</f>
        <v>0</v>
      </c>
      <c r="AR15" s="65">
        <f>AVERAGEIFS(Dados_SA[DEMANDA_REGISTRADA_P],Dados_SA[ANO],2015,Dados_SA[UC],"SA")</f>
        <v>1203.3000000000002</v>
      </c>
      <c r="AS15" s="65">
        <f>AVERAGEIFS(Dados_SA[DEMANDA_REGISTRADA_FP],Dados_SA[ANO],2015,Dados_SA[UC],"SA")</f>
        <v>1321.875</v>
      </c>
      <c r="AT15" s="65">
        <v>501634.58</v>
      </c>
      <c r="AV15" s="27">
        <v>12</v>
      </c>
      <c r="AW15" s="30"/>
      <c r="AX15" s="30">
        <v>-7.274459974587047E-2</v>
      </c>
      <c r="AY15" s="30">
        <v>-4.0740152477763594E-2</v>
      </c>
      <c r="AZ15" s="30">
        <v>1.9297966963151197E-2</v>
      </c>
      <c r="BA15" s="30">
        <v>-8.7436467598475329E-2</v>
      </c>
      <c r="BB15" s="30" t="s">
        <v>174</v>
      </c>
      <c r="BC15" s="64">
        <f t="shared" si="0"/>
        <v>-4.5405813214739549E-2</v>
      </c>
      <c r="BE15" s="27">
        <v>12</v>
      </c>
      <c r="BF15" s="30"/>
      <c r="BG15" s="30">
        <v>-0.18796231902383509</v>
      </c>
      <c r="BH15" s="30">
        <v>-9.7679711702598468E-2</v>
      </c>
      <c r="BI15" s="30">
        <v>-3.0283871783524114E-2</v>
      </c>
      <c r="BJ15" s="30">
        <v>-0.1768350508946071</v>
      </c>
      <c r="BK15" s="30" t="s">
        <v>174</v>
      </c>
      <c r="BL15" s="64">
        <f t="shared" si="1"/>
        <v>-0.12319023835114119</v>
      </c>
      <c r="BN15"/>
      <c r="BO15"/>
      <c r="BP15"/>
    </row>
    <row r="16" spans="1:68" x14ac:dyDescent="0.2">
      <c r="A16" s="39" t="s">
        <v>66</v>
      </c>
      <c r="B16" s="14" t="s">
        <v>35</v>
      </c>
      <c r="C16" s="2">
        <v>2016</v>
      </c>
      <c r="D16" s="2">
        <v>3</v>
      </c>
      <c r="E16" s="2">
        <v>31</v>
      </c>
      <c r="F16" s="2">
        <v>1.0200000000000001E-2</v>
      </c>
      <c r="G16" s="4">
        <v>4.7E-2</v>
      </c>
      <c r="H16" s="2">
        <v>0.18</v>
      </c>
      <c r="I16" s="2">
        <v>1400</v>
      </c>
      <c r="J16" s="2">
        <v>1400</v>
      </c>
      <c r="K16" s="2">
        <v>1320.5</v>
      </c>
      <c r="L16" s="2">
        <v>1473.4</v>
      </c>
      <c r="M16" s="2"/>
      <c r="N16" s="3"/>
      <c r="O16" s="2">
        <v>7.74</v>
      </c>
      <c r="P16" s="2"/>
      <c r="Q16" s="2">
        <v>66500.7</v>
      </c>
      <c r="R16" s="2">
        <v>451496.6</v>
      </c>
      <c r="S16" s="2">
        <v>0.37784000000000001</v>
      </c>
      <c r="T16" s="2">
        <v>7.7630000000000005E-2</v>
      </c>
      <c r="U16" s="2">
        <v>0.36024</v>
      </c>
      <c r="V16" s="2">
        <v>0.22595999999999999</v>
      </c>
      <c r="W16" s="2">
        <v>10135.9</v>
      </c>
      <c r="X16" s="2">
        <f>52241.7+1412.3</f>
        <v>53654</v>
      </c>
      <c r="Y16" s="2"/>
      <c r="Z16" s="2"/>
      <c r="AA16" s="33">
        <v>259365.53</v>
      </c>
      <c r="AB16" s="33">
        <f t="shared" si="2"/>
        <v>517997.3</v>
      </c>
      <c r="AC16" s="33">
        <f>3587.74+539.8</f>
        <v>4127.54</v>
      </c>
      <c r="AD16" s="33">
        <f>6369.4+915.4</f>
        <v>7284.7999999999993</v>
      </c>
      <c r="AE16" s="33"/>
      <c r="AF16" s="16" t="s">
        <v>32</v>
      </c>
      <c r="AG16" s="28">
        <f>IFERROR(IF(Dados_SA[[#This Row],[DEMANDA_REGISTRADA_P]]/Dados_SA[[#This Row],[DEMANDA_CONTRATADA_P]]=0,"",Dados_SA[[#This Row],[DEMANDA_REGISTRADA_P]]/Dados_SA[[#This Row],[DEMANDA_CONTRATADA_P]]),"")</f>
        <v>0.94321428571428567</v>
      </c>
      <c r="AH16" s="28">
        <f>IFERROR(IF(Dados_SA[[#This Row],[DEMANDA_REGISTRADA_FP]]/Dados_SA[[#This Row],[DEMANDA_CONTRATADA_FP]]=0,"",Dados_SA[[#This Row],[DEMANDA_REGISTRADA_FP]]/Dados_SA[[#This Row],[DEMANDA_CONTRATADA_FP]]),"")</f>
        <v>1.0524285714285715</v>
      </c>
      <c r="AI16" s="3">
        <f>IF(Dados_SA[[#This Row],[% Demanda contratada P]]&gt;105%,1,0)</f>
        <v>0</v>
      </c>
      <c r="AJ16" s="3">
        <f>IF(Dados_SA[[#This Row],[% Demanda contratada FP]]&gt;105%,1,0)</f>
        <v>1</v>
      </c>
      <c r="AK16" s="36">
        <f>Dados_SA[[#This Row],[Acrescimo_Bamar]]/Dados_SA[[#This Row],[Valor da Fatura]]</f>
        <v>1.5913988262048546E-2</v>
      </c>
      <c r="AL16" s="36">
        <f>Dados_SA[[#This Row],[Acrescimo_Bverm1]]/Dados_SA[[#This Row],[Valor da Fatura]]</f>
        <v>2.8087001383722807E-2</v>
      </c>
      <c r="AM16" s="36">
        <f>Dados_SA[[#This Row],[Acrescimo_Bverm2]]/Dados_SA[[#This Row],[Valor da Fatura]]</f>
        <v>0</v>
      </c>
      <c r="AN16" s="36">
        <v>1.05</v>
      </c>
      <c r="AO16" s="36">
        <v>1</v>
      </c>
      <c r="AP16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16" s="65">
        <f>IF(Dados_SA[[#This Row],[Exced]]&lt;&gt;"",1,0)</f>
        <v>1</v>
      </c>
      <c r="AR16" s="65">
        <f>AVERAGEIFS(Dados_SA[DEMANDA_REGISTRADA_P],Dados_SA[ANO],2015,Dados_SA[UC],"SA")</f>
        <v>1203.3000000000002</v>
      </c>
      <c r="AS16" s="65">
        <f>AVERAGEIFS(Dados_SA[DEMANDA_REGISTRADA_FP],Dados_SA[ANO],2015,Dados_SA[UC],"SA")</f>
        <v>1321.875</v>
      </c>
      <c r="AT16" s="65">
        <v>501634.58</v>
      </c>
      <c r="AV16" s="26" t="s">
        <v>67</v>
      </c>
      <c r="AW16" s="30"/>
      <c r="AX16" s="30">
        <v>3.0154859163516838E-2</v>
      </c>
      <c r="AY16" s="30">
        <v>-0.16377677519001746</v>
      </c>
      <c r="AZ16" s="30">
        <v>-0.20043897085721255</v>
      </c>
      <c r="BA16" s="30">
        <v>-0.1345933422753321</v>
      </c>
      <c r="BB16" s="30">
        <v>-0.74830711701824981</v>
      </c>
      <c r="BC16"/>
      <c r="BE16" s="26" t="s">
        <v>67</v>
      </c>
      <c r="BF16" s="30"/>
      <c r="BG16" s="30">
        <v>0.1606117771151547</v>
      </c>
      <c r="BH16" s="30">
        <v>5.8946428933650034E-2</v>
      </c>
      <c r="BI16" s="30">
        <v>-8.1746080042191908E-3</v>
      </c>
      <c r="BJ16" s="30">
        <v>4.0406499117629315E-2</v>
      </c>
      <c r="BK16" s="30">
        <v>-0.6752266780259234</v>
      </c>
      <c r="BL16"/>
      <c r="BN16"/>
      <c r="BO16"/>
      <c r="BP16"/>
    </row>
    <row r="17" spans="1:68" x14ac:dyDescent="0.2">
      <c r="A17" s="39" t="s">
        <v>66</v>
      </c>
      <c r="B17" s="14" t="s">
        <v>36</v>
      </c>
      <c r="C17" s="2">
        <v>2016</v>
      </c>
      <c r="D17" s="2">
        <v>4</v>
      </c>
      <c r="E17" s="2">
        <v>30</v>
      </c>
      <c r="F17" s="4">
        <v>8.9999999999999993E-3</v>
      </c>
      <c r="G17" s="2">
        <v>4.1200000000000001E-2</v>
      </c>
      <c r="H17" s="2">
        <v>0.18</v>
      </c>
      <c r="I17" s="2">
        <v>1400</v>
      </c>
      <c r="J17" s="2">
        <v>1400</v>
      </c>
      <c r="K17" s="2">
        <v>1357.4</v>
      </c>
      <c r="L17" s="2">
        <v>1482.6</v>
      </c>
      <c r="M17" s="2"/>
      <c r="N17" s="3"/>
      <c r="O17" s="2">
        <v>7.74</v>
      </c>
      <c r="P17" s="2"/>
      <c r="Q17" s="2">
        <v>70824.399999999994</v>
      </c>
      <c r="R17" s="2">
        <v>493308.5</v>
      </c>
      <c r="S17" s="2">
        <v>0.37784000000000001</v>
      </c>
      <c r="T17" s="2">
        <v>7.7630000000000005E-2</v>
      </c>
      <c r="U17" s="2">
        <v>0.36024</v>
      </c>
      <c r="V17" s="2">
        <v>0.22595999999999999</v>
      </c>
      <c r="W17" s="2">
        <v>10613.6</v>
      </c>
      <c r="X17" s="2">
        <f>62183.1+1141.4</f>
        <v>63324.5</v>
      </c>
      <c r="Y17" s="2"/>
      <c r="Z17" s="2"/>
      <c r="AA17" s="33">
        <v>268204.61</v>
      </c>
      <c r="AB17" s="33">
        <f t="shared" si="2"/>
        <v>564132.9</v>
      </c>
      <c r="AC17" s="33">
        <f>3910.27+561.44</f>
        <v>4471.71</v>
      </c>
      <c r="AD17" s="33"/>
      <c r="AE17" s="33"/>
      <c r="AF17" s="16" t="s">
        <v>32</v>
      </c>
      <c r="AG17" s="28">
        <f>IFERROR(IF(Dados_SA[[#This Row],[DEMANDA_REGISTRADA_P]]/Dados_SA[[#This Row],[DEMANDA_CONTRATADA_P]]=0,"",Dados_SA[[#This Row],[DEMANDA_REGISTRADA_P]]/Dados_SA[[#This Row],[DEMANDA_CONTRATADA_P]]),"")</f>
        <v>0.96957142857142864</v>
      </c>
      <c r="AH17" s="28">
        <f>IFERROR(IF(Dados_SA[[#This Row],[DEMANDA_REGISTRADA_FP]]/Dados_SA[[#This Row],[DEMANDA_CONTRATADA_FP]]=0,"",Dados_SA[[#This Row],[DEMANDA_REGISTRADA_FP]]/Dados_SA[[#This Row],[DEMANDA_CONTRATADA_FP]]),"")</f>
        <v>1.0589999999999999</v>
      </c>
      <c r="AI17" s="3">
        <f>IF(Dados_SA[[#This Row],[% Demanda contratada P]]&gt;105%,1,0)</f>
        <v>0</v>
      </c>
      <c r="AJ17" s="3">
        <f>IF(Dados_SA[[#This Row],[% Demanda contratada FP]]&gt;105%,1,0)</f>
        <v>1</v>
      </c>
      <c r="AK17" s="36">
        <f>Dados_SA[[#This Row],[Acrescimo_Bamar]]/Dados_SA[[#This Row],[Valor da Fatura]]</f>
        <v>1.6672755923173729E-2</v>
      </c>
      <c r="AL17" s="36">
        <f>Dados_SA[[#This Row],[Acrescimo_Bverm1]]/Dados_SA[[#This Row],[Valor da Fatura]]</f>
        <v>0</v>
      </c>
      <c r="AM17" s="36">
        <f>Dados_SA[[#This Row],[Acrescimo_Bverm2]]/Dados_SA[[#This Row],[Valor da Fatura]]</f>
        <v>0</v>
      </c>
      <c r="AN17" s="36">
        <v>1.05</v>
      </c>
      <c r="AO17" s="36">
        <v>1</v>
      </c>
      <c r="AP17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17" s="65">
        <f>IF(Dados_SA[[#This Row],[Exced]]&lt;&gt;"",1,0)</f>
        <v>1</v>
      </c>
      <c r="AR17" s="65">
        <f>AVERAGEIFS(Dados_SA[DEMANDA_REGISTRADA_P],Dados_SA[ANO],2015,Dados_SA[UC],"SA")</f>
        <v>1203.3000000000002</v>
      </c>
      <c r="AS17" s="65">
        <f>AVERAGEIFS(Dados_SA[DEMANDA_REGISTRADA_FP],Dados_SA[ANO],2015,Dados_SA[UC],"SA")</f>
        <v>1321.875</v>
      </c>
      <c r="AT17" s="65">
        <v>501634.58</v>
      </c>
      <c r="AV17" s="27">
        <v>1</v>
      </c>
      <c r="AW17" s="30"/>
      <c r="AX17" s="30">
        <v>0.27234171463192969</v>
      </c>
      <c r="AY17" s="30">
        <v>-6.3556498030899855E-2</v>
      </c>
      <c r="AZ17" s="30">
        <v>-5.5316570736140526E-2</v>
      </c>
      <c r="BA17" s="30">
        <v>0.11966070887609816</v>
      </c>
      <c r="BB17" s="30">
        <v>-1.4601635867918818E-2</v>
      </c>
      <c r="BC17" s="64">
        <f>AVERAGEIF(AX17:BA17,"&gt;-1",AX17:BA17)</f>
        <v>6.8282338685246871E-2</v>
      </c>
      <c r="BE17" s="27">
        <v>1</v>
      </c>
      <c r="BF17" s="30"/>
      <c r="BG17" s="30">
        <v>0.28459383753501405</v>
      </c>
      <c r="BH17" s="30">
        <v>0.24481792717086828</v>
      </c>
      <c r="BI17" s="30">
        <v>3.5294117647058885E-2</v>
      </c>
      <c r="BJ17" s="30">
        <v>0.29187675070028007</v>
      </c>
      <c r="BK17" s="30">
        <v>0.15070028011204484</v>
      </c>
      <c r="BL17" s="64">
        <f>AVERAGEIF(BG17:BJ17,"&gt;-1",BG17:BJ17)</f>
        <v>0.21414565826330534</v>
      </c>
      <c r="BN17"/>
      <c r="BO17"/>
      <c r="BP17"/>
    </row>
    <row r="18" spans="1:68" x14ac:dyDescent="0.2">
      <c r="A18" s="39" t="s">
        <v>66</v>
      </c>
      <c r="B18" s="14" t="s">
        <v>37</v>
      </c>
      <c r="C18" s="2">
        <v>2016</v>
      </c>
      <c r="D18" s="2">
        <v>5</v>
      </c>
      <c r="E18" s="2">
        <v>31</v>
      </c>
      <c r="F18" s="2">
        <v>1.2200000000000001E-2</v>
      </c>
      <c r="G18" s="2">
        <v>5.62E-2</v>
      </c>
      <c r="H18" s="2">
        <v>0.18</v>
      </c>
      <c r="I18" s="2">
        <v>1400</v>
      </c>
      <c r="J18" s="2">
        <v>1400</v>
      </c>
      <c r="K18" s="2">
        <v>1438.9</v>
      </c>
      <c r="L18" s="2">
        <v>1505.3</v>
      </c>
      <c r="M18" s="2"/>
      <c r="N18" s="3"/>
      <c r="O18" s="2">
        <v>7.74</v>
      </c>
      <c r="P18" s="2"/>
      <c r="Q18" s="2">
        <v>58421</v>
      </c>
      <c r="R18" s="2">
        <v>444744.5</v>
      </c>
      <c r="S18" s="2">
        <v>0.37784000000000001</v>
      </c>
      <c r="T18" s="2">
        <v>7.7630000000000005E-2</v>
      </c>
      <c r="U18" s="2">
        <v>0.36024</v>
      </c>
      <c r="V18" s="2">
        <v>0.22595999999999999</v>
      </c>
      <c r="W18" s="2">
        <v>5761.5</v>
      </c>
      <c r="X18" s="2">
        <f>37750.9+2839.2</f>
        <v>40590.1</v>
      </c>
      <c r="Y18" s="2"/>
      <c r="Z18" s="2"/>
      <c r="AA18" s="33">
        <v>239817.92</v>
      </c>
      <c r="AB18" s="33">
        <f t="shared" si="2"/>
        <v>503165.5</v>
      </c>
      <c r="AC18" s="33"/>
      <c r="AD18" s="33"/>
      <c r="AE18" s="33"/>
      <c r="AF18" s="16" t="s">
        <v>32</v>
      </c>
      <c r="AG18" s="28">
        <f>IFERROR(IF(Dados_SA[[#This Row],[DEMANDA_REGISTRADA_P]]/Dados_SA[[#This Row],[DEMANDA_CONTRATADA_P]]=0,"",Dados_SA[[#This Row],[DEMANDA_REGISTRADA_P]]/Dados_SA[[#This Row],[DEMANDA_CONTRATADA_P]]),"")</f>
        <v>1.0277857142857143</v>
      </c>
      <c r="AH18" s="28">
        <f>IFERROR(IF(Dados_SA[[#This Row],[DEMANDA_REGISTRADA_FP]]/Dados_SA[[#This Row],[DEMANDA_CONTRATADA_FP]]=0,"",Dados_SA[[#This Row],[DEMANDA_REGISTRADA_FP]]/Dados_SA[[#This Row],[DEMANDA_CONTRATADA_FP]]),"")</f>
        <v>1.0752142857142857</v>
      </c>
      <c r="AI18" s="3">
        <f>IF(Dados_SA[[#This Row],[% Demanda contratada P]]&gt;105%,1,0)</f>
        <v>0</v>
      </c>
      <c r="AJ18" s="3">
        <f>IF(Dados_SA[[#This Row],[% Demanda contratada FP]]&gt;105%,1,0)</f>
        <v>1</v>
      </c>
      <c r="AK18" s="36">
        <f>Dados_SA[[#This Row],[Acrescimo_Bamar]]/Dados_SA[[#This Row],[Valor da Fatura]]</f>
        <v>0</v>
      </c>
      <c r="AL18" s="36">
        <f>Dados_SA[[#This Row],[Acrescimo_Bverm1]]/Dados_SA[[#This Row],[Valor da Fatura]]</f>
        <v>0</v>
      </c>
      <c r="AM18" s="36">
        <f>Dados_SA[[#This Row],[Acrescimo_Bverm2]]/Dados_SA[[#This Row],[Valor da Fatura]]</f>
        <v>0</v>
      </c>
      <c r="AN18" s="36">
        <v>1.05</v>
      </c>
      <c r="AO18" s="36">
        <v>1</v>
      </c>
      <c r="AP18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18" s="65">
        <f>IF(Dados_SA[[#This Row],[Exced]]&lt;&gt;"",1,0)</f>
        <v>1</v>
      </c>
      <c r="AR18" s="65">
        <f>AVERAGEIFS(Dados_SA[DEMANDA_REGISTRADA_P],Dados_SA[ANO],2015,Dados_SA[UC],"SA")</f>
        <v>1203.3000000000002</v>
      </c>
      <c r="AS18" s="65">
        <f>AVERAGEIFS(Dados_SA[DEMANDA_REGISTRADA_FP],Dados_SA[ANO],2015,Dados_SA[UC],"SA")</f>
        <v>1321.875</v>
      </c>
      <c r="AT18" s="65">
        <v>501634.58</v>
      </c>
      <c r="AV18" s="27">
        <v>2</v>
      </c>
      <c r="AW18" s="30"/>
      <c r="AX18" s="30">
        <v>-0.146450809464508</v>
      </c>
      <c r="AY18" s="30">
        <v>-8.9414694894146843E-2</v>
      </c>
      <c r="AZ18" s="30">
        <v>-0.39247820672478201</v>
      </c>
      <c r="BA18" s="30">
        <v>-3.2627646326276412E-2</v>
      </c>
      <c r="BB18" s="30">
        <v>-0.28707347447073467</v>
      </c>
      <c r="BC18" s="64">
        <f t="shared" ref="BC18:BC28" si="3">AVERAGEIF(AX18:BA18,"&gt;-1",AX18:BA18)</f>
        <v>-0.16524283935242834</v>
      </c>
      <c r="BE18" s="27">
        <v>2</v>
      </c>
      <c r="BF18" s="30"/>
      <c r="BG18" s="30">
        <v>9.6158738234545793E-2</v>
      </c>
      <c r="BH18" s="30">
        <v>0.27779191045535484</v>
      </c>
      <c r="BI18" s="30">
        <v>5.9781226151106585E-2</v>
      </c>
      <c r="BJ18" s="30">
        <v>0.19231747646909172</v>
      </c>
      <c r="BK18" s="30">
        <v>2.365810226405483E-2</v>
      </c>
      <c r="BL18" s="64">
        <f t="shared" ref="BL18:BL28" si="4">AVERAGEIF(BG18:BJ18,"&gt;-1",BG18:BJ18)</f>
        <v>0.15651233782752474</v>
      </c>
      <c r="BN18"/>
      <c r="BO18"/>
      <c r="BP18"/>
    </row>
    <row r="19" spans="1:68" x14ac:dyDescent="0.2">
      <c r="A19" s="39" t="s">
        <v>66</v>
      </c>
      <c r="B19" s="14" t="s">
        <v>38</v>
      </c>
      <c r="C19" s="2">
        <v>2016</v>
      </c>
      <c r="D19" s="2">
        <v>6</v>
      </c>
      <c r="E19" s="2">
        <v>30</v>
      </c>
      <c r="F19" s="2">
        <v>1.2200000000000001E-2</v>
      </c>
      <c r="G19" s="2">
        <v>5.62E-2</v>
      </c>
      <c r="H19" s="2">
        <v>0.18</v>
      </c>
      <c r="I19" s="2">
        <v>1400</v>
      </c>
      <c r="J19" s="2">
        <v>1400</v>
      </c>
      <c r="K19" s="2">
        <v>964.3</v>
      </c>
      <c r="L19" s="2">
        <v>1044.0999999999999</v>
      </c>
      <c r="M19" s="2"/>
      <c r="N19" s="3"/>
      <c r="O19" s="2">
        <v>7.74</v>
      </c>
      <c r="P19" s="2"/>
      <c r="Q19" s="2">
        <v>47792.2</v>
      </c>
      <c r="R19" s="2">
        <v>361433.3</v>
      </c>
      <c r="S19" s="2">
        <v>0.37784000000000001</v>
      </c>
      <c r="T19" s="2">
        <v>7.7630000000000005E-2</v>
      </c>
      <c r="U19" s="2">
        <v>0.36024</v>
      </c>
      <c r="V19" s="2">
        <v>0.22595999999999999</v>
      </c>
      <c r="W19" s="2">
        <v>401.9</v>
      </c>
      <c r="X19" s="2">
        <f>4907.3+4739.7</f>
        <v>9647</v>
      </c>
      <c r="Y19" s="2"/>
      <c r="Z19" s="2"/>
      <c r="AA19" s="33">
        <v>195247.45</v>
      </c>
      <c r="AB19" s="33">
        <f t="shared" si="2"/>
        <v>409225.5</v>
      </c>
      <c r="AC19" s="33"/>
      <c r="AD19" s="33"/>
      <c r="AE19" s="33"/>
      <c r="AF19" s="16" t="s">
        <v>32</v>
      </c>
      <c r="AG19" s="28">
        <f>IFERROR(IF(Dados_SA[[#This Row],[DEMANDA_REGISTRADA_P]]/Dados_SA[[#This Row],[DEMANDA_CONTRATADA_P]]=0,"",Dados_SA[[#This Row],[DEMANDA_REGISTRADA_P]]/Dados_SA[[#This Row],[DEMANDA_CONTRATADA_P]]),"")</f>
        <v>0.68878571428571422</v>
      </c>
      <c r="AH19" s="28">
        <f>IFERROR(IF(Dados_SA[[#This Row],[DEMANDA_REGISTRADA_FP]]/Dados_SA[[#This Row],[DEMANDA_CONTRATADA_FP]]=0,"",Dados_SA[[#This Row],[DEMANDA_REGISTRADA_FP]]/Dados_SA[[#This Row],[DEMANDA_CONTRATADA_FP]]),"")</f>
        <v>0.74578571428571427</v>
      </c>
      <c r="AI19" s="3">
        <f>IF(Dados_SA[[#This Row],[% Demanda contratada P]]&gt;105%,1,0)</f>
        <v>0</v>
      </c>
      <c r="AJ19" s="3">
        <f>IF(Dados_SA[[#This Row],[% Demanda contratada FP]]&gt;105%,1,0)</f>
        <v>0</v>
      </c>
      <c r="AK19" s="36">
        <f>Dados_SA[[#This Row],[Acrescimo_Bamar]]/Dados_SA[[#This Row],[Valor da Fatura]]</f>
        <v>0</v>
      </c>
      <c r="AL19" s="36">
        <f>Dados_SA[[#This Row],[Acrescimo_Bverm1]]/Dados_SA[[#This Row],[Valor da Fatura]]</f>
        <v>0</v>
      </c>
      <c r="AM19" s="36">
        <f>Dados_SA[[#This Row],[Acrescimo_Bverm2]]/Dados_SA[[#This Row],[Valor da Fatura]]</f>
        <v>0</v>
      </c>
      <c r="AN19" s="36">
        <v>1.05</v>
      </c>
      <c r="AO19" s="36">
        <v>1</v>
      </c>
      <c r="AP19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9" s="65">
        <f>IF(Dados_SA[[#This Row],[Exced]]&lt;&gt;"",1,0)</f>
        <v>0</v>
      </c>
      <c r="AR19" s="65">
        <f>AVERAGEIFS(Dados_SA[DEMANDA_REGISTRADA_P],Dados_SA[ANO],2015,Dados_SA[UC],"SA")</f>
        <v>1203.3000000000002</v>
      </c>
      <c r="AS19" s="65">
        <f>AVERAGEIFS(Dados_SA[DEMANDA_REGISTRADA_FP],Dados_SA[ANO],2015,Dados_SA[UC],"SA")</f>
        <v>1321.875</v>
      </c>
      <c r="AT19" s="65">
        <v>501634.58</v>
      </c>
      <c r="AV19" s="27">
        <v>3</v>
      </c>
      <c r="AW19" s="30"/>
      <c r="AX19" s="30">
        <v>0.46375420067210738</v>
      </c>
      <c r="AY19" s="30">
        <v>9.0350456072971527E-2</v>
      </c>
      <c r="AZ19" s="30">
        <v>-6.2890062409985695E-2</v>
      </c>
      <c r="BA19" s="30">
        <v>-2.4099855976956429E-2</v>
      </c>
      <c r="BB19" s="30">
        <v>-5.4824771963514304E-2</v>
      </c>
      <c r="BC19" s="64">
        <f t="shared" si="3"/>
        <v>0.11677868458953421</v>
      </c>
      <c r="BE19" s="27">
        <v>3</v>
      </c>
      <c r="BF19" s="30"/>
      <c r="BG19" s="30">
        <v>0.24141774409273284</v>
      </c>
      <c r="BH19" s="30">
        <v>0.27886758805171646</v>
      </c>
      <c r="BI19" s="30">
        <v>0.11970575122603652</v>
      </c>
      <c r="BJ19" s="30">
        <v>0.17409719126170312</v>
      </c>
      <c r="BK19" s="30">
        <v>7.8466339723584452E-2</v>
      </c>
      <c r="BL19" s="64">
        <f t="shared" si="4"/>
        <v>0.20352206865804723</v>
      </c>
    </row>
    <row r="20" spans="1:68" x14ac:dyDescent="0.2">
      <c r="A20" s="39" t="s">
        <v>66</v>
      </c>
      <c r="B20" s="14" t="s">
        <v>39</v>
      </c>
      <c r="C20" s="2">
        <v>2016</v>
      </c>
      <c r="D20" s="2">
        <v>7</v>
      </c>
      <c r="E20" s="2">
        <v>31</v>
      </c>
      <c r="F20" s="2"/>
      <c r="G20" s="2"/>
      <c r="H20" s="2">
        <v>0.18</v>
      </c>
      <c r="I20" s="2">
        <v>1400</v>
      </c>
      <c r="J20" s="2">
        <v>1400</v>
      </c>
      <c r="K20" s="69">
        <f>K19</f>
        <v>964.3</v>
      </c>
      <c r="L20" s="69">
        <f>L19</f>
        <v>1044.0999999999999</v>
      </c>
      <c r="M20" s="2"/>
      <c r="N20" s="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33">
        <v>231078.34</v>
      </c>
      <c r="AB20" s="33">
        <f>AVERAGE(AB8:AB19)</f>
        <v>491719.92500000005</v>
      </c>
      <c r="AC20" s="33"/>
      <c r="AD20" s="33"/>
      <c r="AE20" s="33"/>
      <c r="AF20" s="16" t="s">
        <v>32</v>
      </c>
      <c r="AG20" s="28">
        <f>IFERROR(IF(Dados_SA[[#This Row],[DEMANDA_REGISTRADA_P]]/Dados_SA[[#This Row],[DEMANDA_CONTRATADA_P]]=0,"",Dados_SA[[#This Row],[DEMANDA_REGISTRADA_P]]/Dados_SA[[#This Row],[DEMANDA_CONTRATADA_P]]),"")</f>
        <v>0.68878571428571422</v>
      </c>
      <c r="AH20" s="28">
        <f>IFERROR(IF(Dados_SA[[#This Row],[DEMANDA_REGISTRADA_FP]]/Dados_SA[[#This Row],[DEMANDA_CONTRATADA_FP]]=0,"",Dados_SA[[#This Row],[DEMANDA_REGISTRADA_FP]]/Dados_SA[[#This Row],[DEMANDA_CONTRATADA_FP]]),"")</f>
        <v>0.74578571428571427</v>
      </c>
      <c r="AI20" s="3">
        <f>IF(Dados_SA[[#This Row],[% Demanda contratada P]]&gt;105%,1,0)</f>
        <v>0</v>
      </c>
      <c r="AJ20" s="3">
        <f>IF(Dados_SA[[#This Row],[% Demanda contratada FP]]&gt;105%,1,0)</f>
        <v>0</v>
      </c>
      <c r="AK20" s="36">
        <f>Dados_SA[[#This Row],[Acrescimo_Bamar]]/Dados_SA[[#This Row],[Valor da Fatura]]</f>
        <v>0</v>
      </c>
      <c r="AL20" s="36">
        <f>Dados_SA[[#This Row],[Acrescimo_Bverm1]]/Dados_SA[[#This Row],[Valor da Fatura]]</f>
        <v>0</v>
      </c>
      <c r="AM20" s="36">
        <f>Dados_SA[[#This Row],[Acrescimo_Bverm2]]/Dados_SA[[#This Row],[Valor da Fatura]]</f>
        <v>0</v>
      </c>
      <c r="AN20" s="36">
        <v>1.05</v>
      </c>
      <c r="AO20" s="36">
        <v>1</v>
      </c>
      <c r="AP20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20" s="65">
        <f>IF(Dados_SA[[#This Row],[Exced]]&lt;&gt;"",1,0)</f>
        <v>0</v>
      </c>
      <c r="AR20" s="65">
        <f>AVERAGEIFS(Dados_SA[DEMANDA_REGISTRADA_P],Dados_SA[ANO],2015,Dados_SA[UC],"SA")</f>
        <v>1203.3000000000002</v>
      </c>
      <c r="AS20" s="65">
        <f>AVERAGEIFS(Dados_SA[DEMANDA_REGISTRADA_FP],Dados_SA[ANO],2015,Dados_SA[UC],"SA")</f>
        <v>1321.875</v>
      </c>
      <c r="AT20" s="65">
        <v>501634.58</v>
      </c>
      <c r="AV20" s="27">
        <v>4</v>
      </c>
      <c r="AW20" s="30"/>
      <c r="AX20" s="30">
        <v>0.48884578079534435</v>
      </c>
      <c r="AY20" s="30">
        <v>-6.7895247332686676E-2</v>
      </c>
      <c r="AZ20" s="30">
        <v>-3.7051406401551905E-2</v>
      </c>
      <c r="BA20" s="30">
        <v>-4.4616876818619937E-3</v>
      </c>
      <c r="BB20" s="30">
        <v>-0.43452958292919497</v>
      </c>
      <c r="BC20" s="64">
        <f t="shared" si="3"/>
        <v>9.4859359844810934E-2</v>
      </c>
      <c r="BE20" s="27">
        <v>4</v>
      </c>
      <c r="BF20" s="30"/>
      <c r="BG20" s="30">
        <v>0.28384279475982532</v>
      </c>
      <c r="BH20" s="30">
        <v>0.16410020684900017</v>
      </c>
      <c r="BI20" s="30">
        <v>0.17949896575499891</v>
      </c>
      <c r="BJ20" s="30">
        <v>0.18156745575729716</v>
      </c>
      <c r="BK20" s="30">
        <v>-0.30108021144564467</v>
      </c>
      <c r="BL20" s="64">
        <f t="shared" si="4"/>
        <v>0.20225235578028039</v>
      </c>
    </row>
    <row r="21" spans="1:68" x14ac:dyDescent="0.2">
      <c r="A21" s="39" t="s">
        <v>66</v>
      </c>
      <c r="B21" s="14" t="s">
        <v>40</v>
      </c>
      <c r="C21" s="2">
        <v>2016</v>
      </c>
      <c r="D21" s="2">
        <v>8</v>
      </c>
      <c r="E21" s="2">
        <v>31</v>
      </c>
      <c r="F21" s="2">
        <v>1.26E-2</v>
      </c>
      <c r="G21" s="2">
        <v>5.8200000000000002E-2</v>
      </c>
      <c r="H21" s="2">
        <v>0.18</v>
      </c>
      <c r="I21" s="2">
        <v>1400</v>
      </c>
      <c r="J21" s="2">
        <v>1400</v>
      </c>
      <c r="K21" s="2">
        <v>990.4</v>
      </c>
      <c r="L21" s="2">
        <v>1017.2</v>
      </c>
      <c r="M21" s="2"/>
      <c r="N21" s="3"/>
      <c r="O21" s="2">
        <v>8.01</v>
      </c>
      <c r="P21" s="2"/>
      <c r="Q21" s="2">
        <v>55318.8</v>
      </c>
      <c r="R21" s="2">
        <v>382499.3</v>
      </c>
      <c r="S21" s="2">
        <v>0.36893999999999999</v>
      </c>
      <c r="T21" s="2">
        <v>5.815E-2</v>
      </c>
      <c r="U21" s="2">
        <v>0.32356000000000001</v>
      </c>
      <c r="V21" s="2">
        <v>0.21496999999999999</v>
      </c>
      <c r="W21" s="2">
        <v>219.7</v>
      </c>
      <c r="X21" s="2">
        <f>2730.4+3879.8</f>
        <v>6610.2000000000007</v>
      </c>
      <c r="Y21" s="2"/>
      <c r="Z21" s="2"/>
      <c r="AA21" s="33">
        <v>193559.54</v>
      </c>
      <c r="AB21" s="33">
        <f t="shared" si="2"/>
        <v>437818.1</v>
      </c>
      <c r="AC21" s="33"/>
      <c r="AD21" s="33"/>
      <c r="AE21" s="33"/>
      <c r="AF21" s="16" t="s">
        <v>32</v>
      </c>
      <c r="AG21" s="28">
        <f>IFERROR(IF(Dados_SA[[#This Row],[DEMANDA_REGISTRADA_P]]/Dados_SA[[#This Row],[DEMANDA_CONTRATADA_P]]=0,"",Dados_SA[[#This Row],[DEMANDA_REGISTRADA_P]]/Dados_SA[[#This Row],[DEMANDA_CONTRATADA_P]]),"")</f>
        <v>0.70742857142857141</v>
      </c>
      <c r="AH21" s="28">
        <f>IFERROR(IF(Dados_SA[[#This Row],[DEMANDA_REGISTRADA_FP]]/Dados_SA[[#This Row],[DEMANDA_CONTRATADA_FP]]=0,"",Dados_SA[[#This Row],[DEMANDA_REGISTRADA_FP]]/Dados_SA[[#This Row],[DEMANDA_CONTRATADA_FP]]),"")</f>
        <v>0.72657142857142865</v>
      </c>
      <c r="AI21" s="3">
        <f>IF(Dados_SA[[#This Row],[% Demanda contratada P]]&gt;105%,1,0)</f>
        <v>0</v>
      </c>
      <c r="AJ21" s="3">
        <f>IF(Dados_SA[[#This Row],[% Demanda contratada FP]]&gt;105%,1,0)</f>
        <v>0</v>
      </c>
      <c r="AK21" s="36">
        <f>Dados_SA[[#This Row],[Acrescimo_Bamar]]/Dados_SA[[#This Row],[Valor da Fatura]]</f>
        <v>0</v>
      </c>
      <c r="AL21" s="36">
        <f>Dados_SA[[#This Row],[Acrescimo_Bverm1]]/Dados_SA[[#This Row],[Valor da Fatura]]</f>
        <v>0</v>
      </c>
      <c r="AM21" s="36">
        <f>Dados_SA[[#This Row],[Acrescimo_Bverm2]]/Dados_SA[[#This Row],[Valor da Fatura]]</f>
        <v>0</v>
      </c>
      <c r="AN21" s="36">
        <v>1.05</v>
      </c>
      <c r="AO21" s="36">
        <v>1</v>
      </c>
      <c r="AP21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21" s="65">
        <f>IF(Dados_SA[[#This Row],[Exced]]&lt;&gt;"",1,0)</f>
        <v>0</v>
      </c>
      <c r="AR21" s="65">
        <f>AVERAGEIFS(Dados_SA[DEMANDA_REGISTRADA_P],Dados_SA[ANO],2015,Dados_SA[UC],"SA")</f>
        <v>1203.3000000000002</v>
      </c>
      <c r="AS21" s="65">
        <f>AVERAGEIFS(Dados_SA[DEMANDA_REGISTRADA_FP],Dados_SA[ANO],2015,Dados_SA[UC],"SA")</f>
        <v>1321.875</v>
      </c>
      <c r="AT21" s="65">
        <v>501634.58</v>
      </c>
      <c r="AV21" s="27">
        <v>5</v>
      </c>
      <c r="AW21" s="30"/>
      <c r="AX21" s="30">
        <v>0.23963443963443951</v>
      </c>
      <c r="AY21" s="30">
        <v>-0.13054353054353068</v>
      </c>
      <c r="AZ21" s="30">
        <v>-0.20153920153920166</v>
      </c>
      <c r="BA21" s="30">
        <v>-0.10957190957190967</v>
      </c>
      <c r="BB21" s="30" t="s">
        <v>174</v>
      </c>
      <c r="BC21" s="64">
        <f t="shared" si="3"/>
        <v>-5.0505050505050622E-2</v>
      </c>
      <c r="BE21" s="27">
        <v>5</v>
      </c>
      <c r="BF21" s="30"/>
      <c r="BG21" s="30">
        <v>0.47246308882118576</v>
      </c>
      <c r="BH21" s="30">
        <v>-6.3041949847668102E-2</v>
      </c>
      <c r="BI21" s="30">
        <v>-8.2727911881884261E-2</v>
      </c>
      <c r="BJ21" s="30">
        <v>2.1795172252167826E-2</v>
      </c>
      <c r="BK21" s="30" t="s">
        <v>174</v>
      </c>
      <c r="BL21" s="64">
        <f t="shared" si="4"/>
        <v>8.7122099835950303E-2</v>
      </c>
    </row>
    <row r="22" spans="1:68" x14ac:dyDescent="0.2">
      <c r="A22" s="39" t="s">
        <v>66</v>
      </c>
      <c r="B22" s="14" t="s">
        <v>41</v>
      </c>
      <c r="C22" s="2">
        <v>2016</v>
      </c>
      <c r="D22" s="2">
        <v>9</v>
      </c>
      <c r="E22" s="2">
        <v>30</v>
      </c>
      <c r="F22" s="2">
        <v>1.0200000000000001E-2</v>
      </c>
      <c r="G22" s="2">
        <v>4.7300000000000002E-2</v>
      </c>
      <c r="H22" s="2">
        <v>0.18</v>
      </c>
      <c r="I22" s="2">
        <v>1400</v>
      </c>
      <c r="J22" s="2">
        <v>1400</v>
      </c>
      <c r="K22" s="69">
        <f>K21</f>
        <v>990.4</v>
      </c>
      <c r="L22" s="69">
        <f>L21</f>
        <v>1017.2</v>
      </c>
      <c r="M22" s="2"/>
      <c r="N22" s="3"/>
      <c r="O22" s="2">
        <v>8.01</v>
      </c>
      <c r="P22" s="2"/>
      <c r="Q22" s="2">
        <v>57473.9</v>
      </c>
      <c r="R22" s="2">
        <v>431268</v>
      </c>
      <c r="S22" s="2">
        <v>0.36893999999999999</v>
      </c>
      <c r="T22" s="2">
        <v>5.815E-2</v>
      </c>
      <c r="U22" s="2">
        <v>0.32356000000000001</v>
      </c>
      <c r="V22" s="2">
        <v>0.21496999999999999</v>
      </c>
      <c r="W22" s="2"/>
      <c r="X22" s="2"/>
      <c r="Y22" s="2"/>
      <c r="Z22" s="2"/>
      <c r="AA22" s="33">
        <v>208474.23</v>
      </c>
      <c r="AB22" s="33">
        <f t="shared" si="2"/>
        <v>488741.9</v>
      </c>
      <c r="AC22" s="33"/>
      <c r="AD22" s="33"/>
      <c r="AE22" s="34"/>
      <c r="AF22" s="16" t="s">
        <v>32</v>
      </c>
      <c r="AG22" s="28">
        <f>IFERROR(IF(Dados_SA[[#This Row],[DEMANDA_REGISTRADA_P]]/Dados_SA[[#This Row],[DEMANDA_CONTRATADA_P]]=0,"",Dados_SA[[#This Row],[DEMANDA_REGISTRADA_P]]/Dados_SA[[#This Row],[DEMANDA_CONTRATADA_P]]),"")</f>
        <v>0.70742857142857141</v>
      </c>
      <c r="AH22" s="28">
        <f>IFERROR(IF(Dados_SA[[#This Row],[DEMANDA_REGISTRADA_FP]]/Dados_SA[[#This Row],[DEMANDA_CONTRATADA_FP]]=0,"",Dados_SA[[#This Row],[DEMANDA_REGISTRADA_FP]]/Dados_SA[[#This Row],[DEMANDA_CONTRATADA_FP]]),"")</f>
        <v>0.72657142857142865</v>
      </c>
      <c r="AI22" s="3">
        <f>IF(Dados_SA[[#This Row],[% Demanda contratada P]]&gt;105%,1,0)</f>
        <v>0</v>
      </c>
      <c r="AJ22" s="3">
        <f>IF(Dados_SA[[#This Row],[% Demanda contratada FP]]&gt;105%,1,0)</f>
        <v>0</v>
      </c>
      <c r="AK22" s="36">
        <f>Dados_SA[[#This Row],[Acrescimo_Bamar]]/Dados_SA[[#This Row],[Valor da Fatura]]</f>
        <v>0</v>
      </c>
      <c r="AL22" s="36">
        <f>Dados_SA[[#This Row],[Acrescimo_Bverm1]]/Dados_SA[[#This Row],[Valor da Fatura]]</f>
        <v>0</v>
      </c>
      <c r="AM22" s="36">
        <f>Dados_SA[[#This Row],[Acrescimo_Bverm2]]/Dados_SA[[#This Row],[Valor da Fatura]]</f>
        <v>0</v>
      </c>
      <c r="AN22" s="36">
        <v>1.05</v>
      </c>
      <c r="AO22" s="36">
        <v>1</v>
      </c>
      <c r="AP22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22" s="65">
        <f>IF(Dados_SA[[#This Row],[Exced]]&lt;&gt;"",1,0)</f>
        <v>0</v>
      </c>
      <c r="AR22" s="65">
        <f>AVERAGEIFS(Dados_SA[DEMANDA_REGISTRADA_P],Dados_SA[ANO],2015,Dados_SA[UC],"SA")</f>
        <v>1203.3000000000002</v>
      </c>
      <c r="AS22" s="65">
        <f>AVERAGEIFS(Dados_SA[DEMANDA_REGISTRADA_FP],Dados_SA[ANO],2015,Dados_SA[UC],"SA")</f>
        <v>1321.875</v>
      </c>
      <c r="AT22" s="65">
        <v>501634.58</v>
      </c>
      <c r="AV22" s="27">
        <v>6</v>
      </c>
      <c r="AW22" s="30"/>
      <c r="AX22" s="30">
        <v>-0.11504950495049512</v>
      </c>
      <c r="AY22" s="30">
        <v>-0.17999999999999997</v>
      </c>
      <c r="AZ22" s="30">
        <v>-0.16158415841584159</v>
      </c>
      <c r="BA22" s="30">
        <v>-0.27980198019801988</v>
      </c>
      <c r="BB22" s="30" t="s">
        <v>174</v>
      </c>
      <c r="BC22" s="64">
        <f t="shared" si="3"/>
        <v>-0.18410891089108916</v>
      </c>
      <c r="BE22" s="27">
        <v>6</v>
      </c>
      <c r="BF22" s="30"/>
      <c r="BG22" s="30">
        <v>1.9668737060041467E-2</v>
      </c>
      <c r="BH22" s="30">
        <v>6.3146997929606721E-2</v>
      </c>
      <c r="BI22" s="30">
        <v>-9.3426501035196605E-2</v>
      </c>
      <c r="BJ22" s="30">
        <v>-0.17598343685300208</v>
      </c>
      <c r="BK22" s="30" t="s">
        <v>174</v>
      </c>
      <c r="BL22" s="64">
        <f t="shared" si="4"/>
        <v>-4.6648550724637625E-2</v>
      </c>
    </row>
    <row r="23" spans="1:68" x14ac:dyDescent="0.2">
      <c r="A23" s="39" t="s">
        <v>66</v>
      </c>
      <c r="B23" s="14" t="s">
        <v>42</v>
      </c>
      <c r="C23" s="2">
        <v>2016</v>
      </c>
      <c r="D23" s="2">
        <v>10</v>
      </c>
      <c r="E23" s="2">
        <v>31</v>
      </c>
      <c r="F23" s="4">
        <v>0.01</v>
      </c>
      <c r="G23" s="2">
        <v>4.6199999999999998E-2</v>
      </c>
      <c r="H23" s="2">
        <v>0.18</v>
      </c>
      <c r="I23" s="2">
        <v>1400</v>
      </c>
      <c r="J23" s="2">
        <v>1400</v>
      </c>
      <c r="K23" s="69">
        <f>AVERAGE(K11:K22)</f>
        <v>1186.2916666666663</v>
      </c>
      <c r="L23" s="69">
        <f>AVERAGE(L11:L22)</f>
        <v>1329.075</v>
      </c>
      <c r="M23" s="2"/>
      <c r="N23" s="3"/>
      <c r="O23" s="2">
        <v>8.01</v>
      </c>
      <c r="P23" s="2"/>
      <c r="Q23" s="2">
        <v>47491.5</v>
      </c>
      <c r="R23" s="2">
        <v>294300.3</v>
      </c>
      <c r="S23" s="2">
        <v>0.36893999999999999</v>
      </c>
      <c r="T23" s="2">
        <v>5.815E-2</v>
      </c>
      <c r="U23" s="2">
        <v>0.32356000000000001</v>
      </c>
      <c r="V23" s="2">
        <v>0.21496999999999999</v>
      </c>
      <c r="W23" s="2">
        <v>605.6</v>
      </c>
      <c r="X23" s="2">
        <f>5392.6+7824.4</f>
        <v>13217</v>
      </c>
      <c r="Y23" s="2"/>
      <c r="Z23" s="2"/>
      <c r="AA23" s="33">
        <v>153498.57</v>
      </c>
      <c r="AB23" s="33">
        <f t="shared" si="2"/>
        <v>341791.8</v>
      </c>
      <c r="AC23" s="33"/>
      <c r="AD23" s="33"/>
      <c r="AE23" s="33"/>
      <c r="AF23" s="16" t="s">
        <v>32</v>
      </c>
      <c r="AG23" s="28">
        <f>IFERROR(IF(Dados_SA[[#This Row],[DEMANDA_REGISTRADA_P]]/Dados_SA[[#This Row],[DEMANDA_CONTRATADA_P]]=0,"",Dados_SA[[#This Row],[DEMANDA_REGISTRADA_P]]/Dados_SA[[#This Row],[DEMANDA_CONTRATADA_P]]),"")</f>
        <v>0.84735119047619023</v>
      </c>
      <c r="AH23" s="28">
        <f>IFERROR(IF(Dados_SA[[#This Row],[DEMANDA_REGISTRADA_FP]]/Dados_SA[[#This Row],[DEMANDA_CONTRATADA_FP]]=0,"",Dados_SA[[#This Row],[DEMANDA_REGISTRADA_FP]]/Dados_SA[[#This Row],[DEMANDA_CONTRATADA_FP]]),"")</f>
        <v>0.94933928571428572</v>
      </c>
      <c r="AI23" s="3">
        <f>IF(Dados_SA[[#This Row],[% Demanda contratada P]]&gt;105%,1,0)</f>
        <v>0</v>
      </c>
      <c r="AJ23" s="3">
        <f>IF(Dados_SA[[#This Row],[% Demanda contratada FP]]&gt;105%,1,0)</f>
        <v>0</v>
      </c>
      <c r="AK23" s="36">
        <f>Dados_SA[[#This Row],[Acrescimo_Bamar]]/Dados_SA[[#This Row],[Valor da Fatura]]</f>
        <v>0</v>
      </c>
      <c r="AL23" s="36">
        <f>Dados_SA[[#This Row],[Acrescimo_Bverm1]]/Dados_SA[[#This Row],[Valor da Fatura]]</f>
        <v>0</v>
      </c>
      <c r="AM23" s="36">
        <f>Dados_SA[[#This Row],[Acrescimo_Bverm2]]/Dados_SA[[#This Row],[Valor da Fatura]]</f>
        <v>0</v>
      </c>
      <c r="AN23" s="36">
        <v>1.05</v>
      </c>
      <c r="AO23" s="36">
        <v>1</v>
      </c>
      <c r="AP23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23" s="65">
        <f>IF(Dados_SA[[#This Row],[Exced]]&lt;&gt;"",1,0)</f>
        <v>0</v>
      </c>
      <c r="AR23" s="65">
        <f>AVERAGEIFS(Dados_SA[DEMANDA_REGISTRADA_P],Dados_SA[ANO],2015,Dados_SA[UC],"SA")</f>
        <v>1203.3000000000002</v>
      </c>
      <c r="AS23" s="65">
        <f>AVERAGEIFS(Dados_SA[DEMANDA_REGISTRADA_FP],Dados_SA[ANO],2015,Dados_SA[UC],"SA")</f>
        <v>1321.875</v>
      </c>
      <c r="AT23" s="65">
        <v>501634.58</v>
      </c>
      <c r="AV23" s="27">
        <v>7</v>
      </c>
      <c r="AW23" s="30"/>
      <c r="AX23" s="30">
        <v>-5.4112554112554162E-3</v>
      </c>
      <c r="AY23" s="30">
        <v>-0.19090909090909089</v>
      </c>
      <c r="AZ23" s="30">
        <v>-0.34199134199134201</v>
      </c>
      <c r="BA23" s="30">
        <v>-3.2683982683982808E-2</v>
      </c>
      <c r="BB23" s="30" t="s">
        <v>174</v>
      </c>
      <c r="BC23" s="64">
        <f t="shared" si="3"/>
        <v>-0.14274891774891776</v>
      </c>
      <c r="BE23" s="27">
        <v>7</v>
      </c>
      <c r="BF23" s="30"/>
      <c r="BG23" s="30">
        <v>0.23623011015911868</v>
      </c>
      <c r="BH23" s="30">
        <v>1.7747858017135899E-2</v>
      </c>
      <c r="BI23" s="30">
        <v>0.13861689106487152</v>
      </c>
      <c r="BJ23" s="30">
        <v>0.29283965728274169</v>
      </c>
      <c r="BK23" s="30" t="s">
        <v>174</v>
      </c>
      <c r="BL23" s="64">
        <f t="shared" si="4"/>
        <v>0.17135862913096694</v>
      </c>
    </row>
    <row r="24" spans="1:68" x14ac:dyDescent="0.2">
      <c r="A24" s="39" t="s">
        <v>66</v>
      </c>
      <c r="B24" s="14" t="s">
        <v>43</v>
      </c>
      <c r="C24" s="2">
        <v>2016</v>
      </c>
      <c r="D24" s="2">
        <v>11</v>
      </c>
      <c r="E24" s="2">
        <v>30</v>
      </c>
      <c r="F24" s="4">
        <v>8.9999999999999993E-3</v>
      </c>
      <c r="G24" s="2">
        <v>4.1500000000000002E-2</v>
      </c>
      <c r="H24" s="2">
        <v>0.18</v>
      </c>
      <c r="I24" s="2">
        <v>1400</v>
      </c>
      <c r="J24" s="2">
        <v>1400</v>
      </c>
      <c r="K24" s="2">
        <v>1373.4</v>
      </c>
      <c r="L24" s="2">
        <v>1625.4</v>
      </c>
      <c r="M24" s="2"/>
      <c r="N24" s="3"/>
      <c r="O24" s="2">
        <v>8.01</v>
      </c>
      <c r="P24" s="2"/>
      <c r="Q24" s="2">
        <v>56436</v>
      </c>
      <c r="R24" s="2">
        <v>421238.8</v>
      </c>
      <c r="S24" s="2">
        <v>0.36893999999999999</v>
      </c>
      <c r="T24" s="2">
        <v>5.815E-2</v>
      </c>
      <c r="U24" s="2">
        <v>0.32356000000000001</v>
      </c>
      <c r="V24" s="2">
        <v>0.21496999999999999</v>
      </c>
      <c r="W24" s="2">
        <v>2134.9</v>
      </c>
      <c r="X24" s="2">
        <f>16818.1+0</f>
        <v>16818.099999999999</v>
      </c>
      <c r="Y24" s="2"/>
      <c r="Z24" s="2"/>
      <c r="AA24" s="33">
        <v>210531.9</v>
      </c>
      <c r="AB24" s="33">
        <f t="shared" si="2"/>
        <v>477674.8</v>
      </c>
      <c r="AC24" s="33">
        <f>115.1+149.39</f>
        <v>264.49</v>
      </c>
      <c r="AD24" s="33"/>
      <c r="AE24" s="33"/>
      <c r="AF24" s="16" t="s">
        <v>32</v>
      </c>
      <c r="AG24" s="28">
        <f>IFERROR(IF(Dados_SA[[#This Row],[DEMANDA_REGISTRADA_P]]/Dados_SA[[#This Row],[DEMANDA_CONTRATADA_P]]=0,"",Dados_SA[[#This Row],[DEMANDA_REGISTRADA_P]]/Dados_SA[[#This Row],[DEMANDA_CONTRATADA_P]]),"")</f>
        <v>0.98100000000000009</v>
      </c>
      <c r="AH24" s="28">
        <f>IFERROR(IF(Dados_SA[[#This Row],[DEMANDA_REGISTRADA_FP]]/Dados_SA[[#This Row],[DEMANDA_CONTRATADA_FP]]=0,"",Dados_SA[[#This Row],[DEMANDA_REGISTRADA_FP]]/Dados_SA[[#This Row],[DEMANDA_CONTRATADA_FP]]),"")</f>
        <v>1.161</v>
      </c>
      <c r="AI24" s="3">
        <f>IF(Dados_SA[[#This Row],[% Demanda contratada P]]&gt;105%,1,0)</f>
        <v>0</v>
      </c>
      <c r="AJ24" s="3">
        <f>IF(Dados_SA[[#This Row],[% Demanda contratada FP]]&gt;105%,1,0)</f>
        <v>1</v>
      </c>
      <c r="AK24" s="36">
        <f>Dados_SA[[#This Row],[Acrescimo_Bamar]]/Dados_SA[[#This Row],[Valor da Fatura]]</f>
        <v>1.2562941767969606E-3</v>
      </c>
      <c r="AL24" s="36">
        <f>Dados_SA[[#This Row],[Acrescimo_Bverm1]]/Dados_SA[[#This Row],[Valor da Fatura]]</f>
        <v>0</v>
      </c>
      <c r="AM24" s="36">
        <f>Dados_SA[[#This Row],[Acrescimo_Bverm2]]/Dados_SA[[#This Row],[Valor da Fatura]]</f>
        <v>0</v>
      </c>
      <c r="AN24" s="36">
        <v>1.05</v>
      </c>
      <c r="AO24" s="36">
        <v>1</v>
      </c>
      <c r="AP24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24" s="65">
        <f>IF(Dados_SA[[#This Row],[Exced]]&lt;&gt;"",1,0)</f>
        <v>1</v>
      </c>
      <c r="AR24" s="65">
        <f>AVERAGEIFS(Dados_SA[DEMANDA_REGISTRADA_P],Dados_SA[ANO],2015,Dados_SA[UC],"SA")</f>
        <v>1203.3000000000002</v>
      </c>
      <c r="AS24" s="65">
        <f>AVERAGEIFS(Dados_SA[DEMANDA_REGISTRADA_FP],Dados_SA[ANO],2015,Dados_SA[UC],"SA")</f>
        <v>1321.875</v>
      </c>
      <c r="AT24" s="65">
        <v>501634.58</v>
      </c>
      <c r="AV24" s="27">
        <v>8</v>
      </c>
      <c r="AW24" s="30"/>
      <c r="AX24" s="30">
        <v>0.10159090909090901</v>
      </c>
      <c r="AY24" s="30">
        <v>-0.14272727272727279</v>
      </c>
      <c r="AZ24" s="30">
        <v>-0.12000000000000004</v>
      </c>
      <c r="BA24" s="30">
        <v>-0.10090909090909089</v>
      </c>
      <c r="BB24" s="30" t="s">
        <v>174</v>
      </c>
      <c r="BC24" s="64">
        <f t="shared" si="3"/>
        <v>-6.5511363636363673E-2</v>
      </c>
      <c r="BE24" s="27">
        <v>8</v>
      </c>
      <c r="BF24" s="30"/>
      <c r="BG24" s="30">
        <v>0.27262443438914019</v>
      </c>
      <c r="BH24" s="30">
        <v>-2.6018099547511438E-2</v>
      </c>
      <c r="BI24" s="30">
        <v>-4.524886877828118E-3</v>
      </c>
      <c r="BJ24" s="30">
        <v>-3.0825791855203715E-2</v>
      </c>
      <c r="BK24" s="30" t="s">
        <v>174</v>
      </c>
      <c r="BL24" s="64">
        <f t="shared" si="4"/>
        <v>5.2813914027149231E-2</v>
      </c>
    </row>
    <row r="25" spans="1:68" x14ac:dyDescent="0.2">
      <c r="A25" s="39" t="s">
        <v>66</v>
      </c>
      <c r="B25" s="14" t="s">
        <v>44</v>
      </c>
      <c r="C25" s="2">
        <v>2016</v>
      </c>
      <c r="D25" s="2">
        <v>12</v>
      </c>
      <c r="E25" s="2">
        <v>31</v>
      </c>
      <c r="F25" s="4">
        <v>9.2999999999999999E-2</v>
      </c>
      <c r="G25" s="2">
        <v>4.2700000000000002E-2</v>
      </c>
      <c r="H25" s="2">
        <v>0.18</v>
      </c>
      <c r="I25" s="2">
        <v>1400</v>
      </c>
      <c r="J25" s="2">
        <v>1400</v>
      </c>
      <c r="K25" s="2">
        <v>1167.5999999999999</v>
      </c>
      <c r="L25" s="2">
        <v>1284.4000000000001</v>
      </c>
      <c r="M25" s="2"/>
      <c r="N25" s="3"/>
      <c r="O25" s="2">
        <v>8.01</v>
      </c>
      <c r="P25" s="2"/>
      <c r="Q25" s="2">
        <v>46766.8</v>
      </c>
      <c r="R25" s="2">
        <v>402552.4</v>
      </c>
      <c r="S25" s="2">
        <v>0.36893999999999999</v>
      </c>
      <c r="T25" s="2">
        <v>5.815E-2</v>
      </c>
      <c r="U25" s="2">
        <v>0.32356000000000001</v>
      </c>
      <c r="V25" s="2">
        <v>0.21496999999999999</v>
      </c>
      <c r="W25" s="2">
        <v>6686.4</v>
      </c>
      <c r="X25" s="2">
        <f>47804.8+1666.6</f>
        <v>49471.4</v>
      </c>
      <c r="Y25" s="2"/>
      <c r="Z25" s="2"/>
      <c r="AA25" s="33">
        <v>188148</v>
      </c>
      <c r="AB25" s="33">
        <f t="shared" si="2"/>
        <v>449319.2</v>
      </c>
      <c r="AC25" s="33"/>
      <c r="AD25" s="33"/>
      <c r="AE25" s="33"/>
      <c r="AF25" s="16" t="s">
        <v>32</v>
      </c>
      <c r="AG25" s="28">
        <f>IFERROR(IF(Dados_SA[[#This Row],[DEMANDA_REGISTRADA_P]]/Dados_SA[[#This Row],[DEMANDA_CONTRATADA_P]]=0,"",Dados_SA[[#This Row],[DEMANDA_REGISTRADA_P]]/Dados_SA[[#This Row],[DEMANDA_CONTRATADA_P]]),"")</f>
        <v>0.83399999999999996</v>
      </c>
      <c r="AH25" s="28">
        <f>IFERROR(IF(Dados_SA[[#This Row],[DEMANDA_REGISTRADA_FP]]/Dados_SA[[#This Row],[DEMANDA_CONTRATADA_FP]]=0,"",Dados_SA[[#This Row],[DEMANDA_REGISTRADA_FP]]/Dados_SA[[#This Row],[DEMANDA_CONTRATADA_FP]]),"")</f>
        <v>0.91742857142857148</v>
      </c>
      <c r="AI25" s="3">
        <f>IF(Dados_SA[[#This Row],[% Demanda contratada P]]&gt;105%,1,0)</f>
        <v>0</v>
      </c>
      <c r="AJ25" s="3">
        <f>IF(Dados_SA[[#This Row],[% Demanda contratada FP]]&gt;105%,1,0)</f>
        <v>0</v>
      </c>
      <c r="AK25" s="36">
        <f>Dados_SA[[#This Row],[Acrescimo_Bamar]]/Dados_SA[[#This Row],[Valor da Fatura]]</f>
        <v>0</v>
      </c>
      <c r="AL25" s="36">
        <f>Dados_SA[[#This Row],[Acrescimo_Bverm1]]/Dados_SA[[#This Row],[Valor da Fatura]]</f>
        <v>0</v>
      </c>
      <c r="AM25" s="36">
        <f>Dados_SA[[#This Row],[Acrescimo_Bverm2]]/Dados_SA[[#This Row],[Valor da Fatura]]</f>
        <v>0</v>
      </c>
      <c r="AN25" s="36">
        <v>1.05</v>
      </c>
      <c r="AO25" s="36">
        <v>1</v>
      </c>
      <c r="AP25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25" s="65">
        <f>IF(Dados_SA[[#This Row],[Exced]]&lt;&gt;"",1,0)</f>
        <v>0</v>
      </c>
      <c r="AR25" s="65">
        <f>AVERAGEIFS(Dados_SA[DEMANDA_REGISTRADA_P],Dados_SA[ANO],2015,Dados_SA[UC],"SA")</f>
        <v>1203.3000000000002</v>
      </c>
      <c r="AS25" s="65">
        <f>AVERAGEIFS(Dados_SA[DEMANDA_REGISTRADA_FP],Dados_SA[ANO],2015,Dados_SA[UC],"SA")</f>
        <v>1321.875</v>
      </c>
      <c r="AT25" s="65">
        <v>501634.58</v>
      </c>
      <c r="AV25" s="27">
        <v>9</v>
      </c>
      <c r="AW25" s="30"/>
      <c r="AX25" s="30">
        <v>5.00153798831127E-2</v>
      </c>
      <c r="AY25" s="30">
        <v>-0.13380498308212871</v>
      </c>
      <c r="AZ25" s="30">
        <v>-0.12150107659181804</v>
      </c>
      <c r="BA25" s="30">
        <v>-0.10919717010150735</v>
      </c>
      <c r="BB25" s="30" t="s">
        <v>174</v>
      </c>
      <c r="BC25" s="64">
        <f t="shared" si="3"/>
        <v>-7.8621962473085352E-2</v>
      </c>
      <c r="BE25" s="27">
        <v>9</v>
      </c>
      <c r="BF25" s="30"/>
      <c r="BG25" s="30">
        <v>0.25898587933247746</v>
      </c>
      <c r="BH25" s="30">
        <v>8.3761232349165479E-2</v>
      </c>
      <c r="BI25" s="30">
        <v>0.12419768934531446</v>
      </c>
      <c r="BJ25" s="30">
        <v>0.1537227214377406</v>
      </c>
      <c r="BK25" s="30" t="s">
        <v>174</v>
      </c>
      <c r="BL25" s="64">
        <f t="shared" si="4"/>
        <v>0.15516688061617451</v>
      </c>
    </row>
    <row r="26" spans="1:68" x14ac:dyDescent="0.2">
      <c r="A26" s="39" t="s">
        <v>66</v>
      </c>
      <c r="B26" s="14" t="s">
        <v>45</v>
      </c>
      <c r="C26" s="2">
        <v>2017</v>
      </c>
      <c r="D26" s="2">
        <v>1</v>
      </c>
      <c r="E26" s="2">
        <v>31</v>
      </c>
      <c r="F26" s="4">
        <v>9.2999999999999992E-3</v>
      </c>
      <c r="G26" s="2">
        <v>4.2700000000000002E-2</v>
      </c>
      <c r="H26" s="2">
        <v>0.18</v>
      </c>
      <c r="I26" s="2">
        <v>1400</v>
      </c>
      <c r="J26" s="2">
        <v>1400</v>
      </c>
      <c r="K26" s="2">
        <v>1167.5999999999999</v>
      </c>
      <c r="L26" s="2">
        <v>1284.4000000000001</v>
      </c>
      <c r="M26" s="2"/>
      <c r="N26" s="3"/>
      <c r="O26" s="2">
        <v>8.01</v>
      </c>
      <c r="P26" s="2"/>
      <c r="Q26" s="2">
        <v>46766.8</v>
      </c>
      <c r="R26" s="2">
        <v>402552.4</v>
      </c>
      <c r="S26" s="2">
        <v>0.36893999999999999</v>
      </c>
      <c r="T26" s="2">
        <v>0.32356000000000001</v>
      </c>
      <c r="U26" s="2">
        <v>0.32356000000000001</v>
      </c>
      <c r="V26" s="2">
        <v>0.21496999999999999</v>
      </c>
      <c r="W26" s="2">
        <v>6686.4</v>
      </c>
      <c r="X26" s="2">
        <v>47804.800000000003</v>
      </c>
      <c r="Y26" s="2"/>
      <c r="Z26" s="2"/>
      <c r="AA26" s="33">
        <v>188148</v>
      </c>
      <c r="AB26" s="33">
        <v>449319.15</v>
      </c>
      <c r="AC26" s="33"/>
      <c r="AD26" s="33"/>
      <c r="AE26" s="33"/>
      <c r="AF26" s="16" t="s">
        <v>32</v>
      </c>
      <c r="AG26" s="28">
        <f>IFERROR(IF(Dados_SA[[#This Row],[DEMANDA_REGISTRADA_P]]/Dados_SA[[#This Row],[DEMANDA_CONTRATADA_P]]=0,"",Dados_SA[[#This Row],[DEMANDA_REGISTRADA_P]]/Dados_SA[[#This Row],[DEMANDA_CONTRATADA_P]]),"")</f>
        <v>0.83399999999999996</v>
      </c>
      <c r="AH26" s="28">
        <f>IFERROR(IF(Dados_SA[[#This Row],[DEMANDA_REGISTRADA_FP]]/Dados_SA[[#This Row],[DEMANDA_CONTRATADA_FP]]=0,"",Dados_SA[[#This Row],[DEMANDA_REGISTRADA_FP]]/Dados_SA[[#This Row],[DEMANDA_CONTRATADA_FP]]),"")</f>
        <v>0.91742857142857148</v>
      </c>
      <c r="AI26" s="3">
        <f>IF(Dados_SA[[#This Row],[% Demanda contratada P]]&gt;105%,1,0)</f>
        <v>0</v>
      </c>
      <c r="AJ26" s="3">
        <f>IF(Dados_SA[[#This Row],[% Demanda contratada FP]]&gt;105%,1,0)</f>
        <v>0</v>
      </c>
      <c r="AK26" s="36">
        <f>Dados_SA[[#This Row],[Acrescimo_Bamar]]/Dados_SA[[#This Row],[Valor da Fatura]]</f>
        <v>0</v>
      </c>
      <c r="AL26" s="36">
        <f>Dados_SA[[#This Row],[Acrescimo_Bverm1]]/Dados_SA[[#This Row],[Valor da Fatura]]</f>
        <v>0</v>
      </c>
      <c r="AM26" s="36">
        <f>Dados_SA[[#This Row],[Acrescimo_Bverm2]]/Dados_SA[[#This Row],[Valor da Fatura]]</f>
        <v>0</v>
      </c>
      <c r="AN26" s="36">
        <v>1.05</v>
      </c>
      <c r="AO26" s="36">
        <v>1</v>
      </c>
      <c r="AP26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26" s="65">
        <f>IF(Dados_SA[[#This Row],[Exced]]&lt;&gt;"",1,0)</f>
        <v>0</v>
      </c>
      <c r="AR26" s="65">
        <f>AVERAGEIFS(Dados_SA[DEMANDA_REGISTRADA_P],Dados_SA[ANO],2015,Dados_SA[UC],"SA")</f>
        <v>1203.3000000000002</v>
      </c>
      <c r="AS26" s="65">
        <f>AVERAGEIFS(Dados_SA[DEMANDA_REGISTRADA_FP],Dados_SA[ANO],2015,Dados_SA[UC],"SA")</f>
        <v>1321.875</v>
      </c>
      <c r="AT26" s="65">
        <v>501634.58</v>
      </c>
      <c r="AV26" s="27">
        <v>10</v>
      </c>
      <c r="AW26" s="30"/>
      <c r="AX26" s="30">
        <v>-0.31909924937447876</v>
      </c>
      <c r="AY26" s="30">
        <v>-0.2672226855713094</v>
      </c>
      <c r="AZ26" s="30">
        <v>-0.3175979983319433</v>
      </c>
      <c r="BA26" s="30">
        <v>-0.32743953294412015</v>
      </c>
      <c r="BB26" s="30" t="s">
        <v>174</v>
      </c>
      <c r="BC26" s="64">
        <f t="shared" si="3"/>
        <v>-0.30783986655546292</v>
      </c>
      <c r="BE26" s="27">
        <v>10</v>
      </c>
      <c r="BF26" s="30"/>
      <c r="BG26" s="30">
        <v>-0.19653299916457814</v>
      </c>
      <c r="BH26" s="30">
        <v>-4.7410192147034229E-2</v>
      </c>
      <c r="BI26" s="30">
        <v>-0.1455722639933166</v>
      </c>
      <c r="BJ26" s="30">
        <v>-0.23684210526315796</v>
      </c>
      <c r="BK26" s="30" t="s">
        <v>174</v>
      </c>
      <c r="BL26" s="64">
        <f t="shared" si="4"/>
        <v>-0.15658939014202172</v>
      </c>
    </row>
    <row r="27" spans="1:68" x14ac:dyDescent="0.2">
      <c r="A27" s="39" t="s">
        <v>66</v>
      </c>
      <c r="B27" s="14" t="s">
        <v>46</v>
      </c>
      <c r="C27" s="2">
        <v>2017</v>
      </c>
      <c r="D27" s="2">
        <v>2</v>
      </c>
      <c r="E27" s="2">
        <v>30</v>
      </c>
      <c r="F27" s="4">
        <v>1.1299999999999999E-2</v>
      </c>
      <c r="G27" s="2">
        <v>5.2299999999999999E-2</v>
      </c>
      <c r="H27" s="2">
        <v>0.18</v>
      </c>
      <c r="I27" s="2">
        <v>1400</v>
      </c>
      <c r="J27" s="2">
        <v>1400</v>
      </c>
      <c r="K27" s="2">
        <v>944.2</v>
      </c>
      <c r="L27" s="2">
        <v>1159.2</v>
      </c>
      <c r="M27" s="2"/>
      <c r="N27" s="3"/>
      <c r="O27" s="2">
        <v>8.01</v>
      </c>
      <c r="P27" s="2"/>
      <c r="Q27" s="2">
        <v>56065.8</v>
      </c>
      <c r="R27" s="2">
        <v>417388.79999999999</v>
      </c>
      <c r="S27" s="2">
        <v>0.36893999999999999</v>
      </c>
      <c r="T27" s="2">
        <v>0.32356000000000001</v>
      </c>
      <c r="U27" s="2">
        <v>0.32356000000000001</v>
      </c>
      <c r="V27" s="2">
        <v>0.21496999999999999</v>
      </c>
      <c r="W27" s="2">
        <v>0</v>
      </c>
      <c r="X27" s="2">
        <v>0</v>
      </c>
      <c r="Y27" s="2"/>
      <c r="Z27" s="2"/>
      <c r="AA27" s="33">
        <v>204232.34</v>
      </c>
      <c r="AB27" s="33">
        <v>473453.82</v>
      </c>
      <c r="AC27" s="33"/>
      <c r="AD27" s="33"/>
      <c r="AE27" s="33"/>
      <c r="AF27" s="16" t="s">
        <v>32</v>
      </c>
      <c r="AG27" s="28">
        <f>IFERROR(IF(Dados_SA[[#This Row],[DEMANDA_REGISTRADA_P]]/Dados_SA[[#This Row],[DEMANDA_CONTRATADA_P]]=0,"",Dados_SA[[#This Row],[DEMANDA_REGISTRADA_P]]/Dados_SA[[#This Row],[DEMANDA_CONTRATADA_P]]),"")</f>
        <v>0.67442857142857149</v>
      </c>
      <c r="AH27" s="28">
        <f>IFERROR(IF(Dados_SA[[#This Row],[DEMANDA_REGISTRADA_FP]]/Dados_SA[[#This Row],[DEMANDA_CONTRATADA_FP]]=0,"",Dados_SA[[#This Row],[DEMANDA_REGISTRADA_FP]]/Dados_SA[[#This Row],[DEMANDA_CONTRATADA_FP]]),"")</f>
        <v>0.82800000000000007</v>
      </c>
      <c r="AI27" s="3">
        <f>IF(Dados_SA[[#This Row],[% Demanda contratada P]]&gt;105%,1,0)</f>
        <v>0</v>
      </c>
      <c r="AJ27" s="3">
        <f>IF(Dados_SA[[#This Row],[% Demanda contratada FP]]&gt;105%,1,0)</f>
        <v>0</v>
      </c>
      <c r="AK27" s="36">
        <f>Dados_SA[[#This Row],[Acrescimo_Bamar]]/Dados_SA[[#This Row],[Valor da Fatura]]</f>
        <v>0</v>
      </c>
      <c r="AL27" s="36">
        <f>Dados_SA[[#This Row],[Acrescimo_Bverm1]]/Dados_SA[[#This Row],[Valor da Fatura]]</f>
        <v>0</v>
      </c>
      <c r="AM27" s="36">
        <f>Dados_SA[[#This Row],[Acrescimo_Bverm2]]/Dados_SA[[#This Row],[Valor da Fatura]]</f>
        <v>0</v>
      </c>
      <c r="AN27" s="36">
        <v>1.05</v>
      </c>
      <c r="AO27" s="36">
        <v>1</v>
      </c>
      <c r="AP27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27" s="65">
        <f>IF(Dados_SA[[#This Row],[Exced]]&lt;&gt;"",1,0)</f>
        <v>0</v>
      </c>
      <c r="AR27" s="65">
        <f>AVERAGEIFS(Dados_SA[DEMANDA_REGISTRADA_P],Dados_SA[ANO],2015,Dados_SA[UC],"SA")</f>
        <v>1203.3000000000002</v>
      </c>
      <c r="AS27" s="65">
        <f>AVERAGEIFS(Dados_SA[DEMANDA_REGISTRADA_FP],Dados_SA[ANO],2015,Dados_SA[UC],"SA")</f>
        <v>1321.875</v>
      </c>
      <c r="AT27" s="65">
        <v>501634.58</v>
      </c>
      <c r="AV27" s="27">
        <v>11</v>
      </c>
      <c r="AW27" s="30"/>
      <c r="AX27" s="30">
        <v>-0.14316436251920117</v>
      </c>
      <c r="AY27" s="30">
        <v>-0.33932411674347146</v>
      </c>
      <c r="AZ27" s="30">
        <v>-0.29938556067588318</v>
      </c>
      <c r="BA27" s="30">
        <v>-0.20522273425499227</v>
      </c>
      <c r="BB27" s="30" t="s">
        <v>174</v>
      </c>
      <c r="BC27" s="64">
        <f t="shared" si="3"/>
        <v>-0.24677419354838701</v>
      </c>
      <c r="BE27" s="27">
        <v>11</v>
      </c>
      <c r="BF27" s="30"/>
      <c r="BG27" s="30">
        <v>0.17138237671786583</v>
      </c>
      <c r="BH27" s="30">
        <v>-7.8213419563459965E-2</v>
      </c>
      <c r="BI27" s="30">
        <v>-0.16127728375101053</v>
      </c>
      <c r="BJ27" s="30">
        <v>5.4163298302344405E-2</v>
      </c>
      <c r="BK27" s="30" t="s">
        <v>174</v>
      </c>
      <c r="BL27" s="64">
        <f t="shared" si="4"/>
        <v>-3.486257073565065E-3</v>
      </c>
    </row>
    <row r="28" spans="1:68" x14ac:dyDescent="0.2">
      <c r="A28" s="39" t="s">
        <v>66</v>
      </c>
      <c r="B28" s="14" t="s">
        <v>47</v>
      </c>
      <c r="C28" s="2">
        <v>2017</v>
      </c>
      <c r="D28" s="2">
        <v>3</v>
      </c>
      <c r="E28" s="2">
        <v>28</v>
      </c>
      <c r="F28" s="4">
        <v>1.14E-2</v>
      </c>
      <c r="G28" s="2">
        <v>0.52900000000000003</v>
      </c>
      <c r="H28" s="2">
        <v>0.18</v>
      </c>
      <c r="I28" s="2">
        <v>1400</v>
      </c>
      <c r="J28" s="2">
        <v>1400</v>
      </c>
      <c r="K28" s="2">
        <v>1386.8</v>
      </c>
      <c r="L28" s="2">
        <v>1601</v>
      </c>
      <c r="M28" s="2"/>
      <c r="N28" s="3"/>
      <c r="O28" s="2">
        <v>8.01</v>
      </c>
      <c r="P28" s="2"/>
      <c r="Q28" s="2">
        <v>57676.7</v>
      </c>
      <c r="R28" s="2">
        <v>544436.80000000005</v>
      </c>
      <c r="S28" s="2">
        <v>0.36893999999999999</v>
      </c>
      <c r="T28" s="2">
        <v>0.32356000000000001</v>
      </c>
      <c r="U28" s="2">
        <v>0.32356000000000001</v>
      </c>
      <c r="V28" s="2">
        <v>0.21496999999999999</v>
      </c>
      <c r="W28" s="2">
        <v>19703.7</v>
      </c>
      <c r="X28" s="2">
        <v>135765.4</v>
      </c>
      <c r="Y28" s="2"/>
      <c r="Z28" s="2"/>
      <c r="AA28" s="33">
        <v>256132.43</v>
      </c>
      <c r="AB28" s="33">
        <v>602113.47</v>
      </c>
      <c r="AC28" s="33">
        <v>860.04000000000008</v>
      </c>
      <c r="AD28" s="33"/>
      <c r="AE28" s="33"/>
      <c r="AF28" s="16" t="s">
        <v>32</v>
      </c>
      <c r="AG28" s="28">
        <f>IFERROR(IF(Dados_SA[[#This Row],[DEMANDA_REGISTRADA_P]]/Dados_SA[[#This Row],[DEMANDA_CONTRATADA_P]]=0,"",Dados_SA[[#This Row],[DEMANDA_REGISTRADA_P]]/Dados_SA[[#This Row],[DEMANDA_CONTRATADA_P]]),"")</f>
        <v>0.99057142857142855</v>
      </c>
      <c r="AH28" s="28">
        <f>IFERROR(IF(Dados_SA[[#This Row],[DEMANDA_REGISTRADA_FP]]/Dados_SA[[#This Row],[DEMANDA_CONTRATADA_FP]]=0,"",Dados_SA[[#This Row],[DEMANDA_REGISTRADA_FP]]/Dados_SA[[#This Row],[DEMANDA_CONTRATADA_FP]]),"")</f>
        <v>1.1435714285714285</v>
      </c>
      <c r="AI28" s="3">
        <f>IF(Dados_SA[[#This Row],[% Demanda contratada P]]&gt;105%,1,0)</f>
        <v>0</v>
      </c>
      <c r="AJ28" s="3">
        <f>IF(Dados_SA[[#This Row],[% Demanda contratada FP]]&gt;105%,1,0)</f>
        <v>1</v>
      </c>
      <c r="AK28" s="36">
        <f>Dados_SA[[#This Row],[Acrescimo_Bamar]]/Dados_SA[[#This Row],[Valor da Fatura]]</f>
        <v>3.3577942472962133E-3</v>
      </c>
      <c r="AL28" s="36">
        <f>Dados_SA[[#This Row],[Acrescimo_Bverm1]]/Dados_SA[[#This Row],[Valor da Fatura]]</f>
        <v>0</v>
      </c>
      <c r="AM28" s="36">
        <f>Dados_SA[[#This Row],[Acrescimo_Bverm2]]/Dados_SA[[#This Row],[Valor da Fatura]]</f>
        <v>0</v>
      </c>
      <c r="AN28" s="36">
        <v>1.05</v>
      </c>
      <c r="AO28" s="36">
        <v>1</v>
      </c>
      <c r="AP28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28" s="65">
        <f>IF(Dados_SA[[#This Row],[Exced]]&lt;&gt;"",1,0)</f>
        <v>1</v>
      </c>
      <c r="AR28" s="65">
        <f>AVERAGEIFS(Dados_SA[DEMANDA_REGISTRADA_P],Dados_SA[ANO],2015,Dados_SA[UC],"SA")</f>
        <v>1203.3000000000002</v>
      </c>
      <c r="AS28" s="65">
        <f>AVERAGEIFS(Dados_SA[DEMANDA_REGISTRADA_FP],Dados_SA[ANO],2015,Dados_SA[UC],"SA")</f>
        <v>1321.875</v>
      </c>
      <c r="AT28" s="65">
        <v>501634.58</v>
      </c>
      <c r="AV28" s="27">
        <v>12</v>
      </c>
      <c r="AW28" s="30"/>
      <c r="AX28" s="30">
        <v>-0.31048468870411683</v>
      </c>
      <c r="AY28" s="30">
        <v>-0.32946663962685052</v>
      </c>
      <c r="AZ28" s="30">
        <v>-0.20989657270330564</v>
      </c>
      <c r="BA28" s="30">
        <v>-0.3471506793753803</v>
      </c>
      <c r="BB28" s="30" t="s">
        <v>174</v>
      </c>
      <c r="BC28" s="64">
        <f t="shared" si="3"/>
        <v>-0.29924964510241331</v>
      </c>
      <c r="BE28" s="27">
        <v>12</v>
      </c>
      <c r="BF28" s="30"/>
      <c r="BG28" s="30">
        <v>-6.4940085040587486E-2</v>
      </c>
      <c r="BH28" s="30">
        <v>-0.11847700038654804</v>
      </c>
      <c r="BI28" s="30">
        <v>-0.13471202164669499</v>
      </c>
      <c r="BJ28" s="30">
        <v>-0.2417858523386161</v>
      </c>
      <c r="BK28" s="30" t="s">
        <v>174</v>
      </c>
      <c r="BL28" s="64">
        <f t="shared" si="4"/>
        <v>-0.13997873985311166</v>
      </c>
    </row>
    <row r="29" spans="1:68" x14ac:dyDescent="0.2">
      <c r="A29" s="39" t="s">
        <v>66</v>
      </c>
      <c r="B29" s="14" t="s">
        <v>48</v>
      </c>
      <c r="C29" s="2">
        <v>2017</v>
      </c>
      <c r="D29" s="2">
        <v>4</v>
      </c>
      <c r="E29" s="2">
        <v>33</v>
      </c>
      <c r="F29" s="4">
        <v>9.9000000000000008E-3</v>
      </c>
      <c r="G29" s="2">
        <v>4.5600000000000002E-2</v>
      </c>
      <c r="H29" s="2">
        <v>0.18</v>
      </c>
      <c r="I29" s="2">
        <v>1400</v>
      </c>
      <c r="J29" s="2">
        <v>1400</v>
      </c>
      <c r="K29" s="2">
        <v>1381.8</v>
      </c>
      <c r="L29" s="2">
        <v>1517</v>
      </c>
      <c r="M29" s="2"/>
      <c r="N29" s="3"/>
      <c r="O29" s="2">
        <v>8.01</v>
      </c>
      <c r="P29" s="2"/>
      <c r="Q29" s="2">
        <v>70051.100000000006</v>
      </c>
      <c r="R29" s="2">
        <v>533399.4</v>
      </c>
      <c r="S29" s="2">
        <v>0.36893999999999999</v>
      </c>
      <c r="T29" s="2">
        <v>0.32356000000000001</v>
      </c>
      <c r="U29" s="2">
        <v>0.32356000000000001</v>
      </c>
      <c r="V29" s="2">
        <v>0.21496999999999999</v>
      </c>
      <c r="W29" s="2">
        <v>11898.2</v>
      </c>
      <c r="X29" s="2">
        <v>73188.2</v>
      </c>
      <c r="Y29" s="2"/>
      <c r="Z29" s="2"/>
      <c r="AA29" s="33">
        <v>267226.43</v>
      </c>
      <c r="AB29" s="33">
        <v>603450.32999999996</v>
      </c>
      <c r="AC29" s="33">
        <v>10606.08</v>
      </c>
      <c r="AD29" s="33">
        <v>2194.37</v>
      </c>
      <c r="AE29" s="33"/>
      <c r="AF29" s="16" t="s">
        <v>32</v>
      </c>
      <c r="AG29" s="28">
        <f>IFERROR(IF(Dados_SA[[#This Row],[DEMANDA_REGISTRADA_P]]/Dados_SA[[#This Row],[DEMANDA_CONTRATADA_P]]=0,"",Dados_SA[[#This Row],[DEMANDA_REGISTRADA_P]]/Dados_SA[[#This Row],[DEMANDA_CONTRATADA_P]]),"")</f>
        <v>0.98699999999999999</v>
      </c>
      <c r="AH29" s="28">
        <f>IFERROR(IF(Dados_SA[[#This Row],[DEMANDA_REGISTRADA_FP]]/Dados_SA[[#This Row],[DEMANDA_CONTRATADA_FP]]=0,"",Dados_SA[[#This Row],[DEMANDA_REGISTRADA_FP]]/Dados_SA[[#This Row],[DEMANDA_CONTRATADA_FP]]),"")</f>
        <v>1.0835714285714286</v>
      </c>
      <c r="AI29" s="3">
        <f>IF(Dados_SA[[#This Row],[% Demanda contratada P]]&gt;105%,1,0)</f>
        <v>0</v>
      </c>
      <c r="AJ29" s="3">
        <f>IF(Dados_SA[[#This Row],[% Demanda contratada FP]]&gt;105%,1,0)</f>
        <v>1</v>
      </c>
      <c r="AK29" s="36">
        <f>Dados_SA[[#This Row],[Acrescimo_Bamar]]/Dados_SA[[#This Row],[Valor da Fatura]]</f>
        <v>3.9689487301087699E-2</v>
      </c>
      <c r="AL29" s="36">
        <f>Dados_SA[[#This Row],[Acrescimo_Bverm1]]/Dados_SA[[#This Row],[Valor da Fatura]]</f>
        <v>8.2116503221631183E-3</v>
      </c>
      <c r="AM29" s="36">
        <f>Dados_SA[[#This Row],[Acrescimo_Bverm2]]/Dados_SA[[#This Row],[Valor da Fatura]]</f>
        <v>0</v>
      </c>
      <c r="AN29" s="36">
        <v>1.05</v>
      </c>
      <c r="AO29" s="36">
        <v>1</v>
      </c>
      <c r="AP29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29" s="65">
        <f>IF(Dados_SA[[#This Row],[Exced]]&lt;&gt;"",1,0)</f>
        <v>1</v>
      </c>
      <c r="AR29" s="65">
        <f>AVERAGEIFS(Dados_SA[DEMANDA_REGISTRADA_P],Dados_SA[ANO],2015,Dados_SA[UC],"SA")</f>
        <v>1203.3000000000002</v>
      </c>
      <c r="AS29" s="65">
        <f>AVERAGEIFS(Dados_SA[DEMANDA_REGISTRADA_FP],Dados_SA[ANO],2015,Dados_SA[UC],"SA")</f>
        <v>1321.875</v>
      </c>
      <c r="AT29" s="65">
        <v>501634.58</v>
      </c>
      <c r="AV29"/>
      <c r="AW29"/>
      <c r="AX29"/>
      <c r="AY29"/>
      <c r="AZ29"/>
      <c r="BA29"/>
      <c r="BB29"/>
      <c r="BC29"/>
      <c r="BE29"/>
      <c r="BF29"/>
      <c r="BG29"/>
      <c r="BH29"/>
      <c r="BI29"/>
      <c r="BJ29"/>
      <c r="BK29"/>
      <c r="BL29"/>
    </row>
    <row r="30" spans="1:68" x14ac:dyDescent="0.2">
      <c r="A30" s="39" t="s">
        <v>66</v>
      </c>
      <c r="B30" s="14" t="s">
        <v>49</v>
      </c>
      <c r="C30" s="2">
        <v>2017</v>
      </c>
      <c r="D30" s="2">
        <v>5</v>
      </c>
      <c r="E30" s="2">
        <v>29</v>
      </c>
      <c r="F30" s="4">
        <v>1.2E-2</v>
      </c>
      <c r="G30" s="2">
        <v>5.5399999999999998E-2</v>
      </c>
      <c r="H30" s="2">
        <v>0.18</v>
      </c>
      <c r="I30" s="2">
        <v>1400</v>
      </c>
      <c r="J30" s="2">
        <v>1400</v>
      </c>
      <c r="K30" s="2">
        <v>1291.9000000000001</v>
      </c>
      <c r="L30" s="2">
        <v>1431.4</v>
      </c>
      <c r="M30" s="2"/>
      <c r="N30" s="3"/>
      <c r="O30" s="2">
        <v>8.01</v>
      </c>
      <c r="P30" s="2"/>
      <c r="Q30" s="2">
        <v>59212.4</v>
      </c>
      <c r="R30" s="2">
        <v>469502</v>
      </c>
      <c r="S30" s="2">
        <v>0.36893999999999999</v>
      </c>
      <c r="T30" s="2">
        <v>5.815E-2</v>
      </c>
      <c r="U30" s="2">
        <v>0.31818999999999997</v>
      </c>
      <c r="V30" s="2">
        <v>0.20960000000000001</v>
      </c>
      <c r="W30" s="2">
        <v>6175.7</v>
      </c>
      <c r="X30" s="2">
        <v>38652.400000000001</v>
      </c>
      <c r="Y30" s="2"/>
      <c r="Z30" s="2"/>
      <c r="AA30" s="33">
        <v>212548.97</v>
      </c>
      <c r="AB30" s="33">
        <v>528714.48</v>
      </c>
      <c r="AC30" s="33"/>
      <c r="AD30" s="33">
        <v>15861.41</v>
      </c>
      <c r="AE30" s="33"/>
      <c r="AF30" s="16" t="s">
        <v>32</v>
      </c>
      <c r="AG30" s="28">
        <f>IFERROR(IF(Dados_SA[[#This Row],[DEMANDA_REGISTRADA_P]]/Dados_SA[[#This Row],[DEMANDA_CONTRATADA_P]]=0,"",Dados_SA[[#This Row],[DEMANDA_REGISTRADA_P]]/Dados_SA[[#This Row],[DEMANDA_CONTRATADA_P]]),"")</f>
        <v>0.92278571428571432</v>
      </c>
      <c r="AH30" s="28">
        <f>IFERROR(IF(Dados_SA[[#This Row],[DEMANDA_REGISTRADA_FP]]/Dados_SA[[#This Row],[DEMANDA_CONTRATADA_FP]]=0,"",Dados_SA[[#This Row],[DEMANDA_REGISTRADA_FP]]/Dados_SA[[#This Row],[DEMANDA_CONTRATADA_FP]]),"")</f>
        <v>1.0224285714285715</v>
      </c>
      <c r="AI30" s="3">
        <f>IF(Dados_SA[[#This Row],[% Demanda contratada P]]&gt;105%,1,0)</f>
        <v>0</v>
      </c>
      <c r="AJ30" s="3">
        <f>IF(Dados_SA[[#This Row],[% Demanda contratada FP]]&gt;105%,1,0)</f>
        <v>0</v>
      </c>
      <c r="AK30" s="36">
        <f>Dados_SA[[#This Row],[Acrescimo_Bamar]]/Dados_SA[[#This Row],[Valor da Fatura]]</f>
        <v>0</v>
      </c>
      <c r="AL30" s="36">
        <f>Dados_SA[[#This Row],[Acrescimo_Bverm1]]/Dados_SA[[#This Row],[Valor da Fatura]]</f>
        <v>7.4624732361676466E-2</v>
      </c>
      <c r="AM30" s="36">
        <f>Dados_SA[[#This Row],[Acrescimo_Bverm2]]/Dados_SA[[#This Row],[Valor da Fatura]]</f>
        <v>0</v>
      </c>
      <c r="AN30" s="36">
        <v>1.05</v>
      </c>
      <c r="AO30" s="36">
        <v>1</v>
      </c>
      <c r="AP30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30" s="65">
        <f>IF(Dados_SA[[#This Row],[Exced]]&lt;&gt;"",1,0)</f>
        <v>0</v>
      </c>
      <c r="AR30" s="65">
        <f>AVERAGEIFS(Dados_SA[DEMANDA_REGISTRADA_P],Dados_SA[ANO],2015,Dados_SA[UC],"SA")</f>
        <v>1203.3000000000002</v>
      </c>
      <c r="AS30" s="65">
        <f>AVERAGEIFS(Dados_SA[DEMANDA_REGISTRADA_FP],Dados_SA[ANO],2015,Dados_SA[UC],"SA")</f>
        <v>1321.875</v>
      </c>
      <c r="AT30" s="65">
        <v>501634.58</v>
      </c>
      <c r="AV30"/>
      <c r="AW30"/>
    </row>
    <row r="31" spans="1:68" x14ac:dyDescent="0.2">
      <c r="A31" s="39" t="s">
        <v>66</v>
      </c>
      <c r="B31" s="14" t="s">
        <v>50</v>
      </c>
      <c r="C31" s="2">
        <v>2017</v>
      </c>
      <c r="D31" s="2">
        <v>6</v>
      </c>
      <c r="E31" s="2">
        <v>30</v>
      </c>
      <c r="F31" s="4">
        <v>1.15E-2</v>
      </c>
      <c r="G31" s="2">
        <v>5.2699999999999997E-2</v>
      </c>
      <c r="H31" s="2">
        <v>0.18</v>
      </c>
      <c r="I31" s="2">
        <v>1400</v>
      </c>
      <c r="J31" s="2">
        <v>1400</v>
      </c>
      <c r="K31" s="2">
        <v>1162.5999999999999</v>
      </c>
      <c r="L31" s="2">
        <v>1163.4000000000001</v>
      </c>
      <c r="M31" s="2"/>
      <c r="N31" s="3"/>
      <c r="O31" s="2">
        <v>8.01</v>
      </c>
      <c r="P31" s="2"/>
      <c r="Q31" s="2">
        <v>59655.8</v>
      </c>
      <c r="R31" s="2">
        <v>445003.9</v>
      </c>
      <c r="S31" s="2">
        <v>0.36893999999999999</v>
      </c>
      <c r="T31" s="2">
        <v>5.815E-2</v>
      </c>
      <c r="U31" s="2">
        <v>0.31818999999999997</v>
      </c>
      <c r="V31" s="2">
        <v>0.20960000000000001</v>
      </c>
      <c r="W31" s="2">
        <v>2808.5</v>
      </c>
      <c r="X31" s="2">
        <v>23541.599999999999</v>
      </c>
      <c r="Y31" s="2"/>
      <c r="Z31" s="2"/>
      <c r="AA31" s="33">
        <v>231106.78</v>
      </c>
      <c r="AB31" s="33">
        <v>504659.61</v>
      </c>
      <c r="AC31" s="33"/>
      <c r="AD31" s="33">
        <v>14130.45</v>
      </c>
      <c r="AE31" s="33"/>
      <c r="AF31" s="16" t="s">
        <v>32</v>
      </c>
      <c r="AG31" s="28">
        <f>IFERROR(IF(Dados_SA[[#This Row],[DEMANDA_REGISTRADA_P]]/Dados_SA[[#This Row],[DEMANDA_CONTRATADA_P]]=0,"",Dados_SA[[#This Row],[DEMANDA_REGISTRADA_P]]/Dados_SA[[#This Row],[DEMANDA_CONTRATADA_P]]),"")</f>
        <v>0.8304285714285714</v>
      </c>
      <c r="AH31" s="28">
        <f>IFERROR(IF(Dados_SA[[#This Row],[DEMANDA_REGISTRADA_FP]]/Dados_SA[[#This Row],[DEMANDA_CONTRATADA_FP]]=0,"",Dados_SA[[#This Row],[DEMANDA_REGISTRADA_FP]]/Dados_SA[[#This Row],[DEMANDA_CONTRATADA_FP]]),"")</f>
        <v>0.83100000000000007</v>
      </c>
      <c r="AI31" s="3">
        <f>IF(Dados_SA[[#This Row],[% Demanda contratada P]]&gt;105%,1,0)</f>
        <v>0</v>
      </c>
      <c r="AJ31" s="3">
        <f>IF(Dados_SA[[#This Row],[% Demanda contratada FP]]&gt;105%,1,0)</f>
        <v>0</v>
      </c>
      <c r="AK31" s="36">
        <f>Dados_SA[[#This Row],[Acrescimo_Bamar]]/Dados_SA[[#This Row],[Valor da Fatura]]</f>
        <v>0</v>
      </c>
      <c r="AL31" s="36">
        <f>Dados_SA[[#This Row],[Acrescimo_Bverm1]]/Dados_SA[[#This Row],[Valor da Fatura]]</f>
        <v>6.1142516026574389E-2</v>
      </c>
      <c r="AM31" s="36">
        <f>Dados_SA[[#This Row],[Acrescimo_Bverm2]]/Dados_SA[[#This Row],[Valor da Fatura]]</f>
        <v>0</v>
      </c>
      <c r="AN31" s="36">
        <v>1.05</v>
      </c>
      <c r="AO31" s="36">
        <v>1</v>
      </c>
      <c r="AP31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31" s="65">
        <f>IF(Dados_SA[[#This Row],[Exced]]&lt;&gt;"",1,0)</f>
        <v>0</v>
      </c>
      <c r="AR31" s="65">
        <f>AVERAGEIFS(Dados_SA[DEMANDA_REGISTRADA_P],Dados_SA[ANO],2015,Dados_SA[UC],"SA")</f>
        <v>1203.3000000000002</v>
      </c>
      <c r="AS31" s="65">
        <f>AVERAGEIFS(Dados_SA[DEMANDA_REGISTRADA_FP],Dados_SA[ANO],2015,Dados_SA[UC],"SA")</f>
        <v>1321.875</v>
      </c>
      <c r="AT31" s="65">
        <v>501634.58</v>
      </c>
      <c r="AV31"/>
      <c r="AW31"/>
    </row>
    <row r="32" spans="1:68" x14ac:dyDescent="0.2">
      <c r="A32" s="39" t="s">
        <v>66</v>
      </c>
      <c r="B32" s="14" t="s">
        <v>51</v>
      </c>
      <c r="C32" s="2">
        <v>2017</v>
      </c>
      <c r="D32" s="2">
        <v>7</v>
      </c>
      <c r="E32" s="2">
        <v>33</v>
      </c>
      <c r="F32" s="4">
        <v>1.1599999999999999E-2</v>
      </c>
      <c r="G32" s="2">
        <v>5.3499999999999999E-2</v>
      </c>
      <c r="H32" s="2">
        <v>0.18</v>
      </c>
      <c r="I32" s="2">
        <v>1400</v>
      </c>
      <c r="J32" s="2">
        <v>1400</v>
      </c>
      <c r="K32" s="2">
        <v>1070.2</v>
      </c>
      <c r="L32" s="2">
        <v>1087.8</v>
      </c>
      <c r="M32" s="2"/>
      <c r="N32" s="3"/>
      <c r="O32" s="2">
        <v>8.17727</v>
      </c>
      <c r="P32" s="2"/>
      <c r="Q32" s="2">
        <v>63765.2</v>
      </c>
      <c r="R32" s="2">
        <v>479746.1</v>
      </c>
      <c r="S32" s="2">
        <v>0.37324000000000002</v>
      </c>
      <c r="T32" s="2">
        <v>5.6849999999999998E-2</v>
      </c>
      <c r="U32" s="2">
        <v>0.31818999999999997</v>
      </c>
      <c r="V32" s="2">
        <v>0.20960000000000001</v>
      </c>
      <c r="W32" s="2">
        <v>421.1</v>
      </c>
      <c r="X32" s="2">
        <v>2966.3</v>
      </c>
      <c r="Y32" s="2"/>
      <c r="Z32" s="2"/>
      <c r="AA32" s="33">
        <v>231933.76</v>
      </c>
      <c r="AB32" s="33">
        <v>402496.6</v>
      </c>
      <c r="AC32" s="33">
        <v>2218.17</v>
      </c>
      <c r="AD32" s="33"/>
      <c r="AE32" s="33"/>
      <c r="AF32" s="16" t="s">
        <v>32</v>
      </c>
      <c r="AG32" s="28">
        <f>IFERROR(IF(Dados_SA[[#This Row],[DEMANDA_REGISTRADA_P]]/Dados_SA[[#This Row],[DEMANDA_CONTRATADA_P]]=0,"",Dados_SA[[#This Row],[DEMANDA_REGISTRADA_P]]/Dados_SA[[#This Row],[DEMANDA_CONTRATADA_P]]),"")</f>
        <v>0.76442857142857146</v>
      </c>
      <c r="AH32" s="28">
        <f>IFERROR(IF(Dados_SA[[#This Row],[DEMANDA_REGISTRADA_FP]]/Dados_SA[[#This Row],[DEMANDA_CONTRATADA_FP]]=0,"",Dados_SA[[#This Row],[DEMANDA_REGISTRADA_FP]]/Dados_SA[[#This Row],[DEMANDA_CONTRATADA_FP]]),"")</f>
        <v>0.77699999999999991</v>
      </c>
      <c r="AI32" s="3">
        <f>IF(Dados_SA[[#This Row],[% Demanda contratada P]]&gt;105%,1,0)</f>
        <v>0</v>
      </c>
      <c r="AJ32" s="3">
        <f>IF(Dados_SA[[#This Row],[% Demanda contratada FP]]&gt;105%,1,0)</f>
        <v>0</v>
      </c>
      <c r="AK32" s="36">
        <f>Dados_SA[[#This Row],[Acrescimo_Bamar]]/Dados_SA[[#This Row],[Valor da Fatura]]</f>
        <v>9.5638082183464798E-3</v>
      </c>
      <c r="AL32" s="36">
        <f>Dados_SA[[#This Row],[Acrescimo_Bverm1]]/Dados_SA[[#This Row],[Valor da Fatura]]</f>
        <v>0</v>
      </c>
      <c r="AM32" s="36">
        <f>Dados_SA[[#This Row],[Acrescimo_Bverm2]]/Dados_SA[[#This Row],[Valor da Fatura]]</f>
        <v>0</v>
      </c>
      <c r="AN32" s="36">
        <v>1.05</v>
      </c>
      <c r="AO32" s="36">
        <v>1</v>
      </c>
      <c r="AP32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32" s="65">
        <f>IF(Dados_SA[[#This Row],[Exced]]&lt;&gt;"",1,0)</f>
        <v>0</v>
      </c>
      <c r="AR32" s="65">
        <f>AVERAGEIFS(Dados_SA[DEMANDA_REGISTRADA_P],Dados_SA[ANO],2015,Dados_SA[UC],"SA")</f>
        <v>1203.3000000000002</v>
      </c>
      <c r="AS32" s="65">
        <f>AVERAGEIFS(Dados_SA[DEMANDA_REGISTRADA_FP],Dados_SA[ANO],2015,Dados_SA[UC],"SA")</f>
        <v>1321.875</v>
      </c>
      <c r="AT32" s="65">
        <v>501634.58</v>
      </c>
      <c r="AV32"/>
      <c r="AW32"/>
    </row>
    <row r="33" spans="1:49" x14ac:dyDescent="0.2">
      <c r="A33" s="39" t="s">
        <v>66</v>
      </c>
      <c r="B33" s="14" t="s">
        <v>52</v>
      </c>
      <c r="C33" s="2">
        <v>2017</v>
      </c>
      <c r="D33" s="2">
        <v>8</v>
      </c>
      <c r="E33" s="2">
        <v>28</v>
      </c>
      <c r="F33" s="4">
        <v>1.26E-2</v>
      </c>
      <c r="G33" s="2">
        <v>5.8299999999999998E-2</v>
      </c>
      <c r="H33" s="2">
        <v>0.18</v>
      </c>
      <c r="I33" s="2">
        <v>1400</v>
      </c>
      <c r="J33" s="2">
        <v>1400</v>
      </c>
      <c r="K33" s="2">
        <v>1070.2</v>
      </c>
      <c r="L33" s="2">
        <v>1087.8</v>
      </c>
      <c r="M33" s="2"/>
      <c r="N33" s="3"/>
      <c r="O33" s="2">
        <v>10.77</v>
      </c>
      <c r="P33" s="2"/>
      <c r="Q33" s="2">
        <v>54911.199999999997</v>
      </c>
      <c r="R33" s="2">
        <v>394598.2</v>
      </c>
      <c r="S33" s="2">
        <v>0.43986999999999998</v>
      </c>
      <c r="T33" s="2">
        <v>3.6769999999999997E-2</v>
      </c>
      <c r="U33" s="2">
        <v>0.34899000000000002</v>
      </c>
      <c r="V33" s="2">
        <v>0.22885</v>
      </c>
      <c r="W33" s="2">
        <v>1728.1</v>
      </c>
      <c r="X33" s="2">
        <v>13274.1</v>
      </c>
      <c r="Y33" s="2"/>
      <c r="Z33" s="2"/>
      <c r="AA33" s="33">
        <v>217013.75</v>
      </c>
      <c r="AB33" s="33">
        <v>406698.6</v>
      </c>
      <c r="AC33" s="33">
        <v>10088.450000000001</v>
      </c>
      <c r="AD33" s="33">
        <v>1592.9099999999999</v>
      </c>
      <c r="AE33" s="33"/>
      <c r="AF33" s="16" t="s">
        <v>32</v>
      </c>
      <c r="AG33" s="28">
        <f>IFERROR(IF(Dados_SA[[#This Row],[DEMANDA_REGISTRADA_P]]/Dados_SA[[#This Row],[DEMANDA_CONTRATADA_P]]=0,"",Dados_SA[[#This Row],[DEMANDA_REGISTRADA_P]]/Dados_SA[[#This Row],[DEMANDA_CONTRATADA_P]]),"")</f>
        <v>0.76442857142857146</v>
      </c>
      <c r="AH33" s="28">
        <f>IFERROR(IF(Dados_SA[[#This Row],[DEMANDA_REGISTRADA_FP]]/Dados_SA[[#This Row],[DEMANDA_CONTRATADA_FP]]=0,"",Dados_SA[[#This Row],[DEMANDA_REGISTRADA_FP]]/Dados_SA[[#This Row],[DEMANDA_CONTRATADA_FP]]),"")</f>
        <v>0.77699999999999991</v>
      </c>
      <c r="AI33" s="3">
        <f>IF(Dados_SA[[#This Row],[% Demanda contratada P]]&gt;105%,1,0)</f>
        <v>0</v>
      </c>
      <c r="AJ33" s="3">
        <f>IF(Dados_SA[[#This Row],[% Demanda contratada FP]]&gt;105%,1,0)</f>
        <v>0</v>
      </c>
      <c r="AK33" s="36">
        <f>Dados_SA[[#This Row],[Acrescimo_Bamar]]/Dados_SA[[#This Row],[Valor da Fatura]]</f>
        <v>4.6487607352068708E-2</v>
      </c>
      <c r="AL33" s="36">
        <f>Dados_SA[[#This Row],[Acrescimo_Bverm1]]/Dados_SA[[#This Row],[Valor da Fatura]]</f>
        <v>7.3401339776857453E-3</v>
      </c>
      <c r="AM33" s="36">
        <f>Dados_SA[[#This Row],[Acrescimo_Bverm2]]/Dados_SA[[#This Row],[Valor da Fatura]]</f>
        <v>0</v>
      </c>
      <c r="AN33" s="36">
        <v>1.05</v>
      </c>
      <c r="AO33" s="36">
        <v>1</v>
      </c>
      <c r="AP33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33" s="65">
        <f>IF(Dados_SA[[#This Row],[Exced]]&lt;&gt;"",1,0)</f>
        <v>0</v>
      </c>
      <c r="AR33" s="65">
        <f>AVERAGEIFS(Dados_SA[DEMANDA_REGISTRADA_P],Dados_SA[ANO],2015,Dados_SA[UC],"SA")</f>
        <v>1203.3000000000002</v>
      </c>
      <c r="AS33" s="65">
        <f>AVERAGEIFS(Dados_SA[DEMANDA_REGISTRADA_FP],Dados_SA[ANO],2015,Dados_SA[UC],"SA")</f>
        <v>1321.875</v>
      </c>
      <c r="AT33" s="65">
        <v>501634.58</v>
      </c>
      <c r="AV33"/>
      <c r="AW33"/>
    </row>
    <row r="34" spans="1:49" x14ac:dyDescent="0.2">
      <c r="A34" s="39" t="s">
        <v>66</v>
      </c>
      <c r="B34" s="14" t="s">
        <v>53</v>
      </c>
      <c r="C34" s="2">
        <v>2017</v>
      </c>
      <c r="D34" s="2">
        <v>9</v>
      </c>
      <c r="E34" s="2">
        <v>33</v>
      </c>
      <c r="F34" s="4">
        <v>8.0000000000000002E-3</v>
      </c>
      <c r="G34" s="2">
        <v>3.6700000000000003E-2</v>
      </c>
      <c r="H34" s="2">
        <v>0.18</v>
      </c>
      <c r="I34" s="2">
        <v>1400</v>
      </c>
      <c r="J34" s="2">
        <v>1400</v>
      </c>
      <c r="K34" s="69">
        <f>K33</f>
        <v>1070.2</v>
      </c>
      <c r="L34" s="2">
        <v>998.8</v>
      </c>
      <c r="M34" s="2"/>
      <c r="N34" s="3"/>
      <c r="O34" s="2">
        <v>10.77</v>
      </c>
      <c r="P34" s="2"/>
      <c r="Q34" s="2">
        <v>61373.3</v>
      </c>
      <c r="R34" s="2">
        <v>469526.8</v>
      </c>
      <c r="S34" s="2">
        <v>0.43986999999999998</v>
      </c>
      <c r="T34" s="2">
        <v>3.6769999999999997E-2</v>
      </c>
      <c r="U34" s="2">
        <v>0.34899000000000002</v>
      </c>
      <c r="V34" s="2">
        <v>0.22885</v>
      </c>
      <c r="W34" s="2">
        <v>1831.2</v>
      </c>
      <c r="X34" s="2">
        <v>15712</v>
      </c>
      <c r="Y34" s="2"/>
      <c r="Z34" s="2"/>
      <c r="AA34" s="33">
        <v>247139.45</v>
      </c>
      <c r="AB34" s="33">
        <v>530846.1</v>
      </c>
      <c r="AC34" s="33">
        <v>1635.3899999999999</v>
      </c>
      <c r="AD34" s="33">
        <v>17171.61</v>
      </c>
      <c r="AE34" s="33"/>
      <c r="AF34" s="16" t="s">
        <v>32</v>
      </c>
      <c r="AG34" s="28">
        <f>IFERROR(IF(Dados_SA[[#This Row],[DEMANDA_REGISTRADA_P]]/Dados_SA[[#This Row],[DEMANDA_CONTRATADA_P]]=0,"",Dados_SA[[#This Row],[DEMANDA_REGISTRADA_P]]/Dados_SA[[#This Row],[DEMANDA_CONTRATADA_P]]),"")</f>
        <v>0.76442857142857146</v>
      </c>
      <c r="AH34" s="28">
        <f>IFERROR(IF(Dados_SA[[#This Row],[DEMANDA_REGISTRADA_FP]]/Dados_SA[[#This Row],[DEMANDA_CONTRATADA_FP]]=0,"",Dados_SA[[#This Row],[DEMANDA_REGISTRADA_FP]]/Dados_SA[[#This Row],[DEMANDA_CONTRATADA_FP]]),"")</f>
        <v>0.71342857142857141</v>
      </c>
      <c r="AI34" s="3">
        <f>IF(Dados_SA[[#This Row],[% Demanda contratada P]]&gt;105%,1,0)</f>
        <v>0</v>
      </c>
      <c r="AJ34" s="3">
        <f>IF(Dados_SA[[#This Row],[% Demanda contratada FP]]&gt;105%,1,0)</f>
        <v>0</v>
      </c>
      <c r="AK34" s="36">
        <f>Dados_SA[[#This Row],[Acrescimo_Bamar]]/Dados_SA[[#This Row],[Valor da Fatura]]</f>
        <v>6.6172761977094296E-3</v>
      </c>
      <c r="AL34" s="36">
        <f>Dados_SA[[#This Row],[Acrescimo_Bverm1]]/Dados_SA[[#This Row],[Valor da Fatura]]</f>
        <v>6.9481460770427383E-2</v>
      </c>
      <c r="AM34" s="36">
        <f>Dados_SA[[#This Row],[Acrescimo_Bverm2]]/Dados_SA[[#This Row],[Valor da Fatura]]</f>
        <v>0</v>
      </c>
      <c r="AN34" s="36">
        <v>1.05</v>
      </c>
      <c r="AO34" s="36">
        <v>1</v>
      </c>
      <c r="AP34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34" s="65">
        <f>IF(Dados_SA[[#This Row],[Exced]]&lt;&gt;"",1,0)</f>
        <v>0</v>
      </c>
      <c r="AR34" s="65">
        <f>AVERAGEIFS(Dados_SA[DEMANDA_REGISTRADA_P],Dados_SA[ANO],2015,Dados_SA[UC],"SA")</f>
        <v>1203.3000000000002</v>
      </c>
      <c r="AS34" s="65">
        <f>AVERAGEIFS(Dados_SA[DEMANDA_REGISTRADA_FP],Dados_SA[ANO],2015,Dados_SA[UC],"SA")</f>
        <v>1321.875</v>
      </c>
      <c r="AT34" s="65">
        <v>501634.58</v>
      </c>
      <c r="AV34"/>
      <c r="AW34"/>
    </row>
    <row r="35" spans="1:49" x14ac:dyDescent="0.2">
      <c r="A35" s="39" t="s">
        <v>66</v>
      </c>
      <c r="B35" s="14" t="s">
        <v>54</v>
      </c>
      <c r="C35" s="2">
        <v>2017</v>
      </c>
      <c r="D35" s="2">
        <v>10</v>
      </c>
      <c r="E35" s="2">
        <v>29</v>
      </c>
      <c r="F35" s="4">
        <v>7.1999999999999998E-3</v>
      </c>
      <c r="G35" s="2">
        <v>3.3399999999999999E-2</v>
      </c>
      <c r="H35" s="2">
        <v>0.18</v>
      </c>
      <c r="I35" s="2">
        <v>1400</v>
      </c>
      <c r="J35" s="2">
        <v>1400</v>
      </c>
      <c r="K35" s="2">
        <v>1268.4000000000001</v>
      </c>
      <c r="L35" s="2">
        <v>1454</v>
      </c>
      <c r="M35" s="2"/>
      <c r="N35" s="3"/>
      <c r="O35" s="2">
        <v>10.77</v>
      </c>
      <c r="P35" s="2"/>
      <c r="Q35" s="2">
        <v>59960</v>
      </c>
      <c r="R35" s="2">
        <v>456851.6</v>
      </c>
      <c r="S35" s="2">
        <v>0.43986999999999998</v>
      </c>
      <c r="T35" s="2">
        <v>3.6769999999999997E-2</v>
      </c>
      <c r="U35" s="2">
        <v>0.34899000000000002</v>
      </c>
      <c r="V35" s="2">
        <v>0.22885</v>
      </c>
      <c r="W35" s="2">
        <v>7104.1</v>
      </c>
      <c r="X35" s="2">
        <v>44190.9</v>
      </c>
      <c r="Y35" s="2"/>
      <c r="Z35" s="2"/>
      <c r="AA35" s="33">
        <v>236093.36</v>
      </c>
      <c r="AB35" s="33">
        <v>463348.2</v>
      </c>
      <c r="AC35" s="33">
        <v>11407.12</v>
      </c>
      <c r="AD35" s="33">
        <v>2303.3500000000004</v>
      </c>
      <c r="AE35" s="33"/>
      <c r="AF35" s="16" t="s">
        <v>32</v>
      </c>
      <c r="AG35" s="28">
        <f>IFERROR(IF(Dados_SA[[#This Row],[DEMANDA_REGISTRADA_P]]/Dados_SA[[#This Row],[DEMANDA_CONTRATADA_P]]=0,"",Dados_SA[[#This Row],[DEMANDA_REGISTRADA_P]]/Dados_SA[[#This Row],[DEMANDA_CONTRATADA_P]]),"")</f>
        <v>0.90600000000000003</v>
      </c>
      <c r="AH35" s="28">
        <f>IFERROR(IF(Dados_SA[[#This Row],[DEMANDA_REGISTRADA_FP]]/Dados_SA[[#This Row],[DEMANDA_CONTRATADA_FP]]=0,"",Dados_SA[[#This Row],[DEMANDA_REGISTRADA_FP]]/Dados_SA[[#This Row],[DEMANDA_CONTRATADA_FP]]),"")</f>
        <v>1.0385714285714285</v>
      </c>
      <c r="AI35" s="3">
        <f>IF(Dados_SA[[#This Row],[% Demanda contratada P]]&gt;105%,1,0)</f>
        <v>0</v>
      </c>
      <c r="AJ35" s="3">
        <f>IF(Dados_SA[[#This Row],[% Demanda contratada FP]]&gt;105%,1,0)</f>
        <v>0</v>
      </c>
      <c r="AK35" s="36">
        <f>Dados_SA[[#This Row],[Acrescimo_Bamar]]/Dados_SA[[#This Row],[Valor da Fatura]]</f>
        <v>4.8316140699594438E-2</v>
      </c>
      <c r="AL35" s="36">
        <f>Dados_SA[[#This Row],[Acrescimo_Bverm1]]/Dados_SA[[#This Row],[Valor da Fatura]]</f>
        <v>9.7560981808213522E-3</v>
      </c>
      <c r="AM35" s="36">
        <f>Dados_SA[[#This Row],[Acrescimo_Bverm2]]/Dados_SA[[#This Row],[Valor da Fatura]]</f>
        <v>0</v>
      </c>
      <c r="AN35" s="36">
        <v>1.05</v>
      </c>
      <c r="AO35" s="36">
        <v>1</v>
      </c>
      <c r="AP35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35" s="65">
        <f>IF(Dados_SA[[#This Row],[Exced]]&lt;&gt;"",1,0)</f>
        <v>0</v>
      </c>
      <c r="AR35" s="65">
        <f>AVERAGEIFS(Dados_SA[DEMANDA_REGISTRADA_P],Dados_SA[ANO],2015,Dados_SA[UC],"SA")</f>
        <v>1203.3000000000002</v>
      </c>
      <c r="AS35" s="65">
        <f>AVERAGEIFS(Dados_SA[DEMANDA_REGISTRADA_FP],Dados_SA[ANO],2015,Dados_SA[UC],"SA")</f>
        <v>1321.875</v>
      </c>
      <c r="AT35" s="65">
        <v>501634.58</v>
      </c>
      <c r="AV35"/>
      <c r="AW35"/>
    </row>
    <row r="36" spans="1:49" x14ac:dyDescent="0.2">
      <c r="A36" s="39" t="s">
        <v>66</v>
      </c>
      <c r="B36" s="14" t="s">
        <v>55</v>
      </c>
      <c r="C36" s="2">
        <v>2017</v>
      </c>
      <c r="D36" s="2">
        <v>11</v>
      </c>
      <c r="E36" s="2">
        <v>31</v>
      </c>
      <c r="F36" s="4">
        <v>7.0000000000000001E-3</v>
      </c>
      <c r="G36" s="2">
        <v>3.2199999999999999E-2</v>
      </c>
      <c r="H36" s="2">
        <v>0.18</v>
      </c>
      <c r="I36" s="2">
        <v>1400</v>
      </c>
      <c r="J36" s="2">
        <v>1400</v>
      </c>
      <c r="K36" s="2">
        <v>1361.6</v>
      </c>
      <c r="L36" s="2">
        <v>1545.6</v>
      </c>
      <c r="M36" s="2"/>
      <c r="N36" s="3"/>
      <c r="O36" s="2">
        <v>10.77</v>
      </c>
      <c r="P36" s="2"/>
      <c r="Q36" s="2">
        <v>59442.6</v>
      </c>
      <c r="R36" s="2">
        <v>488330</v>
      </c>
      <c r="S36" s="2">
        <v>0.43986999999999998</v>
      </c>
      <c r="T36" s="2">
        <v>3.6769999999999997E-2</v>
      </c>
      <c r="U36" s="2">
        <v>0.34899000000000002</v>
      </c>
      <c r="V36" s="2">
        <v>0.22885</v>
      </c>
      <c r="W36" s="2">
        <v>8154.8</v>
      </c>
      <c r="X36" s="2">
        <v>1422.3</v>
      </c>
      <c r="Y36" s="2"/>
      <c r="Z36" s="2"/>
      <c r="AA36" s="33">
        <v>260930.32</v>
      </c>
      <c r="AB36" s="33">
        <v>547772.6</v>
      </c>
      <c r="AC36" s="33"/>
      <c r="AD36" s="33">
        <v>24570.26</v>
      </c>
      <c r="AE36" s="33"/>
      <c r="AF36" s="16" t="s">
        <v>32</v>
      </c>
      <c r="AG36" s="28">
        <f>IFERROR(IF(Dados_SA[[#This Row],[DEMANDA_REGISTRADA_P]]/Dados_SA[[#This Row],[DEMANDA_CONTRATADA_P]]=0,"",Dados_SA[[#This Row],[DEMANDA_REGISTRADA_P]]/Dados_SA[[#This Row],[DEMANDA_CONTRATADA_P]]),"")</f>
        <v>0.97257142857142853</v>
      </c>
      <c r="AH36" s="28">
        <f>IFERROR(IF(Dados_SA[[#This Row],[DEMANDA_REGISTRADA_FP]]/Dados_SA[[#This Row],[DEMANDA_CONTRATADA_FP]]=0,"",Dados_SA[[#This Row],[DEMANDA_REGISTRADA_FP]]/Dados_SA[[#This Row],[DEMANDA_CONTRATADA_FP]]),"")</f>
        <v>1.1039999999999999</v>
      </c>
      <c r="AI36" s="3">
        <f>IF(Dados_SA[[#This Row],[% Demanda contratada P]]&gt;105%,1,0)</f>
        <v>0</v>
      </c>
      <c r="AJ36" s="3">
        <f>IF(Dados_SA[[#This Row],[% Demanda contratada FP]]&gt;105%,1,0)</f>
        <v>1</v>
      </c>
      <c r="AK36" s="36">
        <f>Dados_SA[[#This Row],[Acrescimo_Bamar]]/Dados_SA[[#This Row],[Valor da Fatura]]</f>
        <v>0</v>
      </c>
      <c r="AL36" s="36">
        <f>Dados_SA[[#This Row],[Acrescimo_Bverm1]]/Dados_SA[[#This Row],[Valor da Fatura]]</f>
        <v>9.4164066483343134E-2</v>
      </c>
      <c r="AM36" s="36">
        <f>Dados_SA[[#This Row],[Acrescimo_Bverm2]]/Dados_SA[[#This Row],[Valor da Fatura]]</f>
        <v>0</v>
      </c>
      <c r="AN36" s="36">
        <v>1.05</v>
      </c>
      <c r="AO36" s="36">
        <v>1</v>
      </c>
      <c r="AP36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36" s="65">
        <f>IF(Dados_SA[[#This Row],[Exced]]&lt;&gt;"",1,0)</f>
        <v>1</v>
      </c>
      <c r="AR36" s="65">
        <f>AVERAGEIFS(Dados_SA[DEMANDA_REGISTRADA_P],Dados_SA[ANO],2015,Dados_SA[UC],"SA")</f>
        <v>1203.3000000000002</v>
      </c>
      <c r="AS36" s="65">
        <f>AVERAGEIFS(Dados_SA[DEMANDA_REGISTRADA_FP],Dados_SA[ANO],2015,Dados_SA[UC],"SA")</f>
        <v>1321.875</v>
      </c>
      <c r="AT36" s="65">
        <v>501634.58</v>
      </c>
      <c r="AV36"/>
      <c r="AW36"/>
    </row>
    <row r="37" spans="1:49" x14ac:dyDescent="0.2">
      <c r="A37" s="39" t="s">
        <v>66</v>
      </c>
      <c r="B37" s="14" t="s">
        <v>56</v>
      </c>
      <c r="C37" s="2">
        <v>2017</v>
      </c>
      <c r="D37" s="2">
        <v>12</v>
      </c>
      <c r="E37" s="2">
        <v>32</v>
      </c>
      <c r="F37" s="4">
        <v>8.8000000000000005E-3</v>
      </c>
      <c r="G37" s="2">
        <v>4.07E-2</v>
      </c>
      <c r="H37" s="2">
        <v>0.18</v>
      </c>
      <c r="I37" s="2">
        <v>1400</v>
      </c>
      <c r="J37" s="2">
        <v>1400</v>
      </c>
      <c r="K37" s="2">
        <v>1207.9000000000001</v>
      </c>
      <c r="L37" s="2">
        <v>1427.2</v>
      </c>
      <c r="M37" s="2"/>
      <c r="N37" s="3"/>
      <c r="O37" s="2">
        <v>10.77</v>
      </c>
      <c r="P37" s="2"/>
      <c r="Q37" s="2">
        <v>68477.899999999994</v>
      </c>
      <c r="R37" s="2">
        <v>539184.69999999995</v>
      </c>
      <c r="S37" s="2">
        <v>0.43986999999999998</v>
      </c>
      <c r="T37" s="2">
        <v>3.6769999999999997E-2</v>
      </c>
      <c r="U37" s="2">
        <v>0.34899000000000002</v>
      </c>
      <c r="V37" s="2">
        <v>0.22885</v>
      </c>
      <c r="W37" s="2">
        <v>9838.5</v>
      </c>
      <c r="X37" s="2">
        <v>1323.6</v>
      </c>
      <c r="Y37" s="2"/>
      <c r="Z37" s="2"/>
      <c r="AA37" s="33">
        <v>294762.75</v>
      </c>
      <c r="AB37" s="33">
        <v>607662.6</v>
      </c>
      <c r="AC37" s="33"/>
      <c r="AD37" s="33">
        <v>35138.47</v>
      </c>
      <c r="AE37" s="33"/>
      <c r="AF37" s="16" t="s">
        <v>32</v>
      </c>
      <c r="AG37" s="28">
        <f>IFERROR(IF(Dados_SA[[#This Row],[DEMANDA_REGISTRADA_P]]/Dados_SA[[#This Row],[DEMANDA_CONTRATADA_P]]=0,"",Dados_SA[[#This Row],[DEMANDA_REGISTRADA_P]]/Dados_SA[[#This Row],[DEMANDA_CONTRATADA_P]]),"")</f>
        <v>0.86278571428571438</v>
      </c>
      <c r="AH37" s="28">
        <f>IFERROR(IF(Dados_SA[[#This Row],[DEMANDA_REGISTRADA_FP]]/Dados_SA[[#This Row],[DEMANDA_CONTRATADA_FP]]=0,"",Dados_SA[[#This Row],[DEMANDA_REGISTRADA_FP]]/Dados_SA[[#This Row],[DEMANDA_CONTRATADA_FP]]),"")</f>
        <v>1.0194285714285714</v>
      </c>
      <c r="AI37" s="3">
        <f>IF(Dados_SA[[#This Row],[% Demanda contratada P]]&gt;105%,1,0)</f>
        <v>0</v>
      </c>
      <c r="AJ37" s="3">
        <f>IF(Dados_SA[[#This Row],[% Demanda contratada FP]]&gt;105%,1,0)</f>
        <v>0</v>
      </c>
      <c r="AK37" s="36">
        <f>Dados_SA[[#This Row],[Acrescimo_Bamar]]/Dados_SA[[#This Row],[Valor da Fatura]]</f>
        <v>0</v>
      </c>
      <c r="AL37" s="36">
        <f>Dados_SA[[#This Row],[Acrescimo_Bverm1]]/Dados_SA[[#This Row],[Valor da Fatura]]</f>
        <v>0.11920933021557167</v>
      </c>
      <c r="AM37" s="36">
        <f>Dados_SA[[#This Row],[Acrescimo_Bverm2]]/Dados_SA[[#This Row],[Valor da Fatura]]</f>
        <v>0</v>
      </c>
      <c r="AN37" s="36">
        <v>1.05</v>
      </c>
      <c r="AO37" s="36">
        <v>1</v>
      </c>
      <c r="AP37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37" s="65">
        <f>IF(Dados_SA[[#This Row],[Exced]]&lt;&gt;"",1,0)</f>
        <v>0</v>
      </c>
      <c r="AR37" s="65">
        <f>AVERAGEIFS(Dados_SA[DEMANDA_REGISTRADA_P],Dados_SA[ANO],2015,Dados_SA[UC],"SA")</f>
        <v>1203.3000000000002</v>
      </c>
      <c r="AS37" s="65">
        <f>AVERAGEIFS(Dados_SA[DEMANDA_REGISTRADA_FP],Dados_SA[ANO],2015,Dados_SA[UC],"SA")</f>
        <v>1321.875</v>
      </c>
      <c r="AT37" s="65">
        <v>501634.58</v>
      </c>
      <c r="AV37"/>
      <c r="AW37"/>
    </row>
    <row r="38" spans="1:49" x14ac:dyDescent="0.2">
      <c r="A38" s="39" t="s">
        <v>66</v>
      </c>
      <c r="B38" s="14">
        <v>43101</v>
      </c>
      <c r="C38" s="2">
        <v>2018</v>
      </c>
      <c r="D38" s="2">
        <v>1</v>
      </c>
      <c r="E38" s="2">
        <v>29</v>
      </c>
      <c r="F38" s="2">
        <v>9.1000000000000004E-3</v>
      </c>
      <c r="G38" s="2">
        <v>4.1599999999999998E-2</v>
      </c>
      <c r="H38" s="2">
        <v>0.18</v>
      </c>
      <c r="I38" s="2">
        <v>1400</v>
      </c>
      <c r="J38" s="2">
        <v>1400</v>
      </c>
      <c r="K38" s="2">
        <v>1106.3</v>
      </c>
      <c r="L38" s="2">
        <v>1342.3</v>
      </c>
      <c r="M38" s="2"/>
      <c r="N38" s="3"/>
      <c r="O38" s="2">
        <v>10.77</v>
      </c>
      <c r="P38" s="2"/>
      <c r="Q38" s="2">
        <v>46514.8</v>
      </c>
      <c r="R38" s="2">
        <v>466741.5</v>
      </c>
      <c r="S38" s="2">
        <v>0.43986999999999998</v>
      </c>
      <c r="T38" s="2">
        <v>3.6769999999999997E-2</v>
      </c>
      <c r="U38" s="2">
        <v>0.34899000000000002</v>
      </c>
      <c r="V38" s="2">
        <v>0.22885</v>
      </c>
      <c r="W38" s="2">
        <v>5790.8</v>
      </c>
      <c r="X38" s="2">
        <v>41235.199999999997</v>
      </c>
      <c r="Y38" s="2"/>
      <c r="Z38" s="2"/>
      <c r="AA38" s="33">
        <v>217087.98</v>
      </c>
      <c r="AB38" s="33">
        <v>513256.3</v>
      </c>
      <c r="AC38" s="33">
        <v>0</v>
      </c>
      <c r="AD38" s="33">
        <v>15650.72</v>
      </c>
      <c r="AE38" s="33"/>
      <c r="AF38" s="16" t="s">
        <v>32</v>
      </c>
      <c r="AG38" s="28">
        <f>IFERROR(IF(Dados_SA[[#This Row],[DEMANDA_REGISTRADA_P]]/Dados_SA[[#This Row],[DEMANDA_CONTRATADA_P]]=0,"",Dados_SA[[#This Row],[DEMANDA_REGISTRADA_P]]/Dados_SA[[#This Row],[DEMANDA_CONTRATADA_P]]),"")</f>
        <v>0.79021428571428565</v>
      </c>
      <c r="AH38" s="28">
        <f>IFERROR(IF(Dados_SA[[#This Row],[DEMANDA_REGISTRADA_FP]]/Dados_SA[[#This Row],[DEMANDA_CONTRATADA_FP]]=0,"",Dados_SA[[#This Row],[DEMANDA_REGISTRADA_FP]]/Dados_SA[[#This Row],[DEMANDA_CONTRATADA_FP]]),"")</f>
        <v>0.95878571428571424</v>
      </c>
      <c r="AI38" s="3">
        <f>IF(Dados_SA[[#This Row],[% Demanda contratada P]]&gt;105%,1,0)</f>
        <v>0</v>
      </c>
      <c r="AJ38" s="3">
        <f>IF(Dados_SA[[#This Row],[% Demanda contratada FP]]&gt;105%,1,0)</f>
        <v>0</v>
      </c>
      <c r="AK38" s="36">
        <f>Dados_SA[[#This Row],[Acrescimo_Bamar]]/Dados_SA[[#This Row],[Valor da Fatura]]</f>
        <v>0</v>
      </c>
      <c r="AL38" s="36">
        <f>Dados_SA[[#This Row],[Acrescimo_Bverm1]]/Dados_SA[[#This Row],[Valor da Fatura]]</f>
        <v>7.2093904047566326E-2</v>
      </c>
      <c r="AM38" s="36">
        <f>Dados_SA[[#This Row],[Acrescimo_Bverm2]]/Dados_SA[[#This Row],[Valor da Fatura]]</f>
        <v>0</v>
      </c>
      <c r="AN38" s="36">
        <v>1.05</v>
      </c>
      <c r="AO38" s="36">
        <v>1</v>
      </c>
      <c r="AP38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38" s="65">
        <f>IF(Dados_SA[[#This Row],[Exced]]&lt;&gt;"",1,0)</f>
        <v>0</v>
      </c>
      <c r="AR38" s="65">
        <f>AVERAGEIFS(Dados_SA[DEMANDA_REGISTRADA_P],Dados_SA[ANO],2015,Dados_SA[UC],"SA")</f>
        <v>1203.3000000000002</v>
      </c>
      <c r="AS38" s="65">
        <f>AVERAGEIFS(Dados_SA[DEMANDA_REGISTRADA_FP],Dados_SA[ANO],2015,Dados_SA[UC],"SA")</f>
        <v>1321.875</v>
      </c>
      <c r="AT38" s="65">
        <v>501634.58</v>
      </c>
      <c r="AV38"/>
      <c r="AW38"/>
    </row>
    <row r="39" spans="1:49" x14ac:dyDescent="0.2">
      <c r="A39" s="39" t="s">
        <v>66</v>
      </c>
      <c r="B39" s="14">
        <v>43102</v>
      </c>
      <c r="C39" s="2">
        <v>2018</v>
      </c>
      <c r="D39" s="2">
        <v>2</v>
      </c>
      <c r="E39" s="2">
        <v>30</v>
      </c>
      <c r="F39" s="2">
        <v>1.0699999999999999E-2</v>
      </c>
      <c r="G39" s="2">
        <v>4.9099999999999998E-2</v>
      </c>
      <c r="H39" s="2">
        <v>0.18</v>
      </c>
      <c r="I39" s="2">
        <v>1400</v>
      </c>
      <c r="J39" s="2">
        <v>1400</v>
      </c>
      <c r="K39" s="2">
        <v>939.1</v>
      </c>
      <c r="L39" s="2">
        <v>1191.0999999999999</v>
      </c>
      <c r="M39" s="2"/>
      <c r="N39" s="3"/>
      <c r="O39" s="2">
        <v>10.77</v>
      </c>
      <c r="P39" s="2"/>
      <c r="Q39" s="2">
        <v>51952.1</v>
      </c>
      <c r="R39" s="2">
        <v>478717.7</v>
      </c>
      <c r="S39" s="2">
        <v>0.43986999999999998</v>
      </c>
      <c r="T39" s="2">
        <v>3.6769999999999997E-2</v>
      </c>
      <c r="U39" s="2">
        <v>0.34899000000000002</v>
      </c>
      <c r="V39" s="2">
        <v>0.22885</v>
      </c>
      <c r="W39" s="2">
        <v>5755.7</v>
      </c>
      <c r="X39" s="2">
        <v>42178.9</v>
      </c>
      <c r="Y39" s="2"/>
      <c r="Z39" s="2"/>
      <c r="AA39" s="33">
        <v>227330</v>
      </c>
      <c r="AB39" s="33">
        <v>530669.80000000005</v>
      </c>
      <c r="AC39" s="33">
        <v>0</v>
      </c>
      <c r="AD39" s="33"/>
      <c r="AE39" s="33"/>
      <c r="AF39" s="16" t="s">
        <v>32</v>
      </c>
      <c r="AG39" s="28">
        <f>IFERROR(IF(Dados_SA[[#This Row],[DEMANDA_REGISTRADA_P]]/Dados_SA[[#This Row],[DEMANDA_CONTRATADA_P]]=0,"",Dados_SA[[#This Row],[DEMANDA_REGISTRADA_P]]/Dados_SA[[#This Row],[DEMANDA_CONTRATADA_P]]),"")</f>
        <v>0.67078571428571432</v>
      </c>
      <c r="AH39" s="28">
        <f>IFERROR(IF(Dados_SA[[#This Row],[DEMANDA_REGISTRADA_FP]]/Dados_SA[[#This Row],[DEMANDA_CONTRATADA_FP]]=0,"",Dados_SA[[#This Row],[DEMANDA_REGISTRADA_FP]]/Dados_SA[[#This Row],[DEMANDA_CONTRATADA_FP]]),"")</f>
        <v>0.85078571428571426</v>
      </c>
      <c r="AI39" s="3">
        <f>IF(Dados_SA[[#This Row],[% Demanda contratada P]]&gt;105%,1,0)</f>
        <v>0</v>
      </c>
      <c r="AJ39" s="3">
        <f>IF(Dados_SA[[#This Row],[% Demanda contratada FP]]&gt;105%,1,0)</f>
        <v>0</v>
      </c>
      <c r="AK39" s="36">
        <f>Dados_SA[[#This Row],[Acrescimo_Bamar]]/Dados_SA[[#This Row],[Valor da Fatura]]</f>
        <v>0</v>
      </c>
      <c r="AL39" s="36">
        <f>Dados_SA[[#This Row],[Acrescimo_Bverm1]]/Dados_SA[[#This Row],[Valor da Fatura]]</f>
        <v>0</v>
      </c>
      <c r="AM39" s="36">
        <f>Dados_SA[[#This Row],[Acrescimo_Bverm2]]/Dados_SA[[#This Row],[Valor da Fatura]]</f>
        <v>0</v>
      </c>
      <c r="AN39" s="36">
        <v>1.05</v>
      </c>
      <c r="AO39" s="36">
        <v>1</v>
      </c>
      <c r="AP39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39" s="65">
        <f>IF(Dados_SA[[#This Row],[Exced]]&lt;&gt;"",1,0)</f>
        <v>0</v>
      </c>
      <c r="AR39" s="65">
        <f>AVERAGEIFS(Dados_SA[DEMANDA_REGISTRADA_P],Dados_SA[ANO],2015,Dados_SA[UC],"SA")</f>
        <v>1203.3000000000002</v>
      </c>
      <c r="AS39" s="65">
        <f>AVERAGEIFS(Dados_SA[DEMANDA_REGISTRADA_FP],Dados_SA[ANO],2015,Dados_SA[UC],"SA")</f>
        <v>1321.875</v>
      </c>
      <c r="AT39" s="65">
        <v>501634.58</v>
      </c>
      <c r="AV39"/>
      <c r="AW39"/>
    </row>
    <row r="40" spans="1:49" x14ac:dyDescent="0.2">
      <c r="A40" s="39" t="s">
        <v>66</v>
      </c>
      <c r="B40" s="14">
        <v>43103</v>
      </c>
      <c r="C40" s="2">
        <v>2018</v>
      </c>
      <c r="D40" s="2">
        <v>3</v>
      </c>
      <c r="E40" s="2">
        <v>28</v>
      </c>
      <c r="F40" s="2">
        <v>1.0200000000000001E-2</v>
      </c>
      <c r="G40" s="2">
        <v>4.6800000000000001E-2</v>
      </c>
      <c r="H40" s="2">
        <v>0.18</v>
      </c>
      <c r="I40" s="2">
        <v>1400</v>
      </c>
      <c r="J40" s="2">
        <v>1400</v>
      </c>
      <c r="K40" s="2">
        <v>1438.1</v>
      </c>
      <c r="L40" s="2">
        <v>1574.2</v>
      </c>
      <c r="M40" s="2"/>
      <c r="N40" s="3"/>
      <c r="O40" s="2">
        <v>10.77</v>
      </c>
      <c r="P40" s="2"/>
      <c r="Q40" s="2">
        <v>55441.3</v>
      </c>
      <c r="R40" s="2">
        <v>480901.1</v>
      </c>
      <c r="S40" s="2">
        <v>0.43986999999999998</v>
      </c>
      <c r="T40" s="2">
        <v>3.6769999999999997E-2</v>
      </c>
      <c r="U40" s="2">
        <v>0.34899000000000002</v>
      </c>
      <c r="V40" s="2">
        <v>0.22885</v>
      </c>
      <c r="W40" s="2">
        <v>8975.2000000000007</v>
      </c>
      <c r="X40" s="2">
        <v>60990.5</v>
      </c>
      <c r="Y40" s="2"/>
      <c r="Z40" s="2"/>
      <c r="AA40" s="33">
        <v>237184.3</v>
      </c>
      <c r="AB40" s="33">
        <v>536342.4</v>
      </c>
      <c r="AC40" s="33">
        <v>0</v>
      </c>
      <c r="AD40" s="33"/>
      <c r="AE40" s="33"/>
      <c r="AF40" s="16" t="s">
        <v>32</v>
      </c>
      <c r="AG40" s="28">
        <f>IFERROR(IF(Dados_SA[[#This Row],[DEMANDA_REGISTRADA_P]]/Dados_SA[[#This Row],[DEMANDA_CONTRATADA_P]]=0,"",Dados_SA[[#This Row],[DEMANDA_REGISTRADA_P]]/Dados_SA[[#This Row],[DEMANDA_CONTRATADA_P]]),"")</f>
        <v>1.0272142857142856</v>
      </c>
      <c r="AH40" s="28">
        <f>IFERROR(IF(Dados_SA[[#This Row],[DEMANDA_REGISTRADA_FP]]/Dados_SA[[#This Row],[DEMANDA_CONTRATADA_FP]]=0,"",Dados_SA[[#This Row],[DEMANDA_REGISTRADA_FP]]/Dados_SA[[#This Row],[DEMANDA_CONTRATADA_FP]]),"")</f>
        <v>1.1244285714285716</v>
      </c>
      <c r="AI40" s="3">
        <f>IF(Dados_SA[[#This Row],[% Demanda contratada P]]&gt;105%,1,0)</f>
        <v>0</v>
      </c>
      <c r="AJ40" s="3">
        <f>IF(Dados_SA[[#This Row],[% Demanda contratada FP]]&gt;105%,1,0)</f>
        <v>1</v>
      </c>
      <c r="AK40" s="36">
        <f>Dados_SA[[#This Row],[Acrescimo_Bamar]]/Dados_SA[[#This Row],[Valor da Fatura]]</f>
        <v>0</v>
      </c>
      <c r="AL40" s="36">
        <f>Dados_SA[[#This Row],[Acrescimo_Bverm1]]/Dados_SA[[#This Row],[Valor da Fatura]]</f>
        <v>0</v>
      </c>
      <c r="AM40" s="36">
        <f>Dados_SA[[#This Row],[Acrescimo_Bverm2]]/Dados_SA[[#This Row],[Valor da Fatura]]</f>
        <v>0</v>
      </c>
      <c r="AN40" s="36">
        <v>1.05</v>
      </c>
      <c r="AO40" s="36">
        <v>1</v>
      </c>
      <c r="AP40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40" s="65">
        <f>IF(Dados_SA[[#This Row],[Exced]]&lt;&gt;"",1,0)</f>
        <v>1</v>
      </c>
      <c r="AR40" s="65">
        <f>AVERAGEIFS(Dados_SA[DEMANDA_REGISTRADA_P],Dados_SA[ANO],2015,Dados_SA[UC],"SA")</f>
        <v>1203.3000000000002</v>
      </c>
      <c r="AS40" s="65">
        <f>AVERAGEIFS(Dados_SA[DEMANDA_REGISTRADA_FP],Dados_SA[ANO],2015,Dados_SA[UC],"SA")</f>
        <v>1321.875</v>
      </c>
      <c r="AT40" s="65">
        <v>501634.58</v>
      </c>
      <c r="AV40"/>
      <c r="AW40"/>
    </row>
    <row r="41" spans="1:49" x14ac:dyDescent="0.2">
      <c r="A41" s="39" t="s">
        <v>66</v>
      </c>
      <c r="B41" s="14">
        <v>43104</v>
      </c>
      <c r="C41" s="2">
        <v>2018</v>
      </c>
      <c r="D41" s="2">
        <v>4</v>
      </c>
      <c r="E41" s="2">
        <v>32</v>
      </c>
      <c r="F41" s="2">
        <v>8.0000000000000002E-3</v>
      </c>
      <c r="G41" s="2">
        <v>3.7100000000000001E-2</v>
      </c>
      <c r="H41" s="2">
        <v>0.18</v>
      </c>
      <c r="I41" s="2">
        <v>1400</v>
      </c>
      <c r="J41" s="2">
        <v>1400</v>
      </c>
      <c r="K41" s="2">
        <v>1278.5</v>
      </c>
      <c r="L41" s="2">
        <v>1395.2</v>
      </c>
      <c r="M41" s="2"/>
      <c r="N41" s="3"/>
      <c r="O41" s="2">
        <v>10.77</v>
      </c>
      <c r="P41" s="2"/>
      <c r="Q41" s="2">
        <v>84936.2</v>
      </c>
      <c r="R41" s="2">
        <v>629192.69999999995</v>
      </c>
      <c r="S41" s="2">
        <v>0.43986999999999998</v>
      </c>
      <c r="T41" s="2">
        <v>3.6769999999999997E-2</v>
      </c>
      <c r="U41" s="2">
        <v>0.34899000000000002</v>
      </c>
      <c r="V41" s="2">
        <v>0.22885</v>
      </c>
      <c r="W41" s="2">
        <v>17125.099999999999</v>
      </c>
      <c r="X41" s="2">
        <v>99353.8</v>
      </c>
      <c r="Y41" s="2"/>
      <c r="Z41" s="2"/>
      <c r="AA41" s="33">
        <v>302834.68</v>
      </c>
      <c r="AB41" s="33">
        <v>714128.9</v>
      </c>
      <c r="AC41" s="33">
        <v>0</v>
      </c>
      <c r="AD41" s="33"/>
      <c r="AE41" s="33"/>
      <c r="AF41" s="16" t="s">
        <v>32</v>
      </c>
      <c r="AG41" s="28">
        <f>IFERROR(IF(Dados_SA[[#This Row],[DEMANDA_REGISTRADA_P]]/Dados_SA[[#This Row],[DEMANDA_CONTRATADA_P]]=0,"",Dados_SA[[#This Row],[DEMANDA_REGISTRADA_P]]/Dados_SA[[#This Row],[DEMANDA_CONTRATADA_P]]),"")</f>
        <v>0.91321428571428576</v>
      </c>
      <c r="AH41" s="28">
        <f>IFERROR(IF(Dados_SA[[#This Row],[DEMANDA_REGISTRADA_FP]]/Dados_SA[[#This Row],[DEMANDA_CONTRATADA_FP]]=0,"",Dados_SA[[#This Row],[DEMANDA_REGISTRADA_FP]]/Dados_SA[[#This Row],[DEMANDA_CONTRATADA_FP]]),"")</f>
        <v>0.99657142857142855</v>
      </c>
      <c r="AI41" s="3">
        <f>IF(Dados_SA[[#This Row],[% Demanda contratada P]]&gt;105%,1,0)</f>
        <v>0</v>
      </c>
      <c r="AJ41" s="3">
        <f>IF(Dados_SA[[#This Row],[% Demanda contratada FP]]&gt;105%,1,0)</f>
        <v>0</v>
      </c>
      <c r="AK41" s="36">
        <f>Dados_SA[[#This Row],[Acrescimo_Bamar]]/Dados_SA[[#This Row],[Valor da Fatura]]</f>
        <v>0</v>
      </c>
      <c r="AL41" s="36">
        <f>Dados_SA[[#This Row],[Acrescimo_Bverm1]]/Dados_SA[[#This Row],[Valor da Fatura]]</f>
        <v>0</v>
      </c>
      <c r="AM41" s="36">
        <f>Dados_SA[[#This Row],[Acrescimo_Bverm2]]/Dados_SA[[#This Row],[Valor da Fatura]]</f>
        <v>0</v>
      </c>
      <c r="AN41" s="36">
        <v>1.05</v>
      </c>
      <c r="AO41" s="36">
        <v>1</v>
      </c>
      <c r="AP41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41" s="65">
        <f>IF(Dados_SA[[#This Row],[Exced]]&lt;&gt;"",1,0)</f>
        <v>0</v>
      </c>
      <c r="AR41" s="65">
        <f>AVERAGEIFS(Dados_SA[DEMANDA_REGISTRADA_P],Dados_SA[ANO],2015,Dados_SA[UC],"SA")</f>
        <v>1203.3000000000002</v>
      </c>
      <c r="AS41" s="65">
        <f>AVERAGEIFS(Dados_SA[DEMANDA_REGISTRADA_FP],Dados_SA[ANO],2015,Dados_SA[UC],"SA")</f>
        <v>1321.875</v>
      </c>
      <c r="AT41" s="65">
        <v>501634.58</v>
      </c>
      <c r="AV41"/>
      <c r="AW41"/>
    </row>
    <row r="42" spans="1:49" x14ac:dyDescent="0.2">
      <c r="A42" s="39" t="s">
        <v>66</v>
      </c>
      <c r="B42" s="14">
        <v>43105</v>
      </c>
      <c r="C42" s="2">
        <v>2018</v>
      </c>
      <c r="D42" s="2">
        <v>5</v>
      </c>
      <c r="E42" s="2">
        <v>30</v>
      </c>
      <c r="F42" s="2">
        <v>8.9999999999999993E-3</v>
      </c>
      <c r="G42" s="2">
        <v>4.1200000000000001E-2</v>
      </c>
      <c r="H42" s="2">
        <v>0.18</v>
      </c>
      <c r="I42" s="2">
        <v>1400</v>
      </c>
      <c r="J42" s="2">
        <v>1400</v>
      </c>
      <c r="K42" s="2">
        <v>1370</v>
      </c>
      <c r="L42" s="2">
        <v>1450.7</v>
      </c>
      <c r="M42" s="2"/>
      <c r="N42" s="3"/>
      <c r="O42" s="2">
        <v>10.77</v>
      </c>
      <c r="P42" s="2"/>
      <c r="Q42" s="2">
        <v>67031.8</v>
      </c>
      <c r="R42" s="2">
        <v>519119.5</v>
      </c>
      <c r="S42" s="2">
        <v>0.43986999999999998</v>
      </c>
      <c r="T42" s="2">
        <v>3.6769999999999997E-2</v>
      </c>
      <c r="U42" s="2">
        <v>0.34899000000000002</v>
      </c>
      <c r="V42" s="2">
        <v>0.22885</v>
      </c>
      <c r="W42" s="2">
        <v>11008.6</v>
      </c>
      <c r="X42" s="2">
        <v>66379.100000000006</v>
      </c>
      <c r="Y42" s="2"/>
      <c r="Z42" s="2"/>
      <c r="AA42" s="33">
        <v>253189.61</v>
      </c>
      <c r="AB42" s="33">
        <v>586151.30000000005</v>
      </c>
      <c r="AC42" s="33">
        <v>723.2</v>
      </c>
      <c r="AD42" s="33"/>
      <c r="AE42" s="33"/>
      <c r="AF42" s="16" t="s">
        <v>32</v>
      </c>
      <c r="AG42" s="28">
        <f>IFERROR(IF(Dados_SA[[#This Row],[DEMANDA_REGISTRADA_P]]/Dados_SA[[#This Row],[DEMANDA_CONTRATADA_P]]=0,"",Dados_SA[[#This Row],[DEMANDA_REGISTRADA_P]]/Dados_SA[[#This Row],[DEMANDA_CONTRATADA_P]]),"")</f>
        <v>0.97857142857142854</v>
      </c>
      <c r="AH42" s="28">
        <f>IFERROR(IF(Dados_SA[[#This Row],[DEMANDA_REGISTRADA_FP]]/Dados_SA[[#This Row],[DEMANDA_CONTRATADA_FP]]=0,"",Dados_SA[[#This Row],[DEMANDA_REGISTRADA_FP]]/Dados_SA[[#This Row],[DEMANDA_CONTRATADA_FP]]),"")</f>
        <v>1.0362142857142858</v>
      </c>
      <c r="AI42" s="3">
        <f>IF(Dados_SA[[#This Row],[% Demanda contratada P]]&gt;105%,1,0)</f>
        <v>0</v>
      </c>
      <c r="AJ42" s="3">
        <f>IF(Dados_SA[[#This Row],[% Demanda contratada FP]]&gt;105%,1,0)</f>
        <v>0</v>
      </c>
      <c r="AK42" s="36">
        <f>Dados_SA[[#This Row],[Acrescimo_Bamar]]/Dados_SA[[#This Row],[Valor da Fatura]]</f>
        <v>2.8563573363061781E-3</v>
      </c>
      <c r="AL42" s="36">
        <f>Dados_SA[[#This Row],[Acrescimo_Bverm1]]/Dados_SA[[#This Row],[Valor da Fatura]]</f>
        <v>0</v>
      </c>
      <c r="AM42" s="36">
        <f>Dados_SA[[#This Row],[Acrescimo_Bverm2]]/Dados_SA[[#This Row],[Valor da Fatura]]</f>
        <v>0</v>
      </c>
      <c r="AN42" s="36">
        <v>1.05</v>
      </c>
      <c r="AO42" s="36">
        <v>1</v>
      </c>
      <c r="AP42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42" s="65">
        <f>IF(Dados_SA[[#This Row],[Exced]]&lt;&gt;"",1,0)</f>
        <v>0</v>
      </c>
      <c r="AR42" s="65">
        <f>AVERAGEIFS(Dados_SA[DEMANDA_REGISTRADA_P],Dados_SA[ANO],2015,Dados_SA[UC],"SA")</f>
        <v>1203.3000000000002</v>
      </c>
      <c r="AS42" s="65">
        <f>AVERAGEIFS(Dados_SA[DEMANDA_REGISTRADA_FP],Dados_SA[ANO],2015,Dados_SA[UC],"SA")</f>
        <v>1321.875</v>
      </c>
      <c r="AT42" s="65">
        <v>501634.58</v>
      </c>
      <c r="AV42"/>
      <c r="AW42"/>
    </row>
    <row r="43" spans="1:49" x14ac:dyDescent="0.2">
      <c r="A43" s="39" t="s">
        <v>66</v>
      </c>
      <c r="B43" s="14">
        <v>43106</v>
      </c>
      <c r="C43" s="2">
        <v>2018</v>
      </c>
      <c r="D43" s="2">
        <v>6</v>
      </c>
      <c r="E43" s="2">
        <v>32</v>
      </c>
      <c r="F43" s="2">
        <v>5.7999999999999996E-3</v>
      </c>
      <c r="G43" s="2">
        <v>2.69E-2</v>
      </c>
      <c r="H43" s="2">
        <v>0.18</v>
      </c>
      <c r="I43" s="2">
        <v>1400</v>
      </c>
      <c r="J43" s="2">
        <v>1400</v>
      </c>
      <c r="K43" s="2">
        <v>1199.5</v>
      </c>
      <c r="L43" s="2">
        <v>1238.2</v>
      </c>
      <c r="M43" s="2"/>
      <c r="N43" s="3"/>
      <c r="O43" s="2">
        <v>10.77</v>
      </c>
      <c r="P43" s="2"/>
      <c r="Q43" s="2">
        <v>60678</v>
      </c>
      <c r="R43" s="2">
        <v>467907.5</v>
      </c>
      <c r="S43" s="2">
        <v>0.43986999999999998</v>
      </c>
      <c r="T43" s="2">
        <v>3.6769999999999997E-2</v>
      </c>
      <c r="U43" s="2">
        <v>0.34899000000000002</v>
      </c>
      <c r="V43" s="2">
        <v>0.22885</v>
      </c>
      <c r="W43" s="2">
        <v>6878.8</v>
      </c>
      <c r="X43" s="2">
        <v>39115.699999999997</v>
      </c>
      <c r="Y43" s="2"/>
      <c r="Z43" s="2"/>
      <c r="AA43" s="33">
        <v>232041.39</v>
      </c>
      <c r="AB43" s="33">
        <v>528585.5</v>
      </c>
      <c r="AC43" s="33">
        <v>6039.03</v>
      </c>
      <c r="AD43" s="33">
        <v>2276.56</v>
      </c>
      <c r="AE43" s="33"/>
      <c r="AF43" s="16" t="s">
        <v>32</v>
      </c>
      <c r="AG43" s="28">
        <f>IFERROR(IF(Dados_SA[[#This Row],[DEMANDA_REGISTRADA_P]]/Dados_SA[[#This Row],[DEMANDA_CONTRATADA_P]]=0,"",Dados_SA[[#This Row],[DEMANDA_REGISTRADA_P]]/Dados_SA[[#This Row],[DEMANDA_CONTRATADA_P]]),"")</f>
        <v>0.85678571428571426</v>
      </c>
      <c r="AH43" s="28">
        <f>IFERROR(IF(Dados_SA[[#This Row],[DEMANDA_REGISTRADA_FP]]/Dados_SA[[#This Row],[DEMANDA_CONTRATADA_FP]]=0,"",Dados_SA[[#This Row],[DEMANDA_REGISTRADA_FP]]/Dados_SA[[#This Row],[DEMANDA_CONTRATADA_FP]]),"")</f>
        <v>0.88442857142857145</v>
      </c>
      <c r="AI43" s="3">
        <f>IF(Dados_SA[[#This Row],[% Demanda contratada P]]&gt;105%,1,0)</f>
        <v>0</v>
      </c>
      <c r="AJ43" s="3">
        <f>IF(Dados_SA[[#This Row],[% Demanda contratada FP]]&gt;105%,1,0)</f>
        <v>0</v>
      </c>
      <c r="AK43" s="36">
        <f>Dados_SA[[#This Row],[Acrescimo_Bamar]]/Dados_SA[[#This Row],[Valor da Fatura]]</f>
        <v>2.6025658612026069E-2</v>
      </c>
      <c r="AL43" s="36">
        <f>Dados_SA[[#This Row],[Acrescimo_Bverm1]]/Dados_SA[[#This Row],[Valor da Fatura]]</f>
        <v>9.8110082860648259E-3</v>
      </c>
      <c r="AM43" s="36">
        <f>Dados_SA[[#This Row],[Acrescimo_Bverm2]]/Dados_SA[[#This Row],[Valor da Fatura]]</f>
        <v>0</v>
      </c>
      <c r="AN43" s="36">
        <v>1.05</v>
      </c>
      <c r="AO43" s="36">
        <v>1</v>
      </c>
      <c r="AP43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43" s="65">
        <f>IF(Dados_SA[[#This Row],[Exced]]&lt;&gt;"",1,0)</f>
        <v>0</v>
      </c>
      <c r="AR43" s="65">
        <f>AVERAGEIFS(Dados_SA[DEMANDA_REGISTRADA_P],Dados_SA[ANO],2015,Dados_SA[UC],"SA")</f>
        <v>1203.3000000000002</v>
      </c>
      <c r="AS43" s="65">
        <f>AVERAGEIFS(Dados_SA[DEMANDA_REGISTRADA_FP],Dados_SA[ANO],2015,Dados_SA[UC],"SA")</f>
        <v>1321.875</v>
      </c>
      <c r="AT43" s="65">
        <v>501634.58</v>
      </c>
      <c r="AV43"/>
      <c r="AW43"/>
    </row>
    <row r="44" spans="1:49" x14ac:dyDescent="0.2">
      <c r="A44" s="39" t="s">
        <v>66</v>
      </c>
      <c r="B44" s="14">
        <v>43107</v>
      </c>
      <c r="C44" s="2">
        <v>2018</v>
      </c>
      <c r="D44" s="2">
        <v>7</v>
      </c>
      <c r="E44" s="2">
        <v>29</v>
      </c>
      <c r="F44" s="2">
        <v>6.3E-3</v>
      </c>
      <c r="G44" s="2">
        <v>2.92E-2</v>
      </c>
      <c r="H44" s="2">
        <v>0.18</v>
      </c>
      <c r="I44" s="2">
        <v>1400</v>
      </c>
      <c r="J44" s="2">
        <v>1400</v>
      </c>
      <c r="K44" s="2">
        <v>1180.2</v>
      </c>
      <c r="L44" s="2">
        <v>1176</v>
      </c>
      <c r="M44" s="2"/>
      <c r="N44" s="3"/>
      <c r="O44" s="2">
        <v>10.77</v>
      </c>
      <c r="P44" s="2"/>
      <c r="Q44" s="2">
        <v>60880.1</v>
      </c>
      <c r="R44" s="2">
        <v>431640.8</v>
      </c>
      <c r="S44" s="2">
        <v>0.43986999999999998</v>
      </c>
      <c r="T44" s="2">
        <v>3.6769999999999997E-2</v>
      </c>
      <c r="U44" s="2">
        <v>0.34899000000000002</v>
      </c>
      <c r="V44" s="2">
        <v>0.22885</v>
      </c>
      <c r="W44" s="2">
        <v>5293.1</v>
      </c>
      <c r="X44" s="2">
        <v>27310.3</v>
      </c>
      <c r="Y44" s="2"/>
      <c r="Z44" s="2"/>
      <c r="AA44" s="33">
        <v>242930.02</v>
      </c>
      <c r="AB44" s="33">
        <v>492520.9</v>
      </c>
      <c r="AC44" s="33"/>
      <c r="AD44" s="33">
        <v>30270.36</v>
      </c>
      <c r="AE44" s="33"/>
      <c r="AF44" s="16" t="s">
        <v>32</v>
      </c>
      <c r="AG44" s="28">
        <f>IFERROR(IF(Dados_SA[[#This Row],[DEMANDA_REGISTRADA_P]]/Dados_SA[[#This Row],[DEMANDA_CONTRATADA_P]]=0,"",Dados_SA[[#This Row],[DEMANDA_REGISTRADA_P]]/Dados_SA[[#This Row],[DEMANDA_CONTRATADA_P]]),"")</f>
        <v>0.84300000000000008</v>
      </c>
      <c r="AH44" s="28">
        <f>IFERROR(IF(Dados_SA[[#This Row],[DEMANDA_REGISTRADA_FP]]/Dados_SA[[#This Row],[DEMANDA_CONTRATADA_FP]]=0,"",Dados_SA[[#This Row],[DEMANDA_REGISTRADA_FP]]/Dados_SA[[#This Row],[DEMANDA_CONTRATADA_FP]]),"")</f>
        <v>0.84</v>
      </c>
      <c r="AI44" s="3">
        <f>IF(Dados_SA[[#This Row],[% Demanda contratada P]]&gt;105%,1,0)</f>
        <v>0</v>
      </c>
      <c r="AJ44" s="3">
        <f>IF(Dados_SA[[#This Row],[% Demanda contratada FP]]&gt;105%,1,0)</f>
        <v>0</v>
      </c>
      <c r="AK44" s="36">
        <f>Dados_SA[[#This Row],[Acrescimo_Bamar]]/Dados_SA[[#This Row],[Valor da Fatura]]</f>
        <v>0</v>
      </c>
      <c r="AL44" s="36">
        <f>Dados_SA[[#This Row],[Acrescimo_Bverm1]]/Dados_SA[[#This Row],[Valor da Fatura]]</f>
        <v>0.12460526698182466</v>
      </c>
      <c r="AM44" s="36">
        <f>Dados_SA[[#This Row],[Acrescimo_Bverm2]]/Dados_SA[[#This Row],[Valor da Fatura]]</f>
        <v>0</v>
      </c>
      <c r="AN44" s="36">
        <v>1.05</v>
      </c>
      <c r="AO44" s="36">
        <v>1</v>
      </c>
      <c r="AP44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44" s="65">
        <f>IF(Dados_SA[[#This Row],[Exced]]&lt;&gt;"",1,0)</f>
        <v>0</v>
      </c>
      <c r="AR44" s="65">
        <f>AVERAGEIFS(Dados_SA[DEMANDA_REGISTRADA_P],Dados_SA[ANO],2015,Dados_SA[UC],"SA")</f>
        <v>1203.3000000000002</v>
      </c>
      <c r="AS44" s="65">
        <f>AVERAGEIFS(Dados_SA[DEMANDA_REGISTRADA_FP],Dados_SA[ANO],2015,Dados_SA[UC],"SA")</f>
        <v>1321.875</v>
      </c>
      <c r="AT44" s="65">
        <v>501634.58</v>
      </c>
      <c r="AV44"/>
      <c r="AW44"/>
    </row>
    <row r="45" spans="1:49" x14ac:dyDescent="0.2">
      <c r="A45" s="39" t="s">
        <v>66</v>
      </c>
      <c r="B45" s="14">
        <v>43108</v>
      </c>
      <c r="C45" s="2">
        <v>2018</v>
      </c>
      <c r="D45" s="2">
        <v>8</v>
      </c>
      <c r="E45" s="2">
        <v>31</v>
      </c>
      <c r="F45" s="2">
        <v>5.8999999999999999E-3</v>
      </c>
      <c r="G45" s="2">
        <v>2.7199999999999998E-2</v>
      </c>
      <c r="H45" s="2">
        <v>0.18</v>
      </c>
      <c r="I45" s="2">
        <v>1400</v>
      </c>
      <c r="J45" s="2">
        <v>1400</v>
      </c>
      <c r="K45" s="2">
        <v>1160.9000000000001</v>
      </c>
      <c r="L45" s="2">
        <v>1186.9000000000001</v>
      </c>
      <c r="M45" s="2"/>
      <c r="N45" s="3"/>
      <c r="O45" s="2">
        <v>11.17</v>
      </c>
      <c r="P45" s="2"/>
      <c r="Q45" s="2">
        <v>62498.7</v>
      </c>
      <c r="R45" s="2">
        <v>442960.1</v>
      </c>
      <c r="S45" s="2">
        <v>0.47503000000000001</v>
      </c>
      <c r="T45" s="2">
        <v>5.7279999999999998E-2</v>
      </c>
      <c r="U45" s="2">
        <v>0.41154000000000002</v>
      </c>
      <c r="V45" s="2">
        <v>0.25807999999999998</v>
      </c>
      <c r="W45" s="2">
        <v>6362.6</v>
      </c>
      <c r="X45" s="2">
        <v>36031.599999999999</v>
      </c>
      <c r="Y45" s="2"/>
      <c r="Z45" s="2"/>
      <c r="AA45" s="33">
        <v>282517.84999999998</v>
      </c>
      <c r="AB45" s="33">
        <v>505458.8</v>
      </c>
      <c r="AC45" s="33"/>
      <c r="AD45" s="33">
        <v>31054</v>
      </c>
      <c r="AE45" s="33"/>
      <c r="AF45" s="16" t="s">
        <v>32</v>
      </c>
      <c r="AG45" s="28">
        <f>IFERROR(IF(Dados_SA[[#This Row],[DEMANDA_REGISTRADA_P]]/Dados_SA[[#This Row],[DEMANDA_CONTRATADA_P]]=0,"",Dados_SA[[#This Row],[DEMANDA_REGISTRADA_P]]/Dados_SA[[#This Row],[DEMANDA_CONTRATADA_P]]),"")</f>
        <v>0.82921428571428579</v>
      </c>
      <c r="AH45" s="28">
        <f>IFERROR(IF(Dados_SA[[#This Row],[DEMANDA_REGISTRADA_FP]]/Dados_SA[[#This Row],[DEMANDA_CONTRATADA_FP]]=0,"",Dados_SA[[#This Row],[DEMANDA_REGISTRADA_FP]]/Dados_SA[[#This Row],[DEMANDA_CONTRATADA_FP]]),"")</f>
        <v>0.84778571428571436</v>
      </c>
      <c r="AI45" s="3">
        <f>IF(Dados_SA[[#This Row],[% Demanda contratada P]]&gt;105%,1,0)</f>
        <v>0</v>
      </c>
      <c r="AJ45" s="3">
        <f>IF(Dados_SA[[#This Row],[% Demanda contratada FP]]&gt;105%,1,0)</f>
        <v>0</v>
      </c>
      <c r="AK45" s="36">
        <f>Dados_SA[[#This Row],[Acrescimo_Bamar]]/Dados_SA[[#This Row],[Valor da Fatura]]</f>
        <v>0</v>
      </c>
      <c r="AL45" s="36">
        <f>Dados_SA[[#This Row],[Acrescimo_Bverm1]]/Dados_SA[[#This Row],[Valor da Fatura]]</f>
        <v>0.10991871841018187</v>
      </c>
      <c r="AM45" s="36">
        <f>Dados_SA[[#This Row],[Acrescimo_Bverm2]]/Dados_SA[[#This Row],[Valor da Fatura]]</f>
        <v>0</v>
      </c>
      <c r="AN45" s="36">
        <v>1.05</v>
      </c>
      <c r="AO45" s="36">
        <v>1</v>
      </c>
      <c r="AP45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45" s="65">
        <f>IF(Dados_SA[[#This Row],[Exced]]&lt;&gt;"",1,0)</f>
        <v>0</v>
      </c>
      <c r="AR45" s="65">
        <f>AVERAGEIFS(Dados_SA[DEMANDA_REGISTRADA_P],Dados_SA[ANO],2015,Dados_SA[UC],"SA")</f>
        <v>1203.3000000000002</v>
      </c>
      <c r="AS45" s="65">
        <f>AVERAGEIFS(Dados_SA[DEMANDA_REGISTRADA_FP],Dados_SA[ANO],2015,Dados_SA[UC],"SA")</f>
        <v>1321.875</v>
      </c>
      <c r="AT45" s="65">
        <v>501634.58</v>
      </c>
      <c r="AV45"/>
      <c r="AW45"/>
    </row>
    <row r="46" spans="1:49" x14ac:dyDescent="0.2">
      <c r="A46" s="39" t="s">
        <v>66</v>
      </c>
      <c r="B46" s="14">
        <v>43109</v>
      </c>
      <c r="C46" s="2">
        <v>2018</v>
      </c>
      <c r="D46" s="2">
        <v>9</v>
      </c>
      <c r="E46" s="2">
        <v>32</v>
      </c>
      <c r="F46" s="2">
        <v>8.9999999999999993E-3</v>
      </c>
      <c r="G46" s="2">
        <v>4.1399999999999999E-2</v>
      </c>
      <c r="H46" s="2">
        <v>0.18</v>
      </c>
      <c r="I46" s="2">
        <v>1400</v>
      </c>
      <c r="J46" s="2">
        <v>1400</v>
      </c>
      <c r="K46" s="2">
        <v>1087.8</v>
      </c>
      <c r="L46" s="2">
        <v>1116.4000000000001</v>
      </c>
      <c r="M46" s="2"/>
      <c r="N46" s="3"/>
      <c r="O46" s="2">
        <v>11.17</v>
      </c>
      <c r="P46" s="2"/>
      <c r="Q46" s="2">
        <v>58810.3</v>
      </c>
      <c r="R46" s="2">
        <v>438786.6</v>
      </c>
      <c r="S46" s="2">
        <v>0.47503000000000001</v>
      </c>
      <c r="T46" s="2">
        <v>5.7279999999999998E-2</v>
      </c>
      <c r="U46" s="2">
        <v>0.41154000000000002</v>
      </c>
      <c r="V46" s="2">
        <v>0.25807999999999998</v>
      </c>
      <c r="W46" s="2">
        <v>4196.3999999999996</v>
      </c>
      <c r="X46" s="2">
        <v>27751.1</v>
      </c>
      <c r="Y46" s="2"/>
      <c r="Z46" s="2"/>
      <c r="AA46" s="33">
        <v>282682.28000000003</v>
      </c>
      <c r="AB46" s="33">
        <v>497596.9</v>
      </c>
      <c r="AC46" s="33"/>
      <c r="AD46" s="33">
        <v>30698.92</v>
      </c>
      <c r="AE46" s="33"/>
      <c r="AF46" s="16" t="s">
        <v>32</v>
      </c>
      <c r="AG46" s="28">
        <f>IFERROR(IF(Dados_SA[[#This Row],[DEMANDA_REGISTRADA_P]]/Dados_SA[[#This Row],[DEMANDA_CONTRATADA_P]]=0,"",Dados_SA[[#This Row],[DEMANDA_REGISTRADA_P]]/Dados_SA[[#This Row],[DEMANDA_CONTRATADA_P]]),"")</f>
        <v>0.77699999999999991</v>
      </c>
      <c r="AH46" s="28">
        <f>IFERROR(IF(Dados_SA[[#This Row],[DEMANDA_REGISTRADA_FP]]/Dados_SA[[#This Row],[DEMANDA_CONTRATADA_FP]]=0,"",Dados_SA[[#This Row],[DEMANDA_REGISTRADA_FP]]/Dados_SA[[#This Row],[DEMANDA_CONTRATADA_FP]]),"")</f>
        <v>0.79742857142857149</v>
      </c>
      <c r="AI46" s="3">
        <f>IF(Dados_SA[[#This Row],[% Demanda contratada P]]&gt;105%,1,0)</f>
        <v>0</v>
      </c>
      <c r="AJ46" s="3">
        <f>IF(Dados_SA[[#This Row],[% Demanda contratada FP]]&gt;105%,1,0)</f>
        <v>0</v>
      </c>
      <c r="AK46" s="36">
        <f>Dados_SA[[#This Row],[Acrescimo_Bamar]]/Dados_SA[[#This Row],[Valor da Fatura]]</f>
        <v>0</v>
      </c>
      <c r="AL46" s="36">
        <f>Dados_SA[[#This Row],[Acrescimo_Bverm1]]/Dados_SA[[#This Row],[Valor da Fatura]]</f>
        <v>0.10859867127150663</v>
      </c>
      <c r="AM46" s="36">
        <f>Dados_SA[[#This Row],[Acrescimo_Bverm2]]/Dados_SA[[#This Row],[Valor da Fatura]]</f>
        <v>0</v>
      </c>
      <c r="AN46" s="36">
        <v>1.05</v>
      </c>
      <c r="AO46" s="36">
        <v>1</v>
      </c>
      <c r="AP46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46" s="65">
        <f>IF(Dados_SA[[#This Row],[Exced]]&lt;&gt;"",1,0)</f>
        <v>0</v>
      </c>
      <c r="AR46" s="65">
        <f>AVERAGEIFS(Dados_SA[DEMANDA_REGISTRADA_P],Dados_SA[ANO],2015,Dados_SA[UC],"SA")</f>
        <v>1203.3000000000002</v>
      </c>
      <c r="AS46" s="65">
        <f>AVERAGEIFS(Dados_SA[DEMANDA_REGISTRADA_FP],Dados_SA[ANO],2015,Dados_SA[UC],"SA")</f>
        <v>1321.875</v>
      </c>
      <c r="AT46" s="65">
        <v>501634.58</v>
      </c>
      <c r="AV46"/>
      <c r="AW46"/>
    </row>
    <row r="47" spans="1:49" x14ac:dyDescent="0.2">
      <c r="A47" s="39" t="s">
        <v>66</v>
      </c>
      <c r="B47" s="14">
        <v>43110</v>
      </c>
      <c r="C47" s="2">
        <v>2018</v>
      </c>
      <c r="D47" s="2">
        <v>10</v>
      </c>
      <c r="E47" s="2">
        <v>29</v>
      </c>
      <c r="F47" s="2">
        <v>9.2999999999999992E-3</v>
      </c>
      <c r="G47" s="2">
        <v>4.2599999999999999E-2</v>
      </c>
      <c r="H47" s="2">
        <v>0.18</v>
      </c>
      <c r="I47" s="2">
        <v>1400</v>
      </c>
      <c r="J47" s="2">
        <v>1400</v>
      </c>
      <c r="K47" s="2">
        <v>1310.4000000000001</v>
      </c>
      <c r="L47" s="2">
        <v>1423.8</v>
      </c>
      <c r="M47" s="2"/>
      <c r="N47" s="3"/>
      <c r="O47" s="2">
        <v>11.17</v>
      </c>
      <c r="P47" s="2"/>
      <c r="Q47" s="2">
        <v>67688.5</v>
      </c>
      <c r="R47" s="2">
        <v>498665.6</v>
      </c>
      <c r="S47" s="2">
        <v>0.47503000000000001</v>
      </c>
      <c r="T47" s="2">
        <v>5.7279999999999998E-2</v>
      </c>
      <c r="U47" s="2">
        <v>0.41154000000000002</v>
      </c>
      <c r="V47" s="2">
        <v>0.25807999999999998</v>
      </c>
      <c r="W47" s="2">
        <v>7754</v>
      </c>
      <c r="X47" s="2">
        <v>40195.1</v>
      </c>
      <c r="Y47" s="2"/>
      <c r="Z47" s="2"/>
      <c r="AA47" s="33">
        <v>320561.5</v>
      </c>
      <c r="AB47" s="33">
        <v>566354.1</v>
      </c>
      <c r="AC47" s="33"/>
      <c r="AD47" s="33">
        <v>34953.78</v>
      </c>
      <c r="AE47" s="33"/>
      <c r="AF47" s="16" t="s">
        <v>32</v>
      </c>
      <c r="AG47" s="28">
        <f>IFERROR(IF(Dados_SA[[#This Row],[DEMANDA_REGISTRADA_P]]/Dados_SA[[#This Row],[DEMANDA_CONTRATADA_P]]=0,"",Dados_SA[[#This Row],[DEMANDA_REGISTRADA_P]]/Dados_SA[[#This Row],[DEMANDA_CONTRATADA_P]]),"")</f>
        <v>0.93600000000000005</v>
      </c>
      <c r="AH47" s="28">
        <f>IFERROR(IF(Dados_SA[[#This Row],[DEMANDA_REGISTRADA_FP]]/Dados_SA[[#This Row],[DEMANDA_CONTRATADA_FP]]=0,"",Dados_SA[[#This Row],[DEMANDA_REGISTRADA_FP]]/Dados_SA[[#This Row],[DEMANDA_CONTRATADA_FP]]),"")</f>
        <v>1.0169999999999999</v>
      </c>
      <c r="AI47" s="3">
        <f>IF(Dados_SA[[#This Row],[% Demanda contratada P]]&gt;105%,1,0)</f>
        <v>0</v>
      </c>
      <c r="AJ47" s="3">
        <f>IF(Dados_SA[[#This Row],[% Demanda contratada FP]]&gt;105%,1,0)</f>
        <v>0</v>
      </c>
      <c r="AK47" s="36">
        <f>Dados_SA[[#This Row],[Acrescimo_Bamar]]/Dados_SA[[#This Row],[Valor da Fatura]]</f>
        <v>0</v>
      </c>
      <c r="AL47" s="36">
        <f>Dados_SA[[#This Row],[Acrescimo_Bverm1]]/Dados_SA[[#This Row],[Valor da Fatura]]</f>
        <v>0.10903923272133428</v>
      </c>
      <c r="AM47" s="36">
        <f>Dados_SA[[#This Row],[Acrescimo_Bverm2]]/Dados_SA[[#This Row],[Valor da Fatura]]</f>
        <v>0</v>
      </c>
      <c r="AN47" s="36">
        <v>1.05</v>
      </c>
      <c r="AO47" s="36">
        <v>1</v>
      </c>
      <c r="AP47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47" s="65">
        <f>IF(Dados_SA[[#This Row],[Exced]]&lt;&gt;"",1,0)</f>
        <v>0</v>
      </c>
      <c r="AR47" s="65">
        <f>AVERAGEIFS(Dados_SA[DEMANDA_REGISTRADA_P],Dados_SA[ANO],2015,Dados_SA[UC],"SA")</f>
        <v>1203.3000000000002</v>
      </c>
      <c r="AS47" s="65">
        <f>AVERAGEIFS(Dados_SA[DEMANDA_REGISTRADA_FP],Dados_SA[ANO],2015,Dados_SA[UC],"SA")</f>
        <v>1321.875</v>
      </c>
      <c r="AT47" s="65">
        <v>501634.58</v>
      </c>
      <c r="AV47"/>
      <c r="AW47"/>
    </row>
    <row r="48" spans="1:49" x14ac:dyDescent="0.2">
      <c r="A48" s="39" t="s">
        <v>66</v>
      </c>
      <c r="B48" s="14">
        <v>43111</v>
      </c>
      <c r="C48" s="2">
        <v>2018</v>
      </c>
      <c r="D48" s="2">
        <v>11</v>
      </c>
      <c r="E48" s="2">
        <v>33</v>
      </c>
      <c r="F48" s="2">
        <v>8.5000000000000006E-3</v>
      </c>
      <c r="G48" s="2">
        <v>3.9399999999999998E-2</v>
      </c>
      <c r="H48" s="2">
        <v>0.18</v>
      </c>
      <c r="I48" s="2">
        <v>1400</v>
      </c>
      <c r="J48" s="2">
        <v>1400</v>
      </c>
      <c r="K48" s="2">
        <v>1005.5</v>
      </c>
      <c r="L48" s="2">
        <v>1101.2</v>
      </c>
      <c r="M48" s="2"/>
      <c r="N48" s="3"/>
      <c r="O48" s="2">
        <v>11.17</v>
      </c>
      <c r="P48" s="2"/>
      <c r="Q48" s="2">
        <v>65275.6</v>
      </c>
      <c r="R48" s="2">
        <v>503420</v>
      </c>
      <c r="S48" s="2">
        <v>0.47503000000000001</v>
      </c>
      <c r="T48" s="2">
        <v>5.7279999999999998E-2</v>
      </c>
      <c r="U48" s="2">
        <v>0.41154000000000002</v>
      </c>
      <c r="V48" s="2">
        <v>0.25807999999999998</v>
      </c>
      <c r="W48" s="2">
        <v>7544.9</v>
      </c>
      <c r="X48" s="2">
        <v>44122.3</v>
      </c>
      <c r="Y48" s="2"/>
      <c r="Z48" s="2"/>
      <c r="AA48" s="33">
        <v>313746.3</v>
      </c>
      <c r="AB48" s="33">
        <v>568695.6</v>
      </c>
      <c r="AC48" s="33">
        <v>1062.52</v>
      </c>
      <c r="AD48" s="33">
        <v>29751.07</v>
      </c>
      <c r="AE48" s="33"/>
      <c r="AF48" s="16" t="s">
        <v>32</v>
      </c>
      <c r="AG48" s="28">
        <f>IFERROR(IF(Dados_SA[[#This Row],[DEMANDA_REGISTRADA_P]]/Dados_SA[[#This Row],[DEMANDA_CONTRATADA_P]]=0,"",Dados_SA[[#This Row],[DEMANDA_REGISTRADA_P]]/Dados_SA[[#This Row],[DEMANDA_CONTRATADA_P]]),"")</f>
        <v>0.71821428571428569</v>
      </c>
      <c r="AH48" s="28">
        <f>IFERROR(IF(Dados_SA[[#This Row],[DEMANDA_REGISTRADA_FP]]/Dados_SA[[#This Row],[DEMANDA_CONTRATADA_FP]]=0,"",Dados_SA[[#This Row],[DEMANDA_REGISTRADA_FP]]/Dados_SA[[#This Row],[DEMANDA_CONTRATADA_FP]]),"")</f>
        <v>0.78657142857142859</v>
      </c>
      <c r="AI48" s="3">
        <f>IF(Dados_SA[[#This Row],[% Demanda contratada P]]&gt;105%,1,0)</f>
        <v>0</v>
      </c>
      <c r="AJ48" s="3">
        <f>IF(Dados_SA[[#This Row],[% Demanda contratada FP]]&gt;105%,1,0)</f>
        <v>0</v>
      </c>
      <c r="AK48" s="36">
        <f>Dados_SA[[#This Row],[Acrescimo_Bamar]]/Dados_SA[[#This Row],[Valor da Fatura]]</f>
        <v>3.3865578653835917E-3</v>
      </c>
      <c r="AL48" s="36">
        <f>Dados_SA[[#This Row],[Acrescimo_Bverm1]]/Dados_SA[[#This Row],[Valor da Fatura]]</f>
        <v>9.482524574791798E-2</v>
      </c>
      <c r="AM48" s="36">
        <f>Dados_SA[[#This Row],[Acrescimo_Bverm2]]/Dados_SA[[#This Row],[Valor da Fatura]]</f>
        <v>0</v>
      </c>
      <c r="AN48" s="36">
        <v>1.05</v>
      </c>
      <c r="AO48" s="36">
        <v>1</v>
      </c>
      <c r="AP48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48" s="65">
        <f>IF(Dados_SA[[#This Row],[Exced]]&lt;&gt;"",1,0)</f>
        <v>0</v>
      </c>
      <c r="AR48" s="65">
        <f>AVERAGEIFS(Dados_SA[DEMANDA_REGISTRADA_P],Dados_SA[ANO],2015,Dados_SA[UC],"SA")</f>
        <v>1203.3000000000002</v>
      </c>
      <c r="AS48" s="65">
        <f>AVERAGEIFS(Dados_SA[DEMANDA_REGISTRADA_FP],Dados_SA[ANO],2015,Dados_SA[UC],"SA")</f>
        <v>1321.875</v>
      </c>
      <c r="AT48" s="65">
        <v>501634.58</v>
      </c>
      <c r="AV48"/>
      <c r="AW48"/>
    </row>
    <row r="49" spans="1:57" x14ac:dyDescent="0.2">
      <c r="A49" s="39" t="s">
        <v>66</v>
      </c>
      <c r="B49" s="14">
        <v>43112</v>
      </c>
      <c r="C49" s="2">
        <v>2018</v>
      </c>
      <c r="D49" s="2">
        <v>12</v>
      </c>
      <c r="E49" s="2">
        <v>29</v>
      </c>
      <c r="F49" s="2">
        <v>1.0800000000000001E-2</v>
      </c>
      <c r="G49" s="2">
        <v>4.9599999999999998E-2</v>
      </c>
      <c r="H49" s="2">
        <v>0.18</v>
      </c>
      <c r="I49" s="2">
        <v>1400</v>
      </c>
      <c r="J49" s="2">
        <v>1400</v>
      </c>
      <c r="K49" s="2">
        <v>1283.5</v>
      </c>
      <c r="L49" s="2">
        <v>1533.8</v>
      </c>
      <c r="M49" s="2"/>
      <c r="N49" s="3"/>
      <c r="O49" s="2">
        <v>11.17</v>
      </c>
      <c r="P49" s="2"/>
      <c r="Q49" s="2">
        <v>12479.8</v>
      </c>
      <c r="R49" s="2">
        <v>446821.8</v>
      </c>
      <c r="S49" s="2">
        <v>0.47503000000000001</v>
      </c>
      <c r="T49" s="2">
        <v>5.7279999999999998E-2</v>
      </c>
      <c r="U49" s="2">
        <v>0.41154000000000002</v>
      </c>
      <c r="V49" s="2">
        <v>0.25807999999999998</v>
      </c>
      <c r="W49" s="2">
        <v>8924.7999999999993</v>
      </c>
      <c r="X49" s="2">
        <v>56475.1</v>
      </c>
      <c r="Y49" s="2"/>
      <c r="Z49" s="2"/>
      <c r="AA49" s="33">
        <v>266194.02</v>
      </c>
      <c r="AB49" s="33">
        <v>459301.6</v>
      </c>
      <c r="AC49" s="33">
        <v>5358.41</v>
      </c>
      <c r="AD49" s="33"/>
      <c r="AE49" s="33"/>
      <c r="AF49" s="16" t="s">
        <v>32</v>
      </c>
      <c r="AG49" s="28">
        <f>IFERROR(IF(Dados_SA[[#This Row],[DEMANDA_REGISTRADA_P]]/Dados_SA[[#This Row],[DEMANDA_CONTRATADA_P]]=0,"",Dados_SA[[#This Row],[DEMANDA_REGISTRADA_P]]/Dados_SA[[#This Row],[DEMANDA_CONTRATADA_P]]),"")</f>
        <v>0.91678571428571431</v>
      </c>
      <c r="AH49" s="28">
        <f>IFERROR(IF(Dados_SA[[#This Row],[DEMANDA_REGISTRADA_FP]]/Dados_SA[[#This Row],[DEMANDA_CONTRATADA_FP]]=0,"",Dados_SA[[#This Row],[DEMANDA_REGISTRADA_FP]]/Dados_SA[[#This Row],[DEMANDA_CONTRATADA_FP]]),"")</f>
        <v>1.0955714285714286</v>
      </c>
      <c r="AI49" s="3">
        <f>IF(Dados_SA[[#This Row],[% Demanda contratada P]]&gt;105%,1,0)</f>
        <v>0</v>
      </c>
      <c r="AJ49" s="3">
        <f>IF(Dados_SA[[#This Row],[% Demanda contratada FP]]&gt;105%,1,0)</f>
        <v>1</v>
      </c>
      <c r="AK49" s="36">
        <f>Dados_SA[[#This Row],[Acrescimo_Bamar]]/Dados_SA[[#This Row],[Valor da Fatura]]</f>
        <v>2.0129715911724837E-2</v>
      </c>
      <c r="AL49" s="36">
        <f>Dados_SA[[#This Row],[Acrescimo_Bverm1]]/Dados_SA[[#This Row],[Valor da Fatura]]</f>
        <v>0</v>
      </c>
      <c r="AM49" s="36">
        <f>Dados_SA[[#This Row],[Acrescimo_Bverm2]]/Dados_SA[[#This Row],[Valor da Fatura]]</f>
        <v>0</v>
      </c>
      <c r="AN49" s="36">
        <v>1.05</v>
      </c>
      <c r="AO49" s="36">
        <v>1</v>
      </c>
      <c r="AP49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49" s="65">
        <f>IF(Dados_SA[[#This Row],[Exced]]&lt;&gt;"",1,0)</f>
        <v>1</v>
      </c>
      <c r="AR49" s="65">
        <f>AVERAGEIFS(Dados_SA[DEMANDA_REGISTRADA_P],Dados_SA[ANO],2015,Dados_SA[UC],"SA")</f>
        <v>1203.3000000000002</v>
      </c>
      <c r="AS49" s="65">
        <f>AVERAGEIFS(Dados_SA[DEMANDA_REGISTRADA_FP],Dados_SA[ANO],2015,Dados_SA[UC],"SA")</f>
        <v>1321.875</v>
      </c>
      <c r="AT49" s="65">
        <v>501634.58</v>
      </c>
      <c r="AV49"/>
      <c r="AW49"/>
    </row>
    <row r="50" spans="1:57" x14ac:dyDescent="0.2">
      <c r="A50" s="39" t="s">
        <v>66</v>
      </c>
      <c r="B50" s="14">
        <v>43466</v>
      </c>
      <c r="C50" s="2">
        <v>2019</v>
      </c>
      <c r="D50" s="2">
        <v>1</v>
      </c>
      <c r="E50" s="2">
        <v>30</v>
      </c>
      <c r="F50" s="2">
        <v>1.0800000000000001E-2</v>
      </c>
      <c r="G50" s="2">
        <v>4.9599999999999998E-2</v>
      </c>
      <c r="H50" s="2">
        <v>0.18</v>
      </c>
      <c r="I50" s="2">
        <v>1400</v>
      </c>
      <c r="J50" s="2">
        <v>1400</v>
      </c>
      <c r="K50" s="2">
        <v>1258.3</v>
      </c>
      <c r="L50" s="2">
        <v>1559.9</v>
      </c>
      <c r="M50" s="2"/>
      <c r="N50" s="3"/>
      <c r="O50" s="2">
        <v>11.17</v>
      </c>
      <c r="P50" s="2"/>
      <c r="Q50" s="2">
        <v>48326.7</v>
      </c>
      <c r="R50" s="2">
        <v>452707.1</v>
      </c>
      <c r="S50" s="2">
        <v>0.47503000000000001</v>
      </c>
      <c r="T50" s="2">
        <v>5.7279999999999998E-2</v>
      </c>
      <c r="U50" s="2">
        <v>0.41154000000000002</v>
      </c>
      <c r="V50" s="2">
        <v>0.25807999999999998</v>
      </c>
      <c r="W50" s="2">
        <v>10608.2</v>
      </c>
      <c r="X50" s="2">
        <f>74001.9+0</f>
        <v>74001.899999999994</v>
      </c>
      <c r="Y50" s="2"/>
      <c r="Z50" s="2"/>
      <c r="AA50" s="33">
        <v>253859.49</v>
      </c>
      <c r="AB50" s="33">
        <f t="shared" ref="AB50:AB61" si="5">Q50+R50</f>
        <v>501033.8</v>
      </c>
      <c r="AC50" s="33">
        <v>0</v>
      </c>
      <c r="AD50" s="33">
        <v>0</v>
      </c>
      <c r="AE50" s="33">
        <v>0</v>
      </c>
      <c r="AF50" s="16" t="s">
        <v>32</v>
      </c>
      <c r="AG50" s="28">
        <f>IFERROR(IF(Dados_SA[[#This Row],[DEMANDA_REGISTRADA_P]]/Dados_SA[[#This Row],[DEMANDA_CONTRATADA_P]]=0,"",Dados_SA[[#This Row],[DEMANDA_REGISTRADA_P]]/Dados_SA[[#This Row],[DEMANDA_CONTRATADA_P]]),"")</f>
        <v>0.8987857142857143</v>
      </c>
      <c r="AH50" s="28">
        <f>IFERROR(IF(Dados_SA[[#This Row],[DEMANDA_REGISTRADA_FP]]/Dados_SA[[#This Row],[DEMANDA_CONTRATADA_FP]]=0,"",Dados_SA[[#This Row],[DEMANDA_REGISTRADA_FP]]/Dados_SA[[#This Row],[DEMANDA_CONTRATADA_FP]]),"")</f>
        <v>1.1142142857142858</v>
      </c>
      <c r="AI50" s="3">
        <f>IF(Dados_SA[[#This Row],[% Demanda contratada P]]&gt;105%,1,0)</f>
        <v>0</v>
      </c>
      <c r="AJ50" s="3">
        <f>IF(Dados_SA[[#This Row],[% Demanda contratada FP]]&gt;105%,1,0)</f>
        <v>1</v>
      </c>
      <c r="AK50" s="36">
        <f>Dados_SA[[#This Row],[Acrescimo_Bamar]]/Dados_SA[[#This Row],[Valor da Fatura]]</f>
        <v>0</v>
      </c>
      <c r="AL50" s="36">
        <f>Dados_SA[[#This Row],[Acrescimo_Bverm1]]/Dados_SA[[#This Row],[Valor da Fatura]]</f>
        <v>0</v>
      </c>
      <c r="AM50" s="36">
        <f>Dados_SA[[#This Row],[Acrescimo_Bverm2]]/Dados_SA[[#This Row],[Valor da Fatura]]</f>
        <v>0</v>
      </c>
      <c r="AN50" s="36">
        <v>1.05</v>
      </c>
      <c r="AO50" s="36">
        <v>1</v>
      </c>
      <c r="AP50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50" s="65">
        <f>IF(Dados_SA[[#This Row],[Exced]]&lt;&gt;"",1,0)</f>
        <v>1</v>
      </c>
      <c r="AR50" s="65">
        <f>AVERAGEIFS(Dados_SA[DEMANDA_REGISTRADA_P],Dados_SA[ANO],2015,Dados_SA[UC],"SA")</f>
        <v>1203.3000000000002</v>
      </c>
      <c r="AS50" s="65">
        <f>AVERAGEIFS(Dados_SA[DEMANDA_REGISTRADA_FP],Dados_SA[ANO],2015,Dados_SA[UC],"SA")</f>
        <v>1321.875</v>
      </c>
      <c r="AT50" s="65">
        <v>501634.58</v>
      </c>
      <c r="AV50"/>
      <c r="AW50"/>
    </row>
    <row r="51" spans="1:57" s="11" customFormat="1" x14ac:dyDescent="0.2">
      <c r="A51" s="39" t="s">
        <v>66</v>
      </c>
      <c r="B51" s="14">
        <v>43497</v>
      </c>
      <c r="C51" s="2">
        <v>2019</v>
      </c>
      <c r="D51" s="2">
        <v>2</v>
      </c>
      <c r="E51" s="2">
        <v>32</v>
      </c>
      <c r="F51" s="2">
        <v>9.5999999999999992E-3</v>
      </c>
      <c r="G51" s="4">
        <v>4.3999999999999997E-2</v>
      </c>
      <c r="H51" s="2">
        <v>0.18</v>
      </c>
      <c r="I51" s="2">
        <v>1400</v>
      </c>
      <c r="J51" s="2">
        <v>1400</v>
      </c>
      <c r="K51" s="69">
        <f>AVERAGE(K39:K50)</f>
        <v>1209.3166666666664</v>
      </c>
      <c r="L51" s="2">
        <v>1039.9000000000001</v>
      </c>
      <c r="M51" s="2"/>
      <c r="N51" s="3"/>
      <c r="O51" s="2">
        <v>11.17</v>
      </c>
      <c r="P51" s="2"/>
      <c r="Q51" s="2">
        <v>61923.1</v>
      </c>
      <c r="R51" s="2">
        <v>561112.4</v>
      </c>
      <c r="S51" s="2">
        <v>0.47503000000000001</v>
      </c>
      <c r="T51" s="2">
        <v>5.7279999999999998E-2</v>
      </c>
      <c r="U51" s="2">
        <v>0.41154000000000002</v>
      </c>
      <c r="V51" s="2">
        <v>0.25807999999999998</v>
      </c>
      <c r="W51" s="2">
        <v>14563.7</v>
      </c>
      <c r="X51" s="2">
        <f>99169.8+0</f>
        <v>99169.8</v>
      </c>
      <c r="Y51" s="2"/>
      <c r="Z51" s="2"/>
      <c r="AA51" s="33">
        <v>306528.99</v>
      </c>
      <c r="AB51" s="33">
        <f t="shared" si="5"/>
        <v>623035.5</v>
      </c>
      <c r="AC51" s="33">
        <v>0</v>
      </c>
      <c r="AD51" s="33">
        <v>0</v>
      </c>
      <c r="AE51" s="33">
        <v>0</v>
      </c>
      <c r="AF51" s="16" t="s">
        <v>32</v>
      </c>
      <c r="AG51" s="29">
        <f>IFERROR(IF(Dados_SA[[#This Row],[DEMANDA_REGISTRADA_P]]/Dados_SA[[#This Row],[DEMANDA_CONTRATADA_P]]=0,"",Dados_SA[[#This Row],[DEMANDA_REGISTRADA_P]]/Dados_SA[[#This Row],[DEMANDA_CONTRATADA_P]]),"")</f>
        <v>0.86379761904761887</v>
      </c>
      <c r="AH51" s="29">
        <f>IFERROR(IF(Dados_SA[[#This Row],[DEMANDA_REGISTRADA_FP]]/Dados_SA[[#This Row],[DEMANDA_CONTRATADA_FP]]=0,"",Dados_SA[[#This Row],[DEMANDA_REGISTRADA_FP]]/Dados_SA[[#This Row],[DEMANDA_CONTRATADA_FP]]),"")</f>
        <v>0.74278571428571438</v>
      </c>
      <c r="AI51" s="31">
        <f>IF(Dados_SA[[#This Row],[% Demanda contratada P]]&gt;105%,1,0)</f>
        <v>0</v>
      </c>
      <c r="AJ51" s="31">
        <f>IF(Dados_SA[[#This Row],[% Demanda contratada FP]]&gt;105%,1,0)</f>
        <v>0</v>
      </c>
      <c r="AK51" s="37">
        <f>Dados_SA[[#This Row],[Acrescimo_Bamar]]/Dados_SA[[#This Row],[Valor da Fatura]]</f>
        <v>0</v>
      </c>
      <c r="AL51" s="37">
        <f>Dados_SA[[#This Row],[Acrescimo_Bverm1]]/Dados_SA[[#This Row],[Valor da Fatura]]</f>
        <v>0</v>
      </c>
      <c r="AM51" s="37">
        <f>Dados_SA[[#This Row],[Acrescimo_Bverm2]]/Dados_SA[[#This Row],[Valor da Fatura]]</f>
        <v>0</v>
      </c>
      <c r="AN51" s="36">
        <v>1.05</v>
      </c>
      <c r="AO51" s="36">
        <v>1</v>
      </c>
      <c r="AP51" s="37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51" s="66">
        <f>IF(Dados_SA[[#This Row],[Exced]]&lt;&gt;"",1,0)</f>
        <v>0</v>
      </c>
      <c r="AR51" s="66">
        <f>AVERAGEIFS(Dados_SA[DEMANDA_REGISTRADA_P],Dados_SA[ANO],2015,Dados_SA[UC],"SA")</f>
        <v>1203.3000000000002</v>
      </c>
      <c r="AS51" s="66">
        <f>AVERAGEIFS(Dados_SA[DEMANDA_REGISTRADA_FP],Dados_SA[ANO],2015,Dados_SA[UC],"SA")</f>
        <v>1321.875</v>
      </c>
      <c r="AT51" s="65">
        <v>501634.58</v>
      </c>
      <c r="AV51"/>
      <c r="AW51"/>
    </row>
    <row r="52" spans="1:57" s="11" customFormat="1" x14ac:dyDescent="0.2">
      <c r="A52" s="39" t="s">
        <v>66</v>
      </c>
      <c r="B52" s="14">
        <v>43525</v>
      </c>
      <c r="C52" s="2">
        <v>2019</v>
      </c>
      <c r="D52" s="2">
        <v>3</v>
      </c>
      <c r="E52" s="2">
        <v>30</v>
      </c>
      <c r="F52" s="2">
        <v>1.11E-2</v>
      </c>
      <c r="G52" s="4">
        <v>5.0999999999999997E-2</v>
      </c>
      <c r="H52" s="2">
        <v>0.18</v>
      </c>
      <c r="I52" s="2">
        <v>1400</v>
      </c>
      <c r="J52" s="2">
        <v>1400</v>
      </c>
      <c r="K52" s="69">
        <f>AVERAGE(K40:K51)</f>
        <v>1231.8347222222221</v>
      </c>
      <c r="L52" s="2">
        <v>1425.5</v>
      </c>
      <c r="M52" s="2"/>
      <c r="N52" s="3"/>
      <c r="O52" s="2">
        <v>11.17</v>
      </c>
      <c r="P52" s="2"/>
      <c r="Q52" s="2">
        <v>67196</v>
      </c>
      <c r="R52" s="2">
        <v>524148.7</v>
      </c>
      <c r="S52" s="2">
        <v>0.47503000000000001</v>
      </c>
      <c r="T52" s="2">
        <v>5.7279999999999998E-2</v>
      </c>
      <c r="U52" s="2">
        <v>0.41154000000000002</v>
      </c>
      <c r="V52" s="2">
        <v>0.25807999999999998</v>
      </c>
      <c r="W52" s="2">
        <v>15316.4</v>
      </c>
      <c r="X52" s="2">
        <v>90817.4</v>
      </c>
      <c r="Y52" s="2"/>
      <c r="Z52" s="2"/>
      <c r="AA52" s="33">
        <v>297435.84999999998</v>
      </c>
      <c r="AB52" s="33">
        <f t="shared" si="5"/>
        <v>591344.69999999995</v>
      </c>
      <c r="AC52" s="33">
        <v>0</v>
      </c>
      <c r="AD52" s="33">
        <v>0</v>
      </c>
      <c r="AE52" s="33">
        <v>0</v>
      </c>
      <c r="AF52" s="16" t="s">
        <v>32</v>
      </c>
      <c r="AG52" s="29">
        <f>IFERROR(IF(Dados_SA[[#This Row],[DEMANDA_REGISTRADA_P]]/Dados_SA[[#This Row],[DEMANDA_CONTRATADA_P]]=0,"",Dados_SA[[#This Row],[DEMANDA_REGISTRADA_P]]/Dados_SA[[#This Row],[DEMANDA_CONTRATADA_P]]),"")</f>
        <v>0.87988194444444434</v>
      </c>
      <c r="AH52" s="29">
        <f>IFERROR(IF(Dados_SA[[#This Row],[DEMANDA_REGISTRADA_FP]]/Dados_SA[[#This Row],[DEMANDA_CONTRATADA_FP]]=0,"",Dados_SA[[#This Row],[DEMANDA_REGISTRADA_FP]]/Dados_SA[[#This Row],[DEMANDA_CONTRATADA_FP]]),"")</f>
        <v>1.0182142857142857</v>
      </c>
      <c r="AI52" s="31">
        <f>IF(Dados_SA[[#This Row],[% Demanda contratada P]]&gt;105%,1,0)</f>
        <v>0</v>
      </c>
      <c r="AJ52" s="31">
        <f>IF(Dados_SA[[#This Row],[% Demanda contratada FP]]&gt;105%,1,0)</f>
        <v>0</v>
      </c>
      <c r="AK52" s="37">
        <f>Dados_SA[[#This Row],[Acrescimo_Bamar]]/Dados_SA[[#This Row],[Valor da Fatura]]</f>
        <v>0</v>
      </c>
      <c r="AL52" s="37">
        <f>Dados_SA[[#This Row],[Acrescimo_Bverm1]]/Dados_SA[[#This Row],[Valor da Fatura]]</f>
        <v>0</v>
      </c>
      <c r="AM52" s="37">
        <f>Dados_SA[[#This Row],[Acrescimo_Bverm2]]/Dados_SA[[#This Row],[Valor da Fatura]]</f>
        <v>0</v>
      </c>
      <c r="AN52" s="36">
        <v>1.05</v>
      </c>
      <c r="AO52" s="36">
        <v>1</v>
      </c>
      <c r="AP52" s="37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52" s="66">
        <f>IF(Dados_SA[[#This Row],[Exced]]&lt;&gt;"",1,0)</f>
        <v>0</v>
      </c>
      <c r="AR52" s="66">
        <f>AVERAGEIFS(Dados_SA[DEMANDA_REGISTRADA_P],Dados_SA[ANO],2015,Dados_SA[UC],"SA")</f>
        <v>1203.3000000000002</v>
      </c>
      <c r="AS52" s="66">
        <f>AVERAGEIFS(Dados_SA[DEMANDA_REGISTRADA_FP],Dados_SA[ANO],2015,Dados_SA[UC],"SA")</f>
        <v>1321.875</v>
      </c>
      <c r="AT52" s="65">
        <v>501634.58</v>
      </c>
      <c r="AV52"/>
      <c r="AW52"/>
    </row>
    <row r="53" spans="1:57" s="11" customFormat="1" x14ac:dyDescent="0.2">
      <c r="A53" s="39" t="s">
        <v>66</v>
      </c>
      <c r="B53" s="14">
        <v>43556</v>
      </c>
      <c r="C53" s="2">
        <v>2019</v>
      </c>
      <c r="D53" s="2">
        <v>4</v>
      </c>
      <c r="E53" s="2">
        <v>29</v>
      </c>
      <c r="F53" s="2">
        <v>1.0200000000000001E-2</v>
      </c>
      <c r="G53" s="2">
        <v>4.7199999999999999E-2</v>
      </c>
      <c r="H53" s="2">
        <v>0.18</v>
      </c>
      <c r="I53" s="2">
        <v>1400</v>
      </c>
      <c r="J53" s="2">
        <v>1400</v>
      </c>
      <c r="K53" s="2">
        <v>1464.1</v>
      </c>
      <c r="L53" s="2">
        <v>1664</v>
      </c>
      <c r="M53" s="2"/>
      <c r="N53" s="3"/>
      <c r="O53" s="2">
        <v>11.17</v>
      </c>
      <c r="P53" s="2"/>
      <c r="Q53" s="2">
        <v>77599</v>
      </c>
      <c r="R53" s="2">
        <v>551728.6</v>
      </c>
      <c r="S53" s="2">
        <v>0.47503000000000001</v>
      </c>
      <c r="T53" s="2">
        <v>5.7279999999999998E-2</v>
      </c>
      <c r="U53" s="2">
        <v>0.41154000000000002</v>
      </c>
      <c r="V53" s="2">
        <v>0.25807999999999998</v>
      </c>
      <c r="W53" s="2">
        <v>16471.099999999999</v>
      </c>
      <c r="X53" s="2">
        <v>93475.4</v>
      </c>
      <c r="Y53" s="2"/>
      <c r="Z53" s="2"/>
      <c r="AA53" s="33">
        <v>322952.25</v>
      </c>
      <c r="AB53" s="33">
        <f t="shared" si="5"/>
        <v>629327.6</v>
      </c>
      <c r="AC53" s="33">
        <v>0</v>
      </c>
      <c r="AD53" s="33">
        <v>0</v>
      </c>
      <c r="AE53" s="33">
        <v>0</v>
      </c>
      <c r="AF53" s="16" t="s">
        <v>32</v>
      </c>
      <c r="AG53" s="29">
        <f>IFERROR(IF(Dados_SA[[#This Row],[DEMANDA_REGISTRADA_P]]/Dados_SA[[#This Row],[DEMANDA_CONTRATADA_P]]=0,"",Dados_SA[[#This Row],[DEMANDA_REGISTRADA_P]]/Dados_SA[[#This Row],[DEMANDA_CONTRATADA_P]]),"")</f>
        <v>1.0457857142857143</v>
      </c>
      <c r="AH53" s="29">
        <f>IFERROR(IF(Dados_SA[[#This Row],[DEMANDA_REGISTRADA_FP]]/Dados_SA[[#This Row],[DEMANDA_CONTRATADA_FP]]=0,"",Dados_SA[[#This Row],[DEMANDA_REGISTRADA_FP]]/Dados_SA[[#This Row],[DEMANDA_CONTRATADA_FP]]),"")</f>
        <v>1.1885714285714286</v>
      </c>
      <c r="AI53" s="31">
        <f>IF(Dados_SA[[#This Row],[% Demanda contratada P]]&gt;105%,1,0)</f>
        <v>0</v>
      </c>
      <c r="AJ53" s="31">
        <f>IF(Dados_SA[[#This Row],[% Demanda contratada FP]]&gt;105%,1,0)</f>
        <v>1</v>
      </c>
      <c r="AK53" s="37">
        <f>Dados_SA[[#This Row],[Acrescimo_Bamar]]/Dados_SA[[#This Row],[Valor da Fatura]]</f>
        <v>0</v>
      </c>
      <c r="AL53" s="37">
        <f>Dados_SA[[#This Row],[Acrescimo_Bverm1]]/Dados_SA[[#This Row],[Valor da Fatura]]</f>
        <v>0</v>
      </c>
      <c r="AM53" s="37">
        <f>Dados_SA[[#This Row],[Acrescimo_Bverm2]]/Dados_SA[[#This Row],[Valor da Fatura]]</f>
        <v>0</v>
      </c>
      <c r="AN53" s="36">
        <v>1.05</v>
      </c>
      <c r="AO53" s="36">
        <v>1</v>
      </c>
      <c r="AP53" s="37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53" s="66">
        <f>IF(Dados_SA[[#This Row],[Exced]]&lt;&gt;"",1,0)</f>
        <v>1</v>
      </c>
      <c r="AR53" s="66">
        <f>AVERAGEIFS(Dados_SA[DEMANDA_REGISTRADA_P],Dados_SA[ANO],2015,Dados_SA[UC],"SA")</f>
        <v>1203.3000000000002</v>
      </c>
      <c r="AS53" s="66">
        <f>AVERAGEIFS(Dados_SA[DEMANDA_REGISTRADA_FP],Dados_SA[ANO],2015,Dados_SA[UC],"SA")</f>
        <v>1321.875</v>
      </c>
      <c r="AT53" s="65">
        <v>501634.58</v>
      </c>
      <c r="AV53"/>
      <c r="AW53"/>
    </row>
    <row r="54" spans="1:57" s="11" customFormat="1" x14ac:dyDescent="0.2">
      <c r="A54" s="39" t="s">
        <v>66</v>
      </c>
      <c r="B54" s="14">
        <v>43586</v>
      </c>
      <c r="C54" s="2">
        <v>2019</v>
      </c>
      <c r="D54" s="2">
        <v>5</v>
      </c>
      <c r="E54" s="2">
        <v>32</v>
      </c>
      <c r="F54" s="2">
        <v>7.3000000000000001E-3</v>
      </c>
      <c r="G54" s="2">
        <v>3.3399999999999999E-2</v>
      </c>
      <c r="H54" s="2">
        <v>0.18</v>
      </c>
      <c r="I54" s="2">
        <v>1400</v>
      </c>
      <c r="J54" s="2">
        <v>1400</v>
      </c>
      <c r="K54" s="2">
        <v>1411.2</v>
      </c>
      <c r="L54" s="2">
        <v>1533</v>
      </c>
      <c r="M54" s="2"/>
      <c r="N54" s="3"/>
      <c r="O54" s="2">
        <v>11.17</v>
      </c>
      <c r="P54" s="2"/>
      <c r="Q54" s="2">
        <v>68075.5</v>
      </c>
      <c r="R54" s="2">
        <v>531769.1</v>
      </c>
      <c r="S54" s="2">
        <v>0.47503000000000001</v>
      </c>
      <c r="T54" s="2">
        <v>5.7279999999999998E-2</v>
      </c>
      <c r="U54" s="2">
        <v>0.41154000000000002</v>
      </c>
      <c r="V54" s="2">
        <v>0.25807999999999998</v>
      </c>
      <c r="W54" s="2">
        <v>13048.8</v>
      </c>
      <c r="X54" s="2">
        <v>77461.899999999994</v>
      </c>
      <c r="Y54" s="2"/>
      <c r="Z54" s="2"/>
      <c r="AA54" s="33">
        <v>303892.33</v>
      </c>
      <c r="AB54" s="33">
        <f t="shared" si="5"/>
        <v>599844.6</v>
      </c>
      <c r="AC54" s="33">
        <f>1229.4+157.39</f>
        <v>1386.79</v>
      </c>
      <c r="AD54" s="33">
        <v>0</v>
      </c>
      <c r="AE54" s="33">
        <v>0</v>
      </c>
      <c r="AF54" s="16" t="s">
        <v>32</v>
      </c>
      <c r="AG54" s="29">
        <f>IFERROR(IF(Dados_SA[[#This Row],[DEMANDA_REGISTRADA_P]]/Dados_SA[[#This Row],[DEMANDA_CONTRATADA_P]]=0,"",Dados_SA[[#This Row],[DEMANDA_REGISTRADA_P]]/Dados_SA[[#This Row],[DEMANDA_CONTRATADA_P]]),"")</f>
        <v>1.008</v>
      </c>
      <c r="AH54" s="29">
        <f>IFERROR(IF(Dados_SA[[#This Row],[DEMANDA_REGISTRADA_FP]]/Dados_SA[[#This Row],[DEMANDA_CONTRATADA_FP]]=0,"",Dados_SA[[#This Row],[DEMANDA_REGISTRADA_FP]]/Dados_SA[[#This Row],[DEMANDA_CONTRATADA_FP]]),"")</f>
        <v>1.095</v>
      </c>
      <c r="AI54" s="31">
        <f>IF(Dados_SA[[#This Row],[% Demanda contratada P]]&gt;105%,1,0)</f>
        <v>0</v>
      </c>
      <c r="AJ54" s="31">
        <f>IF(Dados_SA[[#This Row],[% Demanda contratada FP]]&gt;105%,1,0)</f>
        <v>1</v>
      </c>
      <c r="AK54" s="37">
        <f>Dados_SA[[#This Row],[Acrescimo_Bamar]]/Dados_SA[[#This Row],[Valor da Fatura]]</f>
        <v>4.5634254737524959E-3</v>
      </c>
      <c r="AL54" s="37">
        <f>Dados_SA[[#This Row],[Acrescimo_Bverm1]]/Dados_SA[[#This Row],[Valor da Fatura]]</f>
        <v>0</v>
      </c>
      <c r="AM54" s="37">
        <f>Dados_SA[[#This Row],[Acrescimo_Bverm2]]/Dados_SA[[#This Row],[Valor da Fatura]]</f>
        <v>0</v>
      </c>
      <c r="AN54" s="36">
        <v>1.05</v>
      </c>
      <c r="AO54" s="36">
        <v>1</v>
      </c>
      <c r="AP54" s="37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54" s="66">
        <f>IF(Dados_SA[[#This Row],[Exced]]&lt;&gt;"",1,0)</f>
        <v>1</v>
      </c>
      <c r="AR54" s="66">
        <f>AVERAGEIFS(Dados_SA[DEMANDA_REGISTRADA_P],Dados_SA[ANO],2015,Dados_SA[UC],"SA")</f>
        <v>1203.3000000000002</v>
      </c>
      <c r="AS54" s="66">
        <f>AVERAGEIFS(Dados_SA[DEMANDA_REGISTRADA_FP],Dados_SA[ANO],2015,Dados_SA[UC],"SA")</f>
        <v>1321.875</v>
      </c>
      <c r="AT54" s="65">
        <v>501634.58</v>
      </c>
      <c r="AV54"/>
      <c r="AW54"/>
    </row>
    <row r="55" spans="1:57" x14ac:dyDescent="0.2">
      <c r="A55" s="39" t="s">
        <v>66</v>
      </c>
      <c r="B55" s="14">
        <v>43617</v>
      </c>
      <c r="C55" s="2">
        <v>2019</v>
      </c>
      <c r="D55" s="2">
        <v>6</v>
      </c>
      <c r="E55" s="2">
        <v>29</v>
      </c>
      <c r="F55" s="2">
        <v>8.5000000000000006E-3</v>
      </c>
      <c r="G55" s="2">
        <v>3.9100000000000003E-2</v>
      </c>
      <c r="H55" s="2">
        <v>0.18</v>
      </c>
      <c r="I55" s="2">
        <v>1400</v>
      </c>
      <c r="J55" s="2">
        <v>1400</v>
      </c>
      <c r="K55" s="2">
        <v>1181</v>
      </c>
      <c r="L55" s="2">
        <v>1281</v>
      </c>
      <c r="M55" s="2"/>
      <c r="N55" s="3"/>
      <c r="O55" s="2">
        <v>11.17</v>
      </c>
      <c r="P55" s="2"/>
      <c r="Q55" s="2">
        <v>57229.4</v>
      </c>
      <c r="R55" s="2">
        <v>433761.3</v>
      </c>
      <c r="S55" s="2">
        <v>0.47503000000000001</v>
      </c>
      <c r="T55" s="2">
        <v>5.7279999999999998E-2</v>
      </c>
      <c r="U55" s="2">
        <v>0.41154000000000002</v>
      </c>
      <c r="V55" s="2">
        <v>0.25807999999999998</v>
      </c>
      <c r="W55" s="2">
        <v>7467.8</v>
      </c>
      <c r="X55" s="2">
        <v>44050.7</v>
      </c>
      <c r="Y55" s="2"/>
      <c r="Z55" s="2"/>
      <c r="AA55" s="33">
        <v>253860.52</v>
      </c>
      <c r="AB55" s="33">
        <f t="shared" si="5"/>
        <v>490990.7</v>
      </c>
      <c r="AC55" s="33">
        <f>4615.26+608.92</f>
        <v>5224.18</v>
      </c>
      <c r="AD55" s="33">
        <v>0</v>
      </c>
      <c r="AE55" s="33">
        <v>0</v>
      </c>
      <c r="AF55" s="16" t="s">
        <v>32</v>
      </c>
      <c r="AG55" s="28">
        <f>IFERROR(IF(Dados_SA[[#This Row],[DEMANDA_REGISTRADA_P]]/Dados_SA[[#This Row],[DEMANDA_CONTRATADA_P]]=0,"",Dados_SA[[#This Row],[DEMANDA_REGISTRADA_P]]/Dados_SA[[#This Row],[DEMANDA_CONTRATADA_P]]),"")</f>
        <v>0.84357142857142853</v>
      </c>
      <c r="AH55" s="28">
        <f>IFERROR(IF(Dados_SA[[#This Row],[DEMANDA_REGISTRADA_FP]]/Dados_SA[[#This Row],[DEMANDA_CONTRATADA_FP]]=0,"",Dados_SA[[#This Row],[DEMANDA_REGISTRADA_FP]]/Dados_SA[[#This Row],[DEMANDA_CONTRATADA_FP]]),"")</f>
        <v>0.91500000000000004</v>
      </c>
      <c r="AI55" s="3">
        <f>IF(Dados_SA[[#This Row],[% Demanda contratada P]]&gt;105%,1,0)</f>
        <v>0</v>
      </c>
      <c r="AJ55" s="3">
        <f>IF(Dados_SA[[#This Row],[% Demanda contratada FP]]&gt;105%,1,0)</f>
        <v>0</v>
      </c>
      <c r="AK55" s="36">
        <f>Dados_SA[[#This Row],[Acrescimo_Bamar]]/Dados_SA[[#This Row],[Valor da Fatura]]</f>
        <v>2.0578938387111161E-2</v>
      </c>
      <c r="AL55" s="36">
        <f>Dados_SA[[#This Row],[Acrescimo_Bverm1]]/Dados_SA[[#This Row],[Valor da Fatura]]</f>
        <v>0</v>
      </c>
      <c r="AM55" s="36">
        <f>Dados_SA[[#This Row],[Acrescimo_Bverm2]]/Dados_SA[[#This Row],[Valor da Fatura]]</f>
        <v>0</v>
      </c>
      <c r="AN55" s="36">
        <v>1.05</v>
      </c>
      <c r="AO55" s="36">
        <v>1</v>
      </c>
      <c r="AP55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55" s="65">
        <f>IF(Dados_SA[[#This Row],[Exced]]&lt;&gt;"",1,0)</f>
        <v>0</v>
      </c>
      <c r="AR55" s="65">
        <f>AVERAGEIFS(Dados_SA[DEMANDA_REGISTRADA_P],Dados_SA[ANO],2015,Dados_SA[UC],"SA")</f>
        <v>1203.3000000000002</v>
      </c>
      <c r="AS55" s="65">
        <f>AVERAGEIFS(Dados_SA[DEMANDA_REGISTRADA_FP],Dados_SA[ANO],2015,Dados_SA[UC],"SA")</f>
        <v>1321.875</v>
      </c>
      <c r="AT55" s="65">
        <v>501634.58</v>
      </c>
      <c r="AV55"/>
      <c r="AW55"/>
    </row>
    <row r="56" spans="1:57" x14ac:dyDescent="0.2">
      <c r="A56" s="39" t="s">
        <v>66</v>
      </c>
      <c r="B56" s="14">
        <v>43647</v>
      </c>
      <c r="C56" s="2">
        <v>2019</v>
      </c>
      <c r="D56" s="2">
        <v>7</v>
      </c>
      <c r="E56" s="2">
        <v>28</v>
      </c>
      <c r="F56" s="2">
        <v>9.1999999999999998E-3</v>
      </c>
      <c r="G56" s="2">
        <v>4.24E-2</v>
      </c>
      <c r="H56" s="2">
        <v>0.18</v>
      </c>
      <c r="I56" s="2">
        <v>1400</v>
      </c>
      <c r="J56" s="2">
        <v>1400</v>
      </c>
      <c r="K56" s="2">
        <v>1134.8</v>
      </c>
      <c r="L56" s="2">
        <v>1175.2</v>
      </c>
      <c r="M56" s="2"/>
      <c r="N56" s="3"/>
      <c r="O56" s="2">
        <v>11.17</v>
      </c>
      <c r="P56" s="2"/>
      <c r="Q56" s="2">
        <v>54180.2</v>
      </c>
      <c r="R56" s="2">
        <v>405040.2</v>
      </c>
      <c r="S56" s="2">
        <v>0.47503000000000001</v>
      </c>
      <c r="T56" s="2">
        <v>5.7279999999999998E-2</v>
      </c>
      <c r="U56" s="2">
        <v>0.41154000000000002</v>
      </c>
      <c r="V56" s="2">
        <v>0.25807999999999998</v>
      </c>
      <c r="W56" s="2">
        <v>5559.3</v>
      </c>
      <c r="X56" s="2">
        <v>33415.4</v>
      </c>
      <c r="Y56" s="2"/>
      <c r="Z56" s="2"/>
      <c r="AA56" s="33">
        <v>235724.1</v>
      </c>
      <c r="AB56" s="33">
        <f t="shared" si="5"/>
        <v>459220.4</v>
      </c>
      <c r="AC56" s="33">
        <f>536.12+71.71</f>
        <v>607.83000000000004</v>
      </c>
      <c r="AD56" s="33">
        <v>0</v>
      </c>
      <c r="AE56" s="33">
        <v>0</v>
      </c>
      <c r="AF56" s="16" t="s">
        <v>32</v>
      </c>
      <c r="AG56" s="28">
        <f>IFERROR(IF(Dados_SA[[#This Row],[DEMANDA_REGISTRADA_P]]/Dados_SA[[#This Row],[DEMANDA_CONTRATADA_P]]=0,"",Dados_SA[[#This Row],[DEMANDA_REGISTRADA_P]]/Dados_SA[[#This Row],[DEMANDA_CONTRATADA_P]]),"")</f>
        <v>0.8105714285714285</v>
      </c>
      <c r="AH56" s="28">
        <f>IFERROR(IF(Dados_SA[[#This Row],[DEMANDA_REGISTRADA_FP]]/Dados_SA[[#This Row],[DEMANDA_CONTRATADA_FP]]=0,"",Dados_SA[[#This Row],[DEMANDA_REGISTRADA_FP]]/Dados_SA[[#This Row],[DEMANDA_CONTRATADA_FP]]),"")</f>
        <v>0.83942857142857141</v>
      </c>
      <c r="AI56" s="3">
        <f>IF(Dados_SA[[#This Row],[% Demanda contratada P]]&gt;105%,1,0)</f>
        <v>0</v>
      </c>
      <c r="AJ56" s="3">
        <f>IF(Dados_SA[[#This Row],[% Demanda contratada FP]]&gt;105%,1,0)</f>
        <v>0</v>
      </c>
      <c r="AK56" s="36">
        <f>Dados_SA[[#This Row],[Acrescimo_Bamar]]/Dados_SA[[#This Row],[Valor da Fatura]]</f>
        <v>2.5785653651875223E-3</v>
      </c>
      <c r="AL56" s="36">
        <f>Dados_SA[[#This Row],[Acrescimo_Bverm1]]/Dados_SA[[#This Row],[Valor da Fatura]]</f>
        <v>0</v>
      </c>
      <c r="AM56" s="36">
        <f>Dados_SA[[#This Row],[Acrescimo_Bverm2]]/Dados_SA[[#This Row],[Valor da Fatura]]</f>
        <v>0</v>
      </c>
      <c r="AN56" s="36">
        <v>1.05</v>
      </c>
      <c r="AO56" s="36">
        <v>1</v>
      </c>
      <c r="AP56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56" s="65">
        <f>IF(Dados_SA[[#This Row],[Exced]]&lt;&gt;"",1,0)</f>
        <v>0</v>
      </c>
      <c r="AR56" s="65">
        <f>AVERAGEIFS(Dados_SA[DEMANDA_REGISTRADA_P],Dados_SA[ANO],2015,Dados_SA[UC],"SA")</f>
        <v>1203.3000000000002</v>
      </c>
      <c r="AS56" s="65">
        <f>AVERAGEIFS(Dados_SA[DEMANDA_REGISTRADA_FP],Dados_SA[ANO],2015,Dados_SA[UC],"SA")</f>
        <v>1321.875</v>
      </c>
      <c r="AT56" s="65">
        <v>501634.58</v>
      </c>
      <c r="AV56"/>
      <c r="AW56"/>
    </row>
    <row r="57" spans="1:57" x14ac:dyDescent="0.2">
      <c r="A57" s="39" t="s">
        <v>66</v>
      </c>
      <c r="B57" s="14">
        <v>43678</v>
      </c>
      <c r="C57" s="2">
        <v>2019</v>
      </c>
      <c r="D57" s="2">
        <v>8</v>
      </c>
      <c r="E57" s="2">
        <v>31</v>
      </c>
      <c r="F57" s="2">
        <v>9.9000000000000008E-3</v>
      </c>
      <c r="G57" s="2">
        <v>4.5400000000000003E-2</v>
      </c>
      <c r="H57" s="2">
        <v>0.18</v>
      </c>
      <c r="I57" s="2">
        <v>1400</v>
      </c>
      <c r="J57" s="2">
        <v>1400</v>
      </c>
      <c r="K57" s="69">
        <f>K56</f>
        <v>1134.8</v>
      </c>
      <c r="L57" s="2">
        <v>946.7</v>
      </c>
      <c r="M57" s="2"/>
      <c r="N57" s="3"/>
      <c r="O57" s="2">
        <v>12.90226</v>
      </c>
      <c r="P57" s="2"/>
      <c r="Q57" s="2">
        <v>55910.8</v>
      </c>
      <c r="R57" s="2">
        <v>415130.3</v>
      </c>
      <c r="S57" s="2">
        <v>0.55945999999999996</v>
      </c>
      <c r="T57" s="2">
        <v>7.5029999999999999E-2</v>
      </c>
      <c r="U57" s="2">
        <v>0.40514</v>
      </c>
      <c r="V57" s="2">
        <v>0.24284</v>
      </c>
      <c r="W57" s="2">
        <v>3654.6</v>
      </c>
      <c r="X57" s="2">
        <v>27306.3</v>
      </c>
      <c r="Y57" s="2"/>
      <c r="Z57" s="2"/>
      <c r="AA57" s="33">
        <v>259244.7</v>
      </c>
      <c r="AB57" s="33">
        <f t="shared" si="5"/>
        <v>471041.1</v>
      </c>
      <c r="AC57" s="33">
        <f>7195.47+969.1</f>
        <v>8164.5700000000006</v>
      </c>
      <c r="AD57" s="33">
        <f>1323.31+178.22</f>
        <v>1501.53</v>
      </c>
      <c r="AE57" s="33">
        <v>0</v>
      </c>
      <c r="AF57" s="16" t="s">
        <v>32</v>
      </c>
      <c r="AG57" s="28">
        <f>IFERROR(IF(Dados_SA[[#This Row],[DEMANDA_REGISTRADA_P]]/Dados_SA[[#This Row],[DEMANDA_CONTRATADA_P]]=0,"",Dados_SA[[#This Row],[DEMANDA_REGISTRADA_P]]/Dados_SA[[#This Row],[DEMANDA_CONTRATADA_P]]),"")</f>
        <v>0.8105714285714285</v>
      </c>
      <c r="AH57" s="28">
        <f>IFERROR(IF(Dados_SA[[#This Row],[DEMANDA_REGISTRADA_FP]]/Dados_SA[[#This Row],[DEMANDA_CONTRATADA_FP]]=0,"",Dados_SA[[#This Row],[DEMANDA_REGISTRADA_FP]]/Dados_SA[[#This Row],[DEMANDA_CONTRATADA_FP]]),"")</f>
        <v>0.67621428571428577</v>
      </c>
      <c r="AI57" s="3">
        <f>IF(Dados_SA[[#This Row],[% Demanda contratada P]]&gt;105%,1,0)</f>
        <v>0</v>
      </c>
      <c r="AJ57" s="3">
        <f>IF(Dados_SA[[#This Row],[% Demanda contratada FP]]&gt;105%,1,0)</f>
        <v>0</v>
      </c>
      <c r="AK57" s="36">
        <f>Dados_SA[[#This Row],[Acrescimo_Bamar]]/Dados_SA[[#This Row],[Valor da Fatura]]</f>
        <v>3.1493681452311274E-2</v>
      </c>
      <c r="AL57" s="36">
        <f>Dados_SA[[#This Row],[Acrescimo_Bverm1]]/Dados_SA[[#This Row],[Valor da Fatura]]</f>
        <v>5.7919409731423625E-3</v>
      </c>
      <c r="AM57" s="36">
        <f>Dados_SA[[#This Row],[Acrescimo_Bverm2]]/Dados_SA[[#This Row],[Valor da Fatura]]</f>
        <v>0</v>
      </c>
      <c r="AN57" s="36">
        <v>1.05</v>
      </c>
      <c r="AO57" s="36">
        <v>1</v>
      </c>
      <c r="AP57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57" s="65">
        <f>IF(Dados_SA[[#This Row],[Exced]]&lt;&gt;"",1,0)</f>
        <v>0</v>
      </c>
      <c r="AR57" s="65">
        <f>AVERAGEIFS(Dados_SA[DEMANDA_REGISTRADA_P],Dados_SA[ANO],2015,Dados_SA[UC],"SA")</f>
        <v>1203.3000000000002</v>
      </c>
      <c r="AS57" s="65">
        <f>AVERAGEIFS(Dados_SA[DEMANDA_REGISTRADA_FP],Dados_SA[ANO],2015,Dados_SA[UC],"SA")</f>
        <v>1321.875</v>
      </c>
      <c r="AT57" s="65">
        <v>501634.58</v>
      </c>
      <c r="AV57"/>
      <c r="AW57"/>
    </row>
    <row r="58" spans="1:57" x14ac:dyDescent="0.2">
      <c r="A58" s="39" t="s">
        <v>66</v>
      </c>
      <c r="B58" s="14">
        <v>43709</v>
      </c>
      <c r="C58" s="2">
        <v>2019</v>
      </c>
      <c r="D58" s="2">
        <v>9</v>
      </c>
      <c r="E58" s="2">
        <v>32</v>
      </c>
      <c r="F58" s="2">
        <v>9.7999999999999997E-3</v>
      </c>
      <c r="G58" s="2">
        <v>4.4999999999999998E-2</v>
      </c>
      <c r="H58" s="2">
        <v>0.18</v>
      </c>
      <c r="I58" s="2">
        <v>1400</v>
      </c>
      <c r="J58" s="2">
        <v>1400</v>
      </c>
      <c r="K58" s="2">
        <v>1011.4</v>
      </c>
      <c r="L58" s="2">
        <v>1097</v>
      </c>
      <c r="M58" s="2"/>
      <c r="N58" s="3"/>
      <c r="O58" s="2">
        <v>12.96</v>
      </c>
      <c r="P58" s="2"/>
      <c r="Q58" s="2">
        <v>27610.1</v>
      </c>
      <c r="R58" s="2">
        <v>420541</v>
      </c>
      <c r="S58" s="2">
        <v>0.56227000000000005</v>
      </c>
      <c r="T58" s="2">
        <v>7.5620000000000007E-2</v>
      </c>
      <c r="U58" s="2">
        <v>0.40493000000000001</v>
      </c>
      <c r="V58" s="2">
        <v>0.24232999999999999</v>
      </c>
      <c r="W58" s="2">
        <v>2291.5</v>
      </c>
      <c r="X58" s="2">
        <v>16554.3</v>
      </c>
      <c r="Y58" s="2"/>
      <c r="Z58" s="2"/>
      <c r="AA58" s="33">
        <v>277921.91999999998</v>
      </c>
      <c r="AB58" s="33">
        <f t="shared" si="5"/>
        <v>448151.1</v>
      </c>
      <c r="AC58" s="33">
        <v>0</v>
      </c>
      <c r="AD58" s="33">
        <f>20776.55+2846.19</f>
        <v>23622.739999999998</v>
      </c>
      <c r="AE58" s="33">
        <v>0</v>
      </c>
      <c r="AF58" s="16" t="s">
        <v>32</v>
      </c>
      <c r="AG58" s="28">
        <f>IFERROR(IF(Dados_SA[[#This Row],[DEMANDA_REGISTRADA_P]]/Dados_SA[[#This Row],[DEMANDA_CONTRATADA_P]]=0,"",Dados_SA[[#This Row],[DEMANDA_REGISTRADA_P]]/Dados_SA[[#This Row],[DEMANDA_CONTRATADA_P]]),"")</f>
        <v>0.72242857142857142</v>
      </c>
      <c r="AH58" s="28">
        <f>IFERROR(IF(Dados_SA[[#This Row],[DEMANDA_REGISTRADA_FP]]/Dados_SA[[#This Row],[DEMANDA_CONTRATADA_FP]]=0,"",Dados_SA[[#This Row],[DEMANDA_REGISTRADA_FP]]/Dados_SA[[#This Row],[DEMANDA_CONTRATADA_FP]]),"")</f>
        <v>0.78357142857142859</v>
      </c>
      <c r="AI58" s="3">
        <f>IF(Dados_SA[[#This Row],[% Demanda contratada P]]&gt;105%,1,0)</f>
        <v>0</v>
      </c>
      <c r="AJ58" s="3">
        <f>IF(Dados_SA[[#This Row],[% Demanda contratada FP]]&gt;105%,1,0)</f>
        <v>0</v>
      </c>
      <c r="AK58" s="36">
        <f>Dados_SA[[#This Row],[Acrescimo_Bamar]]/Dados_SA[[#This Row],[Valor da Fatura]]</f>
        <v>0</v>
      </c>
      <c r="AL58" s="36">
        <f>Dados_SA[[#This Row],[Acrescimo_Bverm1]]/Dados_SA[[#This Row],[Valor da Fatura]]</f>
        <v>8.499775764358565E-2</v>
      </c>
      <c r="AM58" s="36">
        <f>Dados_SA[[#This Row],[Acrescimo_Bverm2]]/Dados_SA[[#This Row],[Valor da Fatura]]</f>
        <v>0</v>
      </c>
      <c r="AN58" s="36">
        <v>1.05</v>
      </c>
      <c r="AO58" s="36">
        <v>1</v>
      </c>
      <c r="AP58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58" s="65">
        <f>IF(Dados_SA[[#This Row],[Exced]]&lt;&gt;"",1,0)</f>
        <v>0</v>
      </c>
      <c r="AR58" s="65">
        <f>AVERAGEIFS(Dados_SA[DEMANDA_REGISTRADA_P],Dados_SA[ANO],2015,Dados_SA[UC],"SA")</f>
        <v>1203.3000000000002</v>
      </c>
      <c r="AS58" s="65">
        <f>AVERAGEIFS(Dados_SA[DEMANDA_REGISTRADA_FP],Dados_SA[ANO],2015,Dados_SA[UC],"SA")</f>
        <v>1321.875</v>
      </c>
      <c r="AT58" s="65">
        <v>501634.58</v>
      </c>
      <c r="AV58"/>
      <c r="AW58"/>
    </row>
    <row r="59" spans="1:57" x14ac:dyDescent="0.2">
      <c r="A59" s="39" t="s">
        <v>66</v>
      </c>
      <c r="B59" s="14">
        <v>43739</v>
      </c>
      <c r="C59" s="2">
        <v>2019</v>
      </c>
      <c r="D59" s="2">
        <v>10</v>
      </c>
      <c r="E59" s="2">
        <v>29</v>
      </c>
      <c r="F59" s="2">
        <v>9.7000000000000003E-3</v>
      </c>
      <c r="G59" s="2">
        <v>4.4699999999999997E-2</v>
      </c>
      <c r="H59" s="2">
        <v>0.18</v>
      </c>
      <c r="I59" s="2">
        <v>1400</v>
      </c>
      <c r="J59" s="2">
        <v>1400</v>
      </c>
      <c r="K59" s="2">
        <v>1127.3</v>
      </c>
      <c r="L59" s="2">
        <v>1261.7</v>
      </c>
      <c r="M59" s="2"/>
      <c r="N59" s="3"/>
      <c r="O59" s="2">
        <v>12.96</v>
      </c>
      <c r="P59" s="2"/>
      <c r="Q59" s="2">
        <v>54350.3</v>
      </c>
      <c r="R59" s="2">
        <v>402919</v>
      </c>
      <c r="S59" s="2">
        <v>0.56227000000000005</v>
      </c>
      <c r="T59" s="2">
        <v>7.5620000000000007E-2</v>
      </c>
      <c r="U59" s="2">
        <v>0.40493000000000001</v>
      </c>
      <c r="V59" s="2">
        <v>0.24232999999999999</v>
      </c>
      <c r="W59" s="2">
        <v>7337.2</v>
      </c>
      <c r="X59" s="2">
        <v>42010.3</v>
      </c>
      <c r="Y59" s="2"/>
      <c r="Z59" s="2"/>
      <c r="AA59" s="33">
        <v>263562.09000000003</v>
      </c>
      <c r="AB59" s="33">
        <f t="shared" si="5"/>
        <v>457269.3</v>
      </c>
      <c r="AC59" s="33">
        <f>514.03+69.33</f>
        <v>583.36</v>
      </c>
      <c r="AD59" s="33">
        <f>18505.24+2496.19</f>
        <v>21001.43</v>
      </c>
      <c r="AE59" s="33">
        <v>0</v>
      </c>
      <c r="AF59" s="16" t="s">
        <v>32</v>
      </c>
      <c r="AG59" s="28">
        <f>IFERROR(IF(Dados_SA[[#This Row],[DEMANDA_REGISTRADA_P]]/Dados_SA[[#This Row],[DEMANDA_CONTRATADA_P]]=0,"",Dados_SA[[#This Row],[DEMANDA_REGISTRADA_P]]/Dados_SA[[#This Row],[DEMANDA_CONTRATADA_P]]),"")</f>
        <v>0.80521428571428566</v>
      </c>
      <c r="AH59" s="28">
        <f>IFERROR(IF(Dados_SA[[#This Row],[DEMANDA_REGISTRADA_FP]]/Dados_SA[[#This Row],[DEMANDA_CONTRATADA_FP]]=0,"",Dados_SA[[#This Row],[DEMANDA_REGISTRADA_FP]]/Dados_SA[[#This Row],[DEMANDA_CONTRATADA_FP]]),"")</f>
        <v>0.90121428571428575</v>
      </c>
      <c r="AI59" s="3">
        <f>IF(Dados_SA[[#This Row],[% Demanda contratada P]]&gt;105%,1,0)</f>
        <v>0</v>
      </c>
      <c r="AJ59" s="3">
        <f>IF(Dados_SA[[#This Row],[% Demanda contratada FP]]&gt;105%,1,0)</f>
        <v>0</v>
      </c>
      <c r="AK59" s="36">
        <f>Dados_SA[[#This Row],[Acrescimo_Bamar]]/Dados_SA[[#This Row],[Valor da Fatura]]</f>
        <v>2.213368394521382E-3</v>
      </c>
      <c r="AL59" s="36">
        <f>Dados_SA[[#This Row],[Acrescimo_Bverm1]]/Dados_SA[[#This Row],[Valor da Fatura]]</f>
        <v>7.9683045463784255E-2</v>
      </c>
      <c r="AM59" s="36">
        <f>Dados_SA[[#This Row],[Acrescimo_Bverm2]]/Dados_SA[[#This Row],[Valor da Fatura]]</f>
        <v>0</v>
      </c>
      <c r="AN59" s="36">
        <v>1.05</v>
      </c>
      <c r="AO59" s="36">
        <v>1</v>
      </c>
      <c r="AP59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59" s="65">
        <f>IF(Dados_SA[[#This Row],[Exced]]&lt;&gt;"",1,0)</f>
        <v>0</v>
      </c>
      <c r="AR59" s="65">
        <f>AVERAGEIFS(Dados_SA[DEMANDA_REGISTRADA_P],Dados_SA[ANO],2015,Dados_SA[UC],"SA")</f>
        <v>1203.3000000000002</v>
      </c>
      <c r="AS59" s="65">
        <f>AVERAGEIFS(Dados_SA[DEMANDA_REGISTRADA_FP],Dados_SA[ANO],2015,Dados_SA[UC],"SA")</f>
        <v>1321.875</v>
      </c>
      <c r="AT59" s="65">
        <v>501634.58</v>
      </c>
      <c r="AV59"/>
      <c r="AW59"/>
    </row>
    <row r="60" spans="1:57" x14ac:dyDescent="0.2">
      <c r="A60" s="39" t="s">
        <v>66</v>
      </c>
      <c r="B60" s="14">
        <v>43770</v>
      </c>
      <c r="C60" s="2">
        <v>2019</v>
      </c>
      <c r="D60" s="2">
        <v>11</v>
      </c>
      <c r="E60" s="2">
        <v>33</v>
      </c>
      <c r="F60" s="2">
        <v>8.6E-3</v>
      </c>
      <c r="G60" s="2">
        <v>3.9699999999999999E-2</v>
      </c>
      <c r="H60" s="2">
        <v>0.18</v>
      </c>
      <c r="I60" s="2">
        <v>1400</v>
      </c>
      <c r="J60" s="2">
        <v>1400</v>
      </c>
      <c r="K60" s="2">
        <v>1464.1</v>
      </c>
      <c r="L60" s="2">
        <v>1619.5</v>
      </c>
      <c r="M60" s="2"/>
      <c r="N60" s="3"/>
      <c r="O60" s="2">
        <v>12.96</v>
      </c>
      <c r="P60" s="2"/>
      <c r="Q60" s="2">
        <v>72538.8</v>
      </c>
      <c r="R60" s="2">
        <v>528500.69999999995</v>
      </c>
      <c r="S60" s="2">
        <v>0.56227000000000005</v>
      </c>
      <c r="T60" s="2">
        <v>7.5620000000000007E-2</v>
      </c>
      <c r="U60" s="2">
        <v>0.40493000000000001</v>
      </c>
      <c r="V60" s="2">
        <v>0.24232999999999999</v>
      </c>
      <c r="W60" s="2">
        <v>14994.8</v>
      </c>
      <c r="X60" s="2">
        <v>87038.7</v>
      </c>
      <c r="Y60" s="2"/>
      <c r="Z60" s="2"/>
      <c r="AA60" s="33">
        <v>337241.77</v>
      </c>
      <c r="AB60" s="33">
        <f t="shared" si="5"/>
        <v>601039.5</v>
      </c>
      <c r="AC60" s="33">
        <f>8594.72+1179.65</f>
        <v>9774.369999999999</v>
      </c>
      <c r="AD60" s="33">
        <f>3294.84+452.23</f>
        <v>3747.07</v>
      </c>
      <c r="AE60" s="33">
        <v>0</v>
      </c>
      <c r="AF60" s="16" t="s">
        <v>32</v>
      </c>
      <c r="AG60" s="28">
        <f>IFERROR(IF(Dados_SA[[#This Row],[DEMANDA_REGISTRADA_P]]/Dados_SA[[#This Row],[DEMANDA_CONTRATADA_P]]=0,"",Dados_SA[[#This Row],[DEMANDA_REGISTRADA_P]]/Dados_SA[[#This Row],[DEMANDA_CONTRATADA_P]]),"")</f>
        <v>1.0457857142857143</v>
      </c>
      <c r="AH60" s="28">
        <f>IFERROR(IF(Dados_SA[[#This Row],[DEMANDA_REGISTRADA_FP]]/Dados_SA[[#This Row],[DEMANDA_CONTRATADA_FP]]=0,"",Dados_SA[[#This Row],[DEMANDA_REGISTRADA_FP]]/Dados_SA[[#This Row],[DEMANDA_CONTRATADA_FP]]),"")</f>
        <v>1.1567857142857143</v>
      </c>
      <c r="AI60" s="3">
        <f>IF(Dados_SA[[#This Row],[% Demanda contratada P]]&gt;105%,1,0)</f>
        <v>0</v>
      </c>
      <c r="AJ60" s="3">
        <f>IF(Dados_SA[[#This Row],[% Demanda contratada FP]]&gt;105%,1,0)</f>
        <v>1</v>
      </c>
      <c r="AK60" s="36">
        <f>Dados_SA[[#This Row],[Acrescimo_Bamar]]/Dados_SA[[#This Row],[Valor da Fatura]]</f>
        <v>2.898327214923584E-2</v>
      </c>
      <c r="AL60" s="36">
        <f>Dados_SA[[#This Row],[Acrescimo_Bverm1]]/Dados_SA[[#This Row],[Valor da Fatura]]</f>
        <v>1.111093089091544E-2</v>
      </c>
      <c r="AM60" s="36">
        <f>Dados_SA[[#This Row],[Acrescimo_Bverm2]]/Dados_SA[[#This Row],[Valor da Fatura]]</f>
        <v>0</v>
      </c>
      <c r="AN60" s="36">
        <v>1.05</v>
      </c>
      <c r="AO60" s="36">
        <v>1</v>
      </c>
      <c r="AP60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60" s="65">
        <f>IF(Dados_SA[[#This Row],[Exced]]&lt;&gt;"",1,0)</f>
        <v>1</v>
      </c>
      <c r="AR60" s="65">
        <f>AVERAGEIFS(Dados_SA[DEMANDA_REGISTRADA_P],Dados_SA[ANO],2015,Dados_SA[UC],"SA")</f>
        <v>1203.3000000000002</v>
      </c>
      <c r="AS60" s="65">
        <f>AVERAGEIFS(Dados_SA[DEMANDA_REGISTRADA_FP],Dados_SA[ANO],2015,Dados_SA[UC],"SA")</f>
        <v>1321.875</v>
      </c>
      <c r="AT60" s="65">
        <v>501634.58</v>
      </c>
      <c r="AV60"/>
      <c r="AW60"/>
      <c r="AZ60"/>
      <c r="BA60"/>
      <c r="BB60"/>
      <c r="BC60"/>
      <c r="BD60"/>
      <c r="BE60"/>
    </row>
    <row r="61" spans="1:57" x14ac:dyDescent="0.2">
      <c r="A61" s="39" t="s">
        <v>66</v>
      </c>
      <c r="B61" s="14">
        <v>43800</v>
      </c>
      <c r="C61" s="2">
        <v>2019</v>
      </c>
      <c r="D61" s="2">
        <v>12</v>
      </c>
      <c r="E61" s="2">
        <v>31</v>
      </c>
      <c r="F61" s="2">
        <v>8.8999999999999999E-3</v>
      </c>
      <c r="G61" s="2">
        <v>4.0899999999999999E-2</v>
      </c>
      <c r="H61" s="2">
        <v>0.18</v>
      </c>
      <c r="I61" s="2">
        <v>1400</v>
      </c>
      <c r="J61" s="2">
        <v>1400</v>
      </c>
      <c r="K61" s="2">
        <v>1149.0999999999999</v>
      </c>
      <c r="L61" s="2">
        <v>1302</v>
      </c>
      <c r="M61" s="2"/>
      <c r="N61" s="3"/>
      <c r="O61" s="2">
        <v>12.96</v>
      </c>
      <c r="P61" s="2"/>
      <c r="Q61" s="2">
        <v>60725.3</v>
      </c>
      <c r="R61" s="2">
        <v>465373.4</v>
      </c>
      <c r="S61" s="2">
        <v>0.56227000000000005</v>
      </c>
      <c r="T61" s="2">
        <v>7.5620000000000007E-2</v>
      </c>
      <c r="U61" s="2">
        <v>0.40493000000000001</v>
      </c>
      <c r="V61" s="2">
        <v>0.24232999999999999</v>
      </c>
      <c r="W61" s="2">
        <v>9753.9</v>
      </c>
      <c r="X61" s="2">
        <f>64884.8+0</f>
        <v>64884.800000000003</v>
      </c>
      <c r="Y61" s="2"/>
      <c r="Z61" s="2"/>
      <c r="AA61" s="33">
        <v>299623.96999999997</v>
      </c>
      <c r="AB61" s="33">
        <f t="shared" si="5"/>
        <v>526098.70000000007</v>
      </c>
      <c r="AC61" s="33">
        <f>1244.52+162.39</f>
        <v>1406.9099999999999</v>
      </c>
      <c r="AD61" s="33">
        <f>20089.4+2621.41</f>
        <v>22710.81</v>
      </c>
      <c r="AE61" s="33">
        <v>0</v>
      </c>
      <c r="AF61" s="16" t="s">
        <v>32</v>
      </c>
      <c r="AG61" s="28">
        <f>IFERROR(IF(Dados_SA[[#This Row],[DEMANDA_REGISTRADA_P]]/Dados_SA[[#This Row],[DEMANDA_CONTRATADA_P]]=0,"",Dados_SA[[#This Row],[DEMANDA_REGISTRADA_P]]/Dados_SA[[#This Row],[DEMANDA_CONTRATADA_P]]),"")</f>
        <v>0.82078571428571423</v>
      </c>
      <c r="AH61" s="28">
        <f>IFERROR(IF(Dados_SA[[#This Row],[DEMANDA_REGISTRADA_FP]]/Dados_SA[[#This Row],[DEMANDA_CONTRATADA_FP]]=0,"",Dados_SA[[#This Row],[DEMANDA_REGISTRADA_FP]]/Dados_SA[[#This Row],[DEMANDA_CONTRATADA_FP]]),"")</f>
        <v>0.93</v>
      </c>
      <c r="AI61" s="3">
        <f>IF(Dados_SA[[#This Row],[% Demanda contratada P]]&gt;105%,1,0)</f>
        <v>0</v>
      </c>
      <c r="AJ61" s="3">
        <f>IF(Dados_SA[[#This Row],[% Demanda contratada FP]]&gt;105%,1,0)</f>
        <v>0</v>
      </c>
      <c r="AK61" s="36">
        <f>Dados_SA[[#This Row],[Acrescimo_Bamar]]/Dados_SA[[#This Row],[Valor da Fatura]]</f>
        <v>4.6955856035149658E-3</v>
      </c>
      <c r="AL61" s="36">
        <f>Dados_SA[[#This Row],[Acrescimo_Bverm1]]/Dados_SA[[#This Row],[Valor da Fatura]]</f>
        <v>7.5797707373011586E-2</v>
      </c>
      <c r="AM61" s="36">
        <f>Dados_SA[[#This Row],[Acrescimo_Bverm2]]/Dados_SA[[#This Row],[Valor da Fatura]]</f>
        <v>0</v>
      </c>
      <c r="AN61" s="36">
        <v>1.05</v>
      </c>
      <c r="AO61" s="36">
        <v>1</v>
      </c>
      <c r="AP61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61" s="65">
        <f>IF(Dados_SA[[#This Row],[Exced]]&lt;&gt;"",1,0)</f>
        <v>0</v>
      </c>
      <c r="AR61" s="65">
        <f>AVERAGEIFS(Dados_SA[DEMANDA_REGISTRADA_P],Dados_SA[ANO],2015,Dados_SA[UC],"SA")</f>
        <v>1203.3000000000002</v>
      </c>
      <c r="AS61" s="65">
        <f>AVERAGEIFS(Dados_SA[DEMANDA_REGISTRADA_FP],Dados_SA[ANO],2015,Dados_SA[UC],"SA")</f>
        <v>1321.875</v>
      </c>
      <c r="AT61" s="65">
        <v>501634.58</v>
      </c>
      <c r="AV61"/>
      <c r="AW61"/>
      <c r="AZ61"/>
      <c r="BA61"/>
      <c r="BB61"/>
      <c r="BC61"/>
      <c r="BD61"/>
      <c r="BE61"/>
    </row>
    <row r="62" spans="1:57" x14ac:dyDescent="0.2">
      <c r="A62" s="39" t="s">
        <v>66</v>
      </c>
      <c r="B62" s="15">
        <v>43831</v>
      </c>
      <c r="C62" s="5">
        <v>2020</v>
      </c>
      <c r="D62" s="5">
        <v>1</v>
      </c>
      <c r="E62" s="5">
        <v>29</v>
      </c>
      <c r="F62" s="5">
        <v>8.6E-3</v>
      </c>
      <c r="G62" s="6">
        <v>3.9699999999999999E-2</v>
      </c>
      <c r="H62" s="5">
        <v>0.18</v>
      </c>
      <c r="I62" s="5">
        <v>1400</v>
      </c>
      <c r="J62" s="5">
        <v>1400</v>
      </c>
      <c r="K62" s="5">
        <v>1198.7</v>
      </c>
      <c r="L62" s="7">
        <v>1286</v>
      </c>
      <c r="M62" s="5"/>
      <c r="N62" s="8"/>
      <c r="O62" s="9">
        <v>12.96</v>
      </c>
      <c r="P62" s="5"/>
      <c r="Q62" s="5">
        <v>49022.2</v>
      </c>
      <c r="R62" s="5">
        <v>406632.9</v>
      </c>
      <c r="S62" s="10">
        <v>0.56227000000000005</v>
      </c>
      <c r="T62" s="10">
        <v>7.5620000000000007E-2</v>
      </c>
      <c r="U62" s="10">
        <v>0.40493000000000001</v>
      </c>
      <c r="V62" s="10">
        <v>0.24232999999999999</v>
      </c>
      <c r="W62" s="5">
        <v>8741.9</v>
      </c>
      <c r="X62" s="5">
        <v>61121.599999999999</v>
      </c>
      <c r="Y62" s="5"/>
      <c r="Z62" s="5"/>
      <c r="AA62" s="35">
        <v>244906.81</v>
      </c>
      <c r="AB62" s="35">
        <v>455655.1</v>
      </c>
      <c r="AC62" s="35">
        <v>6764.87</v>
      </c>
      <c r="AD62" s="35">
        <v>811.92</v>
      </c>
      <c r="AE62" s="35">
        <v>0</v>
      </c>
      <c r="AF62" s="17" t="s">
        <v>32</v>
      </c>
      <c r="AG62" s="28">
        <f>IFERROR(IF(Dados_SA[[#This Row],[DEMANDA_REGISTRADA_P]]/Dados_SA[[#This Row],[DEMANDA_CONTRATADA_P]]=0,"",Dados_SA[[#This Row],[DEMANDA_REGISTRADA_P]]/Dados_SA[[#This Row],[DEMANDA_CONTRATADA_P]]),"")</f>
        <v>0.85621428571428571</v>
      </c>
      <c r="AH62" s="28">
        <f>IFERROR(IF(Dados_SA[[#This Row],[DEMANDA_REGISTRADA_FP]]/Dados_SA[[#This Row],[DEMANDA_CONTRATADA_FP]]=0,"",Dados_SA[[#This Row],[DEMANDA_REGISTRADA_FP]]/Dados_SA[[#This Row],[DEMANDA_CONTRATADA_FP]]),"")</f>
        <v>0.91857142857142859</v>
      </c>
      <c r="AI62" s="3">
        <f>IF(Dados_SA[[#This Row],[% Demanda contratada P]]&gt;105%,1,0)</f>
        <v>0</v>
      </c>
      <c r="AJ62" s="3">
        <f>IF(Dados_SA[[#This Row],[% Demanda contratada FP]]&gt;105%,1,0)</f>
        <v>0</v>
      </c>
      <c r="AK62" s="36">
        <f>Dados_SA[[#This Row],[Acrescimo_Bamar]]/Dados_SA[[#This Row],[Valor da Fatura]]</f>
        <v>2.7622220876585668E-2</v>
      </c>
      <c r="AL62" s="36">
        <f>Dados_SA[[#This Row],[Acrescimo_Bverm1]]/Dados_SA[[#This Row],[Valor da Fatura]]</f>
        <v>3.315220185179824E-3</v>
      </c>
      <c r="AM62" s="36">
        <f>Dados_SA[[#This Row],[Acrescimo_Bverm2]]/Dados_SA[[#This Row],[Valor da Fatura]]</f>
        <v>0</v>
      </c>
      <c r="AN62" s="36">
        <v>1.05</v>
      </c>
      <c r="AO62" s="36">
        <v>1</v>
      </c>
      <c r="AP62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62" s="65">
        <f>IF(Dados_SA[[#This Row],[Exced]]&lt;&gt;"",1,0)</f>
        <v>0</v>
      </c>
      <c r="AR62" s="65">
        <f>AVERAGEIFS(Dados_SA[DEMANDA_REGISTRADA_P],Dados_SA[ANO],2015,Dados_SA[UC],"SA")</f>
        <v>1203.3000000000002</v>
      </c>
      <c r="AS62" s="65">
        <f>AVERAGEIFS(Dados_SA[DEMANDA_REGISTRADA_FP],Dados_SA[ANO],2015,Dados_SA[UC],"SA")</f>
        <v>1321.875</v>
      </c>
      <c r="AT62" s="65">
        <v>501634.58</v>
      </c>
      <c r="AV62"/>
      <c r="AW62"/>
      <c r="AZ62"/>
      <c r="BA62"/>
      <c r="BB62"/>
      <c r="BC62"/>
      <c r="BD62"/>
      <c r="BE62"/>
    </row>
    <row r="63" spans="1:57" x14ac:dyDescent="0.2">
      <c r="A63" s="39" t="s">
        <v>66</v>
      </c>
      <c r="B63" s="15">
        <v>43862</v>
      </c>
      <c r="C63" s="5">
        <v>2020</v>
      </c>
      <c r="D63" s="5">
        <v>2</v>
      </c>
      <c r="E63" s="5">
        <v>32</v>
      </c>
      <c r="F63" s="5">
        <v>9.5999999999999992E-3</v>
      </c>
      <c r="G63" s="6">
        <v>4.41E-2</v>
      </c>
      <c r="H63" s="5">
        <v>0.18</v>
      </c>
      <c r="I63" s="5">
        <v>1400</v>
      </c>
      <c r="J63" s="5">
        <v>1400</v>
      </c>
      <c r="K63" s="5">
        <v>1102.9000000000001</v>
      </c>
      <c r="L63" s="7">
        <v>1260.8</v>
      </c>
      <c r="M63" s="5"/>
      <c r="N63" s="8"/>
      <c r="O63" s="9">
        <v>12.96</v>
      </c>
      <c r="P63" s="5"/>
      <c r="Q63" s="5">
        <v>54860.6</v>
      </c>
      <c r="R63" s="5">
        <v>458691.2</v>
      </c>
      <c r="S63" s="10">
        <v>0.56227000000000005</v>
      </c>
      <c r="T63" s="10">
        <v>7.5620000000000007E-2</v>
      </c>
      <c r="U63" s="10">
        <v>0.40493000000000001</v>
      </c>
      <c r="V63" s="10">
        <v>0.24232999999999999</v>
      </c>
      <c r="W63" s="5">
        <v>9481.7000000000007</v>
      </c>
      <c r="X63" s="5">
        <v>66829.100000000006</v>
      </c>
      <c r="Y63" s="5"/>
      <c r="Z63" s="5"/>
      <c r="AA63" s="35">
        <v>274129.59999999998</v>
      </c>
      <c r="AB63" s="35">
        <v>513551.9</v>
      </c>
      <c r="AC63" s="35">
        <v>6656.31</v>
      </c>
      <c r="AD63" s="35">
        <v>796.1</v>
      </c>
      <c r="AE63" s="35">
        <v>0</v>
      </c>
      <c r="AF63" s="17" t="s">
        <v>32</v>
      </c>
      <c r="AG63" s="28">
        <f>IFERROR(IF(Dados_SA[[#This Row],[DEMANDA_REGISTRADA_P]]/Dados_SA[[#This Row],[DEMANDA_CONTRATADA_P]]=0,"",Dados_SA[[#This Row],[DEMANDA_REGISTRADA_P]]/Dados_SA[[#This Row],[DEMANDA_CONTRATADA_P]]),"")</f>
        <v>0.78778571428571431</v>
      </c>
      <c r="AH63" s="28">
        <f>IFERROR(IF(Dados_SA[[#This Row],[DEMANDA_REGISTRADA_FP]]/Dados_SA[[#This Row],[DEMANDA_CONTRATADA_FP]]=0,"",Dados_SA[[#This Row],[DEMANDA_REGISTRADA_FP]]/Dados_SA[[#This Row],[DEMANDA_CONTRATADA_FP]]),"")</f>
        <v>0.90057142857142858</v>
      </c>
      <c r="AI63" s="3">
        <f>IF(Dados_SA[[#This Row],[% Demanda contratada P]]&gt;105%,1,0)</f>
        <v>0</v>
      </c>
      <c r="AJ63" s="3">
        <f>IF(Dados_SA[[#This Row],[% Demanda contratada FP]]&gt;105%,1,0)</f>
        <v>0</v>
      </c>
      <c r="AK63" s="36">
        <f>Dados_SA[[#This Row],[Acrescimo_Bamar]]/Dados_SA[[#This Row],[Valor da Fatura]]</f>
        <v>2.4281617162101431E-2</v>
      </c>
      <c r="AL63" s="36">
        <f>Dados_SA[[#This Row],[Acrescimo_Bverm1]]/Dados_SA[[#This Row],[Valor da Fatura]]</f>
        <v>2.9041008340580515E-3</v>
      </c>
      <c r="AM63" s="36">
        <f>Dados_SA[[#This Row],[Acrescimo_Bverm2]]/Dados_SA[[#This Row],[Valor da Fatura]]</f>
        <v>0</v>
      </c>
      <c r="AN63" s="36">
        <v>1.05</v>
      </c>
      <c r="AO63" s="36">
        <v>1</v>
      </c>
      <c r="AP63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63" s="65">
        <f>IF(Dados_SA[[#This Row],[Exced]]&lt;&gt;"",1,0)</f>
        <v>0</v>
      </c>
      <c r="AR63" s="65">
        <f>AVERAGEIFS(Dados_SA[DEMANDA_REGISTRADA_P],Dados_SA[ANO],2015,Dados_SA[UC],"SA")</f>
        <v>1203.3000000000002</v>
      </c>
      <c r="AS63" s="65">
        <f>AVERAGEIFS(Dados_SA[DEMANDA_REGISTRADA_FP],Dados_SA[ANO],2015,Dados_SA[UC],"SA")</f>
        <v>1321.875</v>
      </c>
      <c r="AT63" s="65">
        <v>501634.58</v>
      </c>
      <c r="AV63"/>
      <c r="AW63"/>
      <c r="AZ63"/>
      <c r="BA63"/>
      <c r="BB63"/>
      <c r="BC63"/>
      <c r="BD63"/>
      <c r="BE63"/>
    </row>
    <row r="64" spans="1:57" x14ac:dyDescent="0.2">
      <c r="A64" s="39" t="s">
        <v>66</v>
      </c>
      <c r="B64" s="15">
        <v>43891</v>
      </c>
      <c r="C64" s="5">
        <v>2020</v>
      </c>
      <c r="D64" s="5">
        <v>3</v>
      </c>
      <c r="E64" s="5">
        <v>30</v>
      </c>
      <c r="F64" s="5">
        <v>9.4999999999999998E-3</v>
      </c>
      <c r="G64" s="6">
        <v>4.3900000000000002E-2</v>
      </c>
      <c r="H64" s="5">
        <v>0.18</v>
      </c>
      <c r="I64" s="5">
        <v>1400</v>
      </c>
      <c r="J64" s="5">
        <v>1400</v>
      </c>
      <c r="K64" s="5">
        <v>1291.0999999999999</v>
      </c>
      <c r="L64" s="7">
        <v>1573.3</v>
      </c>
      <c r="M64" s="5"/>
      <c r="N64" s="8"/>
      <c r="O64" s="9">
        <v>12.96</v>
      </c>
      <c r="P64" s="5"/>
      <c r="Q64" s="5">
        <v>53632.9</v>
      </c>
      <c r="R64" s="5">
        <v>421897.1</v>
      </c>
      <c r="S64" s="10">
        <v>0.56227000000000005</v>
      </c>
      <c r="T64" s="10">
        <v>7.5620000000000007E-2</v>
      </c>
      <c r="U64" s="10">
        <v>0.40493000000000001</v>
      </c>
      <c r="V64" s="10">
        <v>0.24232999999999999</v>
      </c>
      <c r="W64" s="5">
        <v>10121.6</v>
      </c>
      <c r="X64" s="5">
        <v>65970.5</v>
      </c>
      <c r="Y64" s="5"/>
      <c r="Z64" s="5"/>
      <c r="AA64" s="35">
        <v>259077.41</v>
      </c>
      <c r="AB64" s="35">
        <v>475530.1</v>
      </c>
      <c r="AC64" s="35">
        <v>0</v>
      </c>
      <c r="AD64" s="35">
        <v>0</v>
      </c>
      <c r="AE64" s="35">
        <v>0</v>
      </c>
      <c r="AF64" s="17" t="s">
        <v>32</v>
      </c>
      <c r="AG64" s="28">
        <f>IFERROR(IF(Dados_SA[[#This Row],[DEMANDA_REGISTRADA_P]]/Dados_SA[[#This Row],[DEMANDA_CONTRATADA_P]]=0,"",Dados_SA[[#This Row],[DEMANDA_REGISTRADA_P]]/Dados_SA[[#This Row],[DEMANDA_CONTRATADA_P]]),"")</f>
        <v>0.92221428571428565</v>
      </c>
      <c r="AH64" s="28">
        <f>IFERROR(IF(Dados_SA[[#This Row],[DEMANDA_REGISTRADA_FP]]/Dados_SA[[#This Row],[DEMANDA_CONTRATADA_FP]]=0,"",Dados_SA[[#This Row],[DEMANDA_REGISTRADA_FP]]/Dados_SA[[#This Row],[DEMANDA_CONTRATADA_FP]]),"")</f>
        <v>1.1237857142857142</v>
      </c>
      <c r="AI64" s="3">
        <f>IF(Dados_SA[[#This Row],[% Demanda contratada P]]&gt;105%,1,0)</f>
        <v>0</v>
      </c>
      <c r="AJ64" s="3">
        <f>IF(Dados_SA[[#This Row],[% Demanda contratada FP]]&gt;105%,1,0)</f>
        <v>1</v>
      </c>
      <c r="AK64" s="36">
        <f>Dados_SA[[#This Row],[Acrescimo_Bamar]]/Dados_SA[[#This Row],[Valor da Fatura]]</f>
        <v>0</v>
      </c>
      <c r="AL64" s="36">
        <f>Dados_SA[[#This Row],[Acrescimo_Bverm1]]/Dados_SA[[#This Row],[Valor da Fatura]]</f>
        <v>0</v>
      </c>
      <c r="AM64" s="36">
        <f>Dados_SA[[#This Row],[Acrescimo_Bverm2]]/Dados_SA[[#This Row],[Valor da Fatura]]</f>
        <v>0</v>
      </c>
      <c r="AN64" s="36">
        <v>1.05</v>
      </c>
      <c r="AO64" s="36">
        <v>1</v>
      </c>
      <c r="AP64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64" s="65">
        <f>IF(Dados_SA[[#This Row],[Exced]]&lt;&gt;"",1,0)</f>
        <v>1</v>
      </c>
      <c r="AR64" s="65">
        <f>AVERAGEIFS(Dados_SA[DEMANDA_REGISTRADA_P],Dados_SA[ANO],2015,Dados_SA[UC],"SA")</f>
        <v>1203.3000000000002</v>
      </c>
      <c r="AS64" s="65">
        <f>AVERAGEIFS(Dados_SA[DEMANDA_REGISTRADA_FP],Dados_SA[ANO],2015,Dados_SA[UC],"SA")</f>
        <v>1321.875</v>
      </c>
      <c r="AT64" s="65">
        <v>501634.58</v>
      </c>
      <c r="AV64"/>
      <c r="AW64"/>
      <c r="AZ64"/>
      <c r="BA64"/>
      <c r="BB64"/>
      <c r="BC64"/>
      <c r="BD64"/>
      <c r="BE64"/>
    </row>
    <row r="65" spans="1:57" x14ac:dyDescent="0.2">
      <c r="A65" s="39" t="s">
        <v>66</v>
      </c>
      <c r="B65" s="15">
        <v>43922</v>
      </c>
      <c r="C65" s="5">
        <v>2020</v>
      </c>
      <c r="D65" s="5">
        <v>4</v>
      </c>
      <c r="E65" s="5">
        <v>28</v>
      </c>
      <c r="F65" s="5">
        <v>2.3E-3</v>
      </c>
      <c r="G65" s="6">
        <v>1.06E-2</v>
      </c>
      <c r="H65" s="5">
        <v>0.18</v>
      </c>
      <c r="I65" s="5">
        <v>1400</v>
      </c>
      <c r="J65" s="5">
        <v>1400</v>
      </c>
      <c r="K65" s="7">
        <v>1155</v>
      </c>
      <c r="L65" s="7">
        <v>1239.8</v>
      </c>
      <c r="M65" s="5"/>
      <c r="N65" s="8"/>
      <c r="O65" s="9">
        <v>12.96</v>
      </c>
      <c r="P65" s="5"/>
      <c r="Q65" s="5">
        <v>46047.8</v>
      </c>
      <c r="R65" s="5">
        <v>379505.3</v>
      </c>
      <c r="S65" s="10">
        <v>0.56227000000000005</v>
      </c>
      <c r="T65" s="10">
        <v>7.5620000000000007E-2</v>
      </c>
      <c r="U65" s="10">
        <v>0.40493000000000001</v>
      </c>
      <c r="V65" s="10">
        <v>0.24232999999999999</v>
      </c>
      <c r="W65" s="5">
        <v>7715.4</v>
      </c>
      <c r="X65" s="5">
        <v>51231.199999999997</v>
      </c>
      <c r="Y65" s="5"/>
      <c r="Z65" s="5"/>
      <c r="AA65" s="35">
        <v>213486.21</v>
      </c>
      <c r="AB65" s="35">
        <v>425553</v>
      </c>
      <c r="AC65" s="35">
        <v>0</v>
      </c>
      <c r="AD65" s="35">
        <v>0</v>
      </c>
      <c r="AE65" s="35">
        <v>0</v>
      </c>
      <c r="AF65" s="17" t="s">
        <v>32</v>
      </c>
      <c r="AG65" s="28">
        <f>IFERROR(IF(Dados_SA[[#This Row],[DEMANDA_REGISTRADA_P]]/Dados_SA[[#This Row],[DEMANDA_CONTRATADA_P]]=0,"",Dados_SA[[#This Row],[DEMANDA_REGISTRADA_P]]/Dados_SA[[#This Row],[DEMANDA_CONTRATADA_P]]),"")</f>
        <v>0.82499999999999996</v>
      </c>
      <c r="AH65" s="28">
        <f>IFERROR(IF(Dados_SA[[#This Row],[DEMANDA_REGISTRADA_FP]]/Dados_SA[[#This Row],[DEMANDA_CONTRATADA_FP]]=0,"",Dados_SA[[#This Row],[DEMANDA_REGISTRADA_FP]]/Dados_SA[[#This Row],[DEMANDA_CONTRATADA_FP]]),"")</f>
        <v>0.88557142857142856</v>
      </c>
      <c r="AI65" s="3">
        <f>IF(Dados_SA[[#This Row],[% Demanda contratada P]]&gt;105%,1,0)</f>
        <v>0</v>
      </c>
      <c r="AJ65" s="3">
        <f>IF(Dados_SA[[#This Row],[% Demanda contratada FP]]&gt;105%,1,0)</f>
        <v>0</v>
      </c>
      <c r="AK65" s="36">
        <f>Dados_SA[[#This Row],[Acrescimo_Bamar]]/Dados_SA[[#This Row],[Valor da Fatura]]</f>
        <v>0</v>
      </c>
      <c r="AL65" s="36">
        <f>Dados_SA[[#This Row],[Acrescimo_Bverm1]]/Dados_SA[[#This Row],[Valor da Fatura]]</f>
        <v>0</v>
      </c>
      <c r="AM65" s="36">
        <f>Dados_SA[[#This Row],[Acrescimo_Bverm2]]/Dados_SA[[#This Row],[Valor da Fatura]]</f>
        <v>0</v>
      </c>
      <c r="AN65" s="36">
        <v>1.05</v>
      </c>
      <c r="AO65" s="36">
        <v>1</v>
      </c>
      <c r="AP65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65" s="65">
        <f>IF(Dados_SA[[#This Row],[Exced]]&lt;&gt;"",1,0)</f>
        <v>0</v>
      </c>
      <c r="AR65" s="65">
        <f>AVERAGEIFS(Dados_SA[DEMANDA_REGISTRADA_P],Dados_SA[ANO],2015,Dados_SA[UC],"SA")</f>
        <v>1203.3000000000002</v>
      </c>
      <c r="AS65" s="65">
        <f>AVERAGEIFS(Dados_SA[DEMANDA_REGISTRADA_FP],Dados_SA[ANO],2015,Dados_SA[UC],"SA")</f>
        <v>1321.875</v>
      </c>
      <c r="AT65" s="65">
        <v>501634.58</v>
      </c>
      <c r="AV65"/>
      <c r="AW65"/>
      <c r="AZ65"/>
      <c r="BA65"/>
      <c r="BB65"/>
      <c r="BC65"/>
      <c r="BD65"/>
      <c r="BE65"/>
    </row>
    <row r="66" spans="1:57" x14ac:dyDescent="0.2">
      <c r="A66" s="40" t="s">
        <v>67</v>
      </c>
      <c r="B66" s="15">
        <v>42005</v>
      </c>
      <c r="C66" s="5">
        <v>2015</v>
      </c>
      <c r="D66" s="5">
        <v>1</v>
      </c>
      <c r="E66" s="5">
        <v>31</v>
      </c>
      <c r="F66" s="5">
        <v>6.6E-3</v>
      </c>
      <c r="G66" s="6">
        <v>3.0200000000000001E-2</v>
      </c>
      <c r="H66" s="5">
        <v>0.18</v>
      </c>
      <c r="I66" s="5">
        <v>400</v>
      </c>
      <c r="J66" s="5">
        <v>400</v>
      </c>
      <c r="K66" s="5">
        <v>330.1</v>
      </c>
      <c r="L66" s="7">
        <v>357</v>
      </c>
      <c r="M66" s="5"/>
      <c r="N66" s="9"/>
      <c r="O66" s="9">
        <v>7.2061299999999999</v>
      </c>
      <c r="P66" s="5"/>
      <c r="Q66" s="7">
        <f>8248+2434+3398</f>
        <v>14080</v>
      </c>
      <c r="R66" s="5">
        <f>72683.3+6945.8+7581+21183.8+24884.5</f>
        <v>133278.40000000002</v>
      </c>
      <c r="S66" s="10">
        <v>0.30130000000000001</v>
      </c>
      <c r="T66" s="10">
        <v>7.2061299999999999</v>
      </c>
      <c r="U66" s="10">
        <v>0.27045999999999998</v>
      </c>
      <c r="V66" s="10">
        <v>0.16225999999999999</v>
      </c>
      <c r="W66" s="5">
        <v>790.4</v>
      </c>
      <c r="X66" s="5">
        <v>5381.5</v>
      </c>
      <c r="Y66" s="5"/>
      <c r="Z66" s="5"/>
      <c r="AA66" s="35">
        <v>44655.7</v>
      </c>
      <c r="AB66" s="35">
        <f>SUM(Dados_SA[[#This Row],[ENERGIA_PONTA]:[ENERGIA_FPONTA]])</f>
        <v>147358.40000000002</v>
      </c>
      <c r="AC66" s="33"/>
      <c r="AD66" s="33">
        <v>6139.52</v>
      </c>
      <c r="AE66" s="35">
        <v>7256.87</v>
      </c>
      <c r="AF66" s="17" t="s">
        <v>32</v>
      </c>
      <c r="AG66" s="41">
        <f>IFERROR(IF(Dados_SA[[#This Row],[DEMANDA_REGISTRADA_P]]/Dados_SA[[#This Row],[DEMANDA_CONTRATADA_P]]=0,"",Dados_SA[[#This Row],[DEMANDA_REGISTRADA_P]]/Dados_SA[[#This Row],[DEMANDA_CONTRATADA_P]]),"")</f>
        <v>0.82525000000000004</v>
      </c>
      <c r="AH66" s="41">
        <f>IFERROR(IF(Dados_SA[[#This Row],[DEMANDA_REGISTRADA_FP]]/Dados_SA[[#This Row],[DEMANDA_CONTRATADA_FP]]=0,"",Dados_SA[[#This Row],[DEMANDA_REGISTRADA_FP]]/Dados_SA[[#This Row],[DEMANDA_CONTRATADA_FP]]),"")</f>
        <v>0.89249999999999996</v>
      </c>
      <c r="AI66" s="42">
        <f>IF(Dados_SA[[#This Row],[% Demanda contratada P]]&gt;105%,1,0)</f>
        <v>0</v>
      </c>
      <c r="AJ66" s="42">
        <f>IF(Dados_SA[[#This Row],[% Demanda contratada FP]]&gt;105%,1,0)</f>
        <v>0</v>
      </c>
      <c r="AK66" s="41">
        <f>Dados_SA[[#This Row],[Acrescimo_Bamar]]/Dados_SA[[#This Row],[Valor da Fatura]]</f>
        <v>0</v>
      </c>
      <c r="AL66" s="41">
        <f>Dados_SA[[#This Row],[Acrescimo_Bverm1]]/Dados_SA[[#This Row],[Valor da Fatura]]</f>
        <v>0.13748569611494169</v>
      </c>
      <c r="AM66" s="41">
        <f>Dados_SA[[#This Row],[Acrescimo_Bverm2]]/Dados_SA[[#This Row],[Valor da Fatura]]</f>
        <v>0.16250713794655555</v>
      </c>
      <c r="AN66" s="36">
        <v>1.05</v>
      </c>
      <c r="AO66" s="36">
        <v>1</v>
      </c>
      <c r="AP66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66" s="65">
        <f>IF(Dados_SA[[#This Row],[Exced]]&lt;&gt;"",1,0)</f>
        <v>0</v>
      </c>
      <c r="AR66" s="65">
        <f>AVERAGEIFS(Dados_SA[DEMANDA_REGISTRADA_P],Dados_SA[ANO],2015,Dados_SA[UC],"SBC")</f>
        <v>410.04999999999995</v>
      </c>
      <c r="AS66" s="65">
        <f>AVERAGEIFS(Dados_SA[DEMANDA_REGISTRADA_FP],Dados_SA[ANO],2015,Dados_SA[UC],"SBC")</f>
        <v>410.82499999999999</v>
      </c>
      <c r="AT66" s="65">
        <v>157561.57999999999</v>
      </c>
      <c r="AV66"/>
      <c r="AW66"/>
      <c r="AZ66"/>
      <c r="BA66"/>
      <c r="BB66"/>
      <c r="BC66"/>
      <c r="BD66"/>
      <c r="BE66"/>
    </row>
    <row r="67" spans="1:57" x14ac:dyDescent="0.2">
      <c r="A67" s="40" t="s">
        <v>67</v>
      </c>
      <c r="B67" s="15">
        <v>42036</v>
      </c>
      <c r="C67" s="5">
        <v>2015</v>
      </c>
      <c r="D67" s="5">
        <v>2</v>
      </c>
      <c r="E67" s="5">
        <v>28</v>
      </c>
      <c r="F67" s="5">
        <v>1.2500000000000001E-2</v>
      </c>
      <c r="G67" s="6">
        <v>5.7000000000000002E-2</v>
      </c>
      <c r="H67" s="5">
        <v>0.18</v>
      </c>
      <c r="I67" s="5">
        <v>400</v>
      </c>
      <c r="J67" s="5">
        <v>400</v>
      </c>
      <c r="K67" s="5">
        <v>401.5</v>
      </c>
      <c r="L67" s="7">
        <v>393.1</v>
      </c>
      <c r="M67" s="5"/>
      <c r="N67" s="9"/>
      <c r="O67" s="9">
        <v>7.77</v>
      </c>
      <c r="P67" s="5"/>
      <c r="Q67" s="5">
        <v>15593.3</v>
      </c>
      <c r="R67" s="5">
        <v>128378.79999999999</v>
      </c>
      <c r="S67" s="10">
        <v>0.32399</v>
      </c>
      <c r="T67" s="10">
        <v>2.179E-2</v>
      </c>
      <c r="U67" s="10">
        <v>0.30051</v>
      </c>
      <c r="V67" s="10">
        <v>0.19231000000000001</v>
      </c>
      <c r="W67" s="5">
        <v>892.9</v>
      </c>
      <c r="X67" s="5">
        <v>4020.9</v>
      </c>
      <c r="Y67" s="5"/>
      <c r="Z67" s="5"/>
      <c r="AA67" s="35">
        <v>50619.9</v>
      </c>
      <c r="AB67" s="35">
        <v>143972.09999999998</v>
      </c>
      <c r="AC67" s="33"/>
      <c r="AD67" s="33">
        <v>29374.52</v>
      </c>
      <c r="AE67" s="35"/>
      <c r="AF67" s="17" t="s">
        <v>32</v>
      </c>
      <c r="AG67" s="41">
        <f>IFERROR(IF(Dados_SA[[#This Row],[DEMANDA_REGISTRADA_P]]/Dados_SA[[#This Row],[DEMANDA_CONTRATADA_P]]=0,"",Dados_SA[[#This Row],[DEMANDA_REGISTRADA_P]]/Dados_SA[[#This Row],[DEMANDA_CONTRATADA_P]]),"")</f>
        <v>1.0037499999999999</v>
      </c>
      <c r="AH67" s="41">
        <f>IFERROR(IF(Dados_SA[[#This Row],[DEMANDA_REGISTRADA_FP]]/Dados_SA[[#This Row],[DEMANDA_CONTRATADA_FP]]=0,"",Dados_SA[[#This Row],[DEMANDA_REGISTRADA_FP]]/Dados_SA[[#This Row],[DEMANDA_CONTRATADA_FP]]),"")</f>
        <v>0.98275000000000001</v>
      </c>
      <c r="AI67" s="42">
        <f>IF(Dados_SA[[#This Row],[% Demanda contratada P]]&gt;105%,1,0)</f>
        <v>0</v>
      </c>
      <c r="AJ67" s="42">
        <f>IF(Dados_SA[[#This Row],[% Demanda contratada FP]]&gt;105%,1,0)</f>
        <v>0</v>
      </c>
      <c r="AK67" s="41">
        <f>Dados_SA[[#This Row],[Acrescimo_Bamar]]/Dados_SA[[#This Row],[Valor da Fatura]]</f>
        <v>0</v>
      </c>
      <c r="AL67" s="41">
        <f>Dados_SA[[#This Row],[Acrescimo_Bverm1]]/Dados_SA[[#This Row],[Valor da Fatura]]</f>
        <v>0.58029589153672767</v>
      </c>
      <c r="AM67" s="41">
        <f>Dados_SA[[#This Row],[Acrescimo_Bverm2]]/Dados_SA[[#This Row],[Valor da Fatura]]</f>
        <v>0</v>
      </c>
      <c r="AN67" s="36">
        <v>1.05</v>
      </c>
      <c r="AO67" s="36">
        <v>1</v>
      </c>
      <c r="AP67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67" s="65">
        <f>IF(Dados_SA[[#This Row],[Exced]]&lt;&gt;"",1,0)</f>
        <v>0</v>
      </c>
      <c r="AR67" s="65">
        <f>AVERAGEIFS(Dados_SA[DEMANDA_REGISTRADA_P],Dados_SA[ANO],2015,Dados_SA[UC],"SBC")</f>
        <v>410.04999999999995</v>
      </c>
      <c r="AS67" s="65">
        <f>AVERAGEIFS(Dados_SA[DEMANDA_REGISTRADA_FP],Dados_SA[ANO],2015,Dados_SA[UC],"SBC")</f>
        <v>410.82499999999999</v>
      </c>
      <c r="AT67" s="65">
        <v>157561.57999999999</v>
      </c>
      <c r="AV67"/>
      <c r="AW67"/>
      <c r="AZ67"/>
      <c r="BA67"/>
      <c r="BB67"/>
      <c r="BC67"/>
      <c r="BD67"/>
      <c r="BE67"/>
    </row>
    <row r="68" spans="1:57" x14ac:dyDescent="0.2">
      <c r="A68" s="40" t="s">
        <v>67</v>
      </c>
      <c r="B68" s="15">
        <v>42064</v>
      </c>
      <c r="C68" s="5">
        <v>2015</v>
      </c>
      <c r="D68" s="5">
        <v>3</v>
      </c>
      <c r="E68" s="5">
        <v>31</v>
      </c>
      <c r="F68" s="5">
        <v>9.4999999999999998E-3</v>
      </c>
      <c r="G68" s="6">
        <v>4.36E-2</v>
      </c>
      <c r="H68" s="5">
        <v>0.18</v>
      </c>
      <c r="I68" s="5">
        <v>400</v>
      </c>
      <c r="J68" s="5">
        <v>400</v>
      </c>
      <c r="K68" s="5">
        <v>416.6</v>
      </c>
      <c r="L68" s="7">
        <v>448.6</v>
      </c>
      <c r="M68" s="5"/>
      <c r="N68" s="9"/>
      <c r="O68" s="9">
        <v>7.9153099999999998</v>
      </c>
      <c r="P68" s="5"/>
      <c r="Q68" s="5">
        <v>19987.2</v>
      </c>
      <c r="R68" s="5">
        <v>154744.29999999999</v>
      </c>
      <c r="S68" s="10">
        <v>0.35271000000000002</v>
      </c>
      <c r="T68" s="10">
        <v>4.4110000000000003E-2</v>
      </c>
      <c r="U68" s="10">
        <v>0.33426499999999998</v>
      </c>
      <c r="V68" s="10">
        <v>0.21911</v>
      </c>
      <c r="W68" s="5">
        <v>1206.9000000000001</v>
      </c>
      <c r="X68" s="5">
        <v>6626.2</v>
      </c>
      <c r="Y68" s="5"/>
      <c r="Z68" s="5"/>
      <c r="AA68" s="35">
        <v>71485.210000000006</v>
      </c>
      <c r="AB68" s="35">
        <v>174731.5</v>
      </c>
      <c r="AC68" s="33"/>
      <c r="AD68" s="33">
        <v>20122.620000000003</v>
      </c>
      <c r="AE68" s="35">
        <v>19903.97</v>
      </c>
      <c r="AF68" s="17" t="s">
        <v>32</v>
      </c>
      <c r="AG68" s="41">
        <f>IFERROR(IF(Dados_SA[[#This Row],[DEMANDA_REGISTRADA_P]]/Dados_SA[[#This Row],[DEMANDA_CONTRATADA_P]]=0,"",Dados_SA[[#This Row],[DEMANDA_REGISTRADA_P]]/Dados_SA[[#This Row],[DEMANDA_CONTRATADA_P]]),"")</f>
        <v>1.0415000000000001</v>
      </c>
      <c r="AH68" s="41">
        <f>IFERROR(IF(Dados_SA[[#This Row],[DEMANDA_REGISTRADA_FP]]/Dados_SA[[#This Row],[DEMANDA_CONTRATADA_FP]]=0,"",Dados_SA[[#This Row],[DEMANDA_REGISTRADA_FP]]/Dados_SA[[#This Row],[DEMANDA_CONTRATADA_FP]]),"")</f>
        <v>1.1215000000000002</v>
      </c>
      <c r="AI68" s="42">
        <f>IF(Dados_SA[[#This Row],[% Demanda contratada P]]&gt;105%,1,0)</f>
        <v>0</v>
      </c>
      <c r="AJ68" s="42">
        <f>IF(Dados_SA[[#This Row],[% Demanda contratada FP]]&gt;105%,1,0)</f>
        <v>1</v>
      </c>
      <c r="AK68" s="41">
        <f>Dados_SA[[#This Row],[Acrescimo_Bamar]]/Dados_SA[[#This Row],[Valor da Fatura]]</f>
        <v>0</v>
      </c>
      <c r="AL68" s="41">
        <f>Dados_SA[[#This Row],[Acrescimo_Bverm1]]/Dados_SA[[#This Row],[Valor da Fatura]]</f>
        <v>0.28149347256586366</v>
      </c>
      <c r="AM68" s="41">
        <f>Dados_SA[[#This Row],[Acrescimo_Bverm2]]/Dados_SA[[#This Row],[Valor da Fatura]]</f>
        <v>0.27843479791134418</v>
      </c>
      <c r="AN68" s="36">
        <v>1.05</v>
      </c>
      <c r="AO68" s="36">
        <v>1</v>
      </c>
      <c r="AP68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68" s="65">
        <f>IF(Dados_SA[[#This Row],[Exced]]&lt;&gt;"",1,0)</f>
        <v>1</v>
      </c>
      <c r="AR68" s="65">
        <f>AVERAGEIFS(Dados_SA[DEMANDA_REGISTRADA_P],Dados_SA[ANO],2015,Dados_SA[UC],"SBC")</f>
        <v>410.04999999999995</v>
      </c>
      <c r="AS68" s="65">
        <f>AVERAGEIFS(Dados_SA[DEMANDA_REGISTRADA_FP],Dados_SA[ANO],2015,Dados_SA[UC],"SBC")</f>
        <v>410.82499999999999</v>
      </c>
      <c r="AT68" s="65">
        <v>157561.57999999999</v>
      </c>
      <c r="AV68"/>
      <c r="AW68"/>
      <c r="AZ68"/>
      <c r="BA68"/>
      <c r="BB68"/>
      <c r="BC68"/>
      <c r="BD68"/>
      <c r="BE68"/>
    </row>
    <row r="69" spans="1:57" x14ac:dyDescent="0.2">
      <c r="A69" s="40" t="s">
        <v>67</v>
      </c>
      <c r="B69" s="15">
        <v>42095</v>
      </c>
      <c r="C69" s="5">
        <v>2015</v>
      </c>
      <c r="D69" s="5">
        <v>4</v>
      </c>
      <c r="E69" s="5">
        <v>30</v>
      </c>
      <c r="F69" s="5">
        <v>6.7000000000000002E-3</v>
      </c>
      <c r="G69" s="6">
        <v>3.0800000000000001E-2</v>
      </c>
      <c r="H69" s="5">
        <v>0.18</v>
      </c>
      <c r="I69" s="5">
        <v>400</v>
      </c>
      <c r="J69" s="5">
        <v>400</v>
      </c>
      <c r="K69" s="5">
        <v>412.4</v>
      </c>
      <c r="L69" s="7">
        <v>435.1</v>
      </c>
      <c r="M69" s="5"/>
      <c r="N69" s="9"/>
      <c r="O69" s="9">
        <v>8.08</v>
      </c>
      <c r="P69" s="5"/>
      <c r="Q69" s="5">
        <v>19337.099999999999</v>
      </c>
      <c r="R69" s="5">
        <v>137819.1</v>
      </c>
      <c r="S69" s="10">
        <v>0.38525999999999999</v>
      </c>
      <c r="T69" s="10">
        <v>6.9409999999999999E-2</v>
      </c>
      <c r="U69" s="10">
        <v>0.36798999999999998</v>
      </c>
      <c r="V69" s="10">
        <v>0.24590999999999999</v>
      </c>
      <c r="W69" s="5">
        <v>842.7</v>
      </c>
      <c r="X69" s="5">
        <v>3717.8</v>
      </c>
      <c r="Y69" s="5"/>
      <c r="Z69" s="5"/>
      <c r="AA69" s="35">
        <v>74770.66</v>
      </c>
      <c r="AB69" s="35">
        <v>157156.20000000001</v>
      </c>
      <c r="AC69" s="33"/>
      <c r="AD69" s="33">
        <v>41021.65</v>
      </c>
      <c r="AE69" s="35"/>
      <c r="AF69" s="17" t="s">
        <v>32</v>
      </c>
      <c r="AG69" s="41">
        <f>IFERROR(IF(Dados_SA[[#This Row],[DEMANDA_REGISTRADA_P]]/Dados_SA[[#This Row],[DEMANDA_CONTRATADA_P]]=0,"",Dados_SA[[#This Row],[DEMANDA_REGISTRADA_P]]/Dados_SA[[#This Row],[DEMANDA_CONTRATADA_P]]),"")</f>
        <v>1.0309999999999999</v>
      </c>
      <c r="AH69" s="41">
        <f>IFERROR(IF(Dados_SA[[#This Row],[DEMANDA_REGISTRADA_FP]]/Dados_SA[[#This Row],[DEMANDA_CONTRATADA_FP]]=0,"",Dados_SA[[#This Row],[DEMANDA_REGISTRADA_FP]]/Dados_SA[[#This Row],[DEMANDA_CONTRATADA_FP]]),"")</f>
        <v>1.08775</v>
      </c>
      <c r="AI69" s="42">
        <f>IF(Dados_SA[[#This Row],[% Demanda contratada P]]&gt;105%,1,0)</f>
        <v>0</v>
      </c>
      <c r="AJ69" s="42">
        <f>IF(Dados_SA[[#This Row],[% Demanda contratada FP]]&gt;105%,1,0)</f>
        <v>1</v>
      </c>
      <c r="AK69" s="41">
        <f>Dados_SA[[#This Row],[Acrescimo_Bamar]]/Dados_SA[[#This Row],[Valor da Fatura]]</f>
        <v>0</v>
      </c>
      <c r="AL69" s="41">
        <f>Dados_SA[[#This Row],[Acrescimo_Bverm1]]/Dados_SA[[#This Row],[Valor da Fatura]]</f>
        <v>0.54863297983460357</v>
      </c>
      <c r="AM69" s="41">
        <f>Dados_SA[[#This Row],[Acrescimo_Bverm2]]/Dados_SA[[#This Row],[Valor da Fatura]]</f>
        <v>0</v>
      </c>
      <c r="AN69" s="36">
        <v>1.05</v>
      </c>
      <c r="AO69" s="36">
        <v>1</v>
      </c>
      <c r="AP69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69" s="65">
        <f>IF(Dados_SA[[#This Row],[Exced]]&lt;&gt;"",1,0)</f>
        <v>1</v>
      </c>
      <c r="AR69" s="65">
        <f>AVERAGEIFS(Dados_SA[DEMANDA_REGISTRADA_P],Dados_SA[ANO],2015,Dados_SA[UC],"SBC")</f>
        <v>410.04999999999995</v>
      </c>
      <c r="AS69" s="65">
        <f>AVERAGEIFS(Dados_SA[DEMANDA_REGISTRADA_FP],Dados_SA[ANO],2015,Dados_SA[UC],"SBC")</f>
        <v>410.82499999999999</v>
      </c>
      <c r="AT69" s="65">
        <v>157561.57999999999</v>
      </c>
      <c r="AV69"/>
      <c r="AW69"/>
      <c r="AZ69"/>
      <c r="BA69"/>
      <c r="BB69"/>
      <c r="BC69"/>
      <c r="BD69"/>
      <c r="BE69"/>
    </row>
    <row r="70" spans="1:57" ht="15.75" customHeight="1" x14ac:dyDescent="0.2">
      <c r="A70" s="40" t="s">
        <v>67</v>
      </c>
      <c r="B70" s="15">
        <v>42125</v>
      </c>
      <c r="C70" s="5">
        <v>2015</v>
      </c>
      <c r="D70" s="5">
        <v>5</v>
      </c>
      <c r="E70" s="5">
        <v>31</v>
      </c>
      <c r="F70" s="5">
        <v>8.5000000000000006E-3</v>
      </c>
      <c r="G70" s="6">
        <v>3.9E-2</v>
      </c>
      <c r="H70" s="5">
        <v>0.18</v>
      </c>
      <c r="I70" s="5">
        <v>400</v>
      </c>
      <c r="J70" s="5">
        <v>400</v>
      </c>
      <c r="K70" s="5">
        <v>415.8</v>
      </c>
      <c r="L70" s="7">
        <v>426.7</v>
      </c>
      <c r="M70" s="5"/>
      <c r="N70" s="9"/>
      <c r="O70" s="9">
        <v>8.08</v>
      </c>
      <c r="P70" s="5"/>
      <c r="Q70" s="5">
        <v>17394.099999999999</v>
      </c>
      <c r="R70" s="5">
        <v>130229.90000000001</v>
      </c>
      <c r="S70" s="10">
        <v>0.38525999999999999</v>
      </c>
      <c r="T70" s="10">
        <v>6.4100000000000004E-2</v>
      </c>
      <c r="U70" s="10">
        <v>0.36798999999999998</v>
      </c>
      <c r="V70" s="10">
        <v>0.24590999999999999</v>
      </c>
      <c r="W70" s="5">
        <v>846.1</v>
      </c>
      <c r="X70" s="5">
        <v>2741.8</v>
      </c>
      <c r="Y70" s="5"/>
      <c r="Z70" s="5"/>
      <c r="AA70" s="35">
        <v>70753.3</v>
      </c>
      <c r="AB70" s="35">
        <v>147624</v>
      </c>
      <c r="AC70" s="33"/>
      <c r="AD70" s="33">
        <v>38425.660000000003</v>
      </c>
      <c r="AE70" s="35"/>
      <c r="AF70" s="17" t="s">
        <v>32</v>
      </c>
      <c r="AG70" s="41">
        <f>IFERROR(IF(Dados_SA[[#This Row],[DEMANDA_REGISTRADA_P]]/Dados_SA[[#This Row],[DEMANDA_CONTRATADA_P]]=0,"",Dados_SA[[#This Row],[DEMANDA_REGISTRADA_P]]/Dados_SA[[#This Row],[DEMANDA_CONTRATADA_P]]),"")</f>
        <v>1.0395000000000001</v>
      </c>
      <c r="AH70" s="41">
        <f>IFERROR(IF(Dados_SA[[#This Row],[DEMANDA_REGISTRADA_FP]]/Dados_SA[[#This Row],[DEMANDA_CONTRATADA_FP]]=0,"",Dados_SA[[#This Row],[DEMANDA_REGISTRADA_FP]]/Dados_SA[[#This Row],[DEMANDA_CONTRATADA_FP]]),"")</f>
        <v>1.0667499999999999</v>
      </c>
      <c r="AI70" s="42">
        <f>IF(Dados_SA[[#This Row],[% Demanda contratada P]]&gt;105%,1,0)</f>
        <v>0</v>
      </c>
      <c r="AJ70" s="42">
        <f>IF(Dados_SA[[#This Row],[% Demanda contratada FP]]&gt;105%,1,0)</f>
        <v>1</v>
      </c>
      <c r="AK70" s="41">
        <f>Dados_SA[[#This Row],[Acrescimo_Bamar]]/Dados_SA[[#This Row],[Valor da Fatura]]</f>
        <v>0</v>
      </c>
      <c r="AL70" s="41">
        <f>Dados_SA[[#This Row],[Acrescimo_Bverm1]]/Dados_SA[[#This Row],[Valor da Fatura]]</f>
        <v>0.54309353768658142</v>
      </c>
      <c r="AM70" s="41">
        <f>Dados_SA[[#This Row],[Acrescimo_Bverm2]]/Dados_SA[[#This Row],[Valor da Fatura]]</f>
        <v>0</v>
      </c>
      <c r="AN70" s="36">
        <v>1.05</v>
      </c>
      <c r="AO70" s="36">
        <v>1</v>
      </c>
      <c r="AP70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70" s="65">
        <f>IF(Dados_SA[[#This Row],[Exced]]&lt;&gt;"",1,0)</f>
        <v>1</v>
      </c>
      <c r="AR70" s="65">
        <f>AVERAGEIFS(Dados_SA[DEMANDA_REGISTRADA_P],Dados_SA[ANO],2015,Dados_SA[UC],"SBC")</f>
        <v>410.04999999999995</v>
      </c>
      <c r="AS70" s="65">
        <f>AVERAGEIFS(Dados_SA[DEMANDA_REGISTRADA_FP],Dados_SA[ANO],2015,Dados_SA[UC],"SBC")</f>
        <v>410.82499999999999</v>
      </c>
      <c r="AT70" s="65">
        <v>157561.57999999999</v>
      </c>
      <c r="AZ70"/>
      <c r="BA70"/>
      <c r="BB70"/>
      <c r="BC70"/>
      <c r="BD70"/>
      <c r="BE70"/>
    </row>
    <row r="71" spans="1:57" ht="15.75" customHeight="1" x14ac:dyDescent="0.2">
      <c r="A71" s="40" t="s">
        <v>67</v>
      </c>
      <c r="B71" s="15">
        <v>42156</v>
      </c>
      <c r="C71" s="5">
        <v>2015</v>
      </c>
      <c r="D71" s="5">
        <v>6</v>
      </c>
      <c r="E71" s="5">
        <v>30</v>
      </c>
      <c r="F71" s="5">
        <v>7.9000000000000008E-3</v>
      </c>
      <c r="G71" s="6">
        <v>3.6400000000000002E-2</v>
      </c>
      <c r="H71" s="5">
        <v>0.18</v>
      </c>
      <c r="I71" s="5">
        <v>400</v>
      </c>
      <c r="J71" s="5">
        <v>400</v>
      </c>
      <c r="K71" s="5">
        <v>404</v>
      </c>
      <c r="L71" s="7">
        <v>386.4</v>
      </c>
      <c r="M71" s="5"/>
      <c r="N71" s="9"/>
      <c r="O71" s="9">
        <v>8.08</v>
      </c>
      <c r="P71" s="5"/>
      <c r="Q71" s="5">
        <v>17451.599999999999</v>
      </c>
      <c r="R71" s="5">
        <v>125393.5</v>
      </c>
      <c r="S71" s="10">
        <v>0.38525999999999999</v>
      </c>
      <c r="T71" s="10">
        <v>6.4100000000000004E-2</v>
      </c>
      <c r="U71" s="10">
        <v>0.36798999999999998</v>
      </c>
      <c r="V71" s="10">
        <v>0.24590999999999999</v>
      </c>
      <c r="W71" s="5">
        <v>1017.5</v>
      </c>
      <c r="X71" s="5">
        <v>2818.4</v>
      </c>
      <c r="Y71" s="5"/>
      <c r="Z71" s="5"/>
      <c r="AA71" s="35">
        <v>67916.61</v>
      </c>
      <c r="AB71" s="35">
        <v>142845.1</v>
      </c>
      <c r="AC71" s="33"/>
      <c r="AD71" s="33">
        <v>37257.54</v>
      </c>
      <c r="AE71" s="35"/>
      <c r="AF71" s="17" t="s">
        <v>32</v>
      </c>
      <c r="AG71" s="41">
        <f>IFERROR(IF(Dados_SA[[#This Row],[DEMANDA_REGISTRADA_P]]/Dados_SA[[#This Row],[DEMANDA_CONTRATADA_P]]=0,"",Dados_SA[[#This Row],[DEMANDA_REGISTRADA_P]]/Dados_SA[[#This Row],[DEMANDA_CONTRATADA_P]]),"")</f>
        <v>1.01</v>
      </c>
      <c r="AH71" s="41">
        <f>IFERROR(IF(Dados_SA[[#This Row],[DEMANDA_REGISTRADA_FP]]/Dados_SA[[#This Row],[DEMANDA_CONTRATADA_FP]]=0,"",Dados_SA[[#This Row],[DEMANDA_REGISTRADA_FP]]/Dados_SA[[#This Row],[DEMANDA_CONTRATADA_FP]]),"")</f>
        <v>0.96599999999999997</v>
      </c>
      <c r="AI71" s="42">
        <f>IF(Dados_SA[[#This Row],[% Demanda contratada P]]&gt;105%,1,0)</f>
        <v>0</v>
      </c>
      <c r="AJ71" s="42">
        <f>IF(Dados_SA[[#This Row],[% Demanda contratada FP]]&gt;105%,1,0)</f>
        <v>0</v>
      </c>
      <c r="AK71" s="41">
        <f>Dados_SA[[#This Row],[Acrescimo_Bamar]]/Dados_SA[[#This Row],[Valor da Fatura]]</f>
        <v>0</v>
      </c>
      <c r="AL71" s="41">
        <f>Dados_SA[[#This Row],[Acrescimo_Bverm1]]/Dados_SA[[#This Row],[Valor da Fatura]]</f>
        <v>0.54857773378264907</v>
      </c>
      <c r="AM71" s="41">
        <f>Dados_SA[[#This Row],[Acrescimo_Bverm2]]/Dados_SA[[#This Row],[Valor da Fatura]]</f>
        <v>0</v>
      </c>
      <c r="AN71" s="36">
        <v>1.05</v>
      </c>
      <c r="AO71" s="36">
        <v>1</v>
      </c>
      <c r="AP71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71" s="65">
        <f>IF(Dados_SA[[#This Row],[Exced]]&lt;&gt;"",1,0)</f>
        <v>0</v>
      </c>
      <c r="AR71" s="65">
        <f>AVERAGEIFS(Dados_SA[DEMANDA_REGISTRADA_P],Dados_SA[ANO],2015,Dados_SA[UC],"SBC")</f>
        <v>410.04999999999995</v>
      </c>
      <c r="AS71" s="65">
        <f>AVERAGEIFS(Dados_SA[DEMANDA_REGISTRADA_FP],Dados_SA[ANO],2015,Dados_SA[UC],"SBC")</f>
        <v>410.82499999999999</v>
      </c>
      <c r="AT71" s="65">
        <v>157561.57999999999</v>
      </c>
      <c r="AZ71"/>
      <c r="BA71"/>
      <c r="BB71"/>
      <c r="BC71"/>
      <c r="BD71"/>
      <c r="BE71"/>
    </row>
    <row r="72" spans="1:57" ht="15.75" customHeight="1" x14ac:dyDescent="0.2">
      <c r="A72" s="40" t="s">
        <v>67</v>
      </c>
      <c r="B72" s="15">
        <v>42186</v>
      </c>
      <c r="C72" s="5">
        <v>2015</v>
      </c>
      <c r="D72" s="5">
        <v>7</v>
      </c>
      <c r="E72" s="5">
        <v>31</v>
      </c>
      <c r="F72" s="5">
        <v>8.3999999999999995E-3</v>
      </c>
      <c r="G72" s="6">
        <v>3.8900000000000004E-2</v>
      </c>
      <c r="H72" s="5">
        <v>0.18</v>
      </c>
      <c r="I72" s="5">
        <v>400</v>
      </c>
      <c r="J72" s="5">
        <v>400</v>
      </c>
      <c r="K72" s="5">
        <v>369.6</v>
      </c>
      <c r="L72" s="7">
        <v>326.8</v>
      </c>
      <c r="M72" s="5"/>
      <c r="N72" s="9"/>
      <c r="O72" s="9">
        <v>7.9631299999999996</v>
      </c>
      <c r="P72" s="5"/>
      <c r="Q72" s="5">
        <v>19247</v>
      </c>
      <c r="R72" s="5">
        <v>135506</v>
      </c>
      <c r="S72" s="10">
        <v>0.38270999999999999</v>
      </c>
      <c r="T72" s="10">
        <v>7.2239999999999999E-2</v>
      </c>
      <c r="U72" s="10">
        <v>0.38373999999999997</v>
      </c>
      <c r="V72" s="10">
        <v>0.25759333333333329</v>
      </c>
      <c r="W72" s="5">
        <v>935.1</v>
      </c>
      <c r="X72" s="5">
        <v>2807.5</v>
      </c>
      <c r="Y72" s="5"/>
      <c r="Z72" s="5"/>
      <c r="AA72" s="35">
        <v>75901.22</v>
      </c>
      <c r="AB72" s="35">
        <v>154753</v>
      </c>
      <c r="AC72" s="33"/>
      <c r="AD72" s="33">
        <v>29441.5</v>
      </c>
      <c r="AE72" s="35">
        <v>12503.32</v>
      </c>
      <c r="AF72" s="17" t="s">
        <v>32</v>
      </c>
      <c r="AG72" s="41">
        <f>IFERROR(IF(Dados_SA[[#This Row],[DEMANDA_REGISTRADA_P]]/Dados_SA[[#This Row],[DEMANDA_CONTRATADA_P]]=0,"",Dados_SA[[#This Row],[DEMANDA_REGISTRADA_P]]/Dados_SA[[#This Row],[DEMANDA_CONTRATADA_P]]),"")</f>
        <v>0.92400000000000004</v>
      </c>
      <c r="AH72" s="41">
        <f>IFERROR(IF(Dados_SA[[#This Row],[DEMANDA_REGISTRADA_FP]]/Dados_SA[[#This Row],[DEMANDA_CONTRATADA_FP]]=0,"",Dados_SA[[#This Row],[DEMANDA_REGISTRADA_FP]]/Dados_SA[[#This Row],[DEMANDA_CONTRATADA_FP]]),"")</f>
        <v>0.81700000000000006</v>
      </c>
      <c r="AI72" s="42">
        <f>IF(Dados_SA[[#This Row],[% Demanda contratada P]]&gt;105%,1,0)</f>
        <v>0</v>
      </c>
      <c r="AJ72" s="42">
        <f>IF(Dados_SA[[#This Row],[% Demanda contratada FP]]&gt;105%,1,0)</f>
        <v>0</v>
      </c>
      <c r="AK72" s="41">
        <f>Dados_SA[[#This Row],[Acrescimo_Bamar]]/Dados_SA[[#This Row],[Valor da Fatura]]</f>
        <v>0</v>
      </c>
      <c r="AL72" s="41">
        <f>Dados_SA[[#This Row],[Acrescimo_Bverm1]]/Dados_SA[[#This Row],[Valor da Fatura]]</f>
        <v>0.38789231582838851</v>
      </c>
      <c r="AM72" s="41">
        <f>Dados_SA[[#This Row],[Acrescimo_Bverm2]]/Dados_SA[[#This Row],[Valor da Fatura]]</f>
        <v>0.16473147598945048</v>
      </c>
      <c r="AN72" s="36">
        <v>1.05</v>
      </c>
      <c r="AO72" s="36">
        <v>1</v>
      </c>
      <c r="AP72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72" s="65">
        <f>IF(Dados_SA[[#This Row],[Exced]]&lt;&gt;"",1,0)</f>
        <v>0</v>
      </c>
      <c r="AR72" s="65">
        <f>AVERAGEIFS(Dados_SA[DEMANDA_REGISTRADA_P],Dados_SA[ANO],2015,Dados_SA[UC],"SBC")</f>
        <v>410.04999999999995</v>
      </c>
      <c r="AS72" s="65">
        <f>AVERAGEIFS(Dados_SA[DEMANDA_REGISTRADA_FP],Dados_SA[ANO],2015,Dados_SA[UC],"SBC")</f>
        <v>410.82499999999999</v>
      </c>
      <c r="AT72" s="65">
        <v>157561.57999999999</v>
      </c>
      <c r="AZ72"/>
      <c r="BA72"/>
      <c r="BB72"/>
      <c r="BC72"/>
      <c r="BD72"/>
      <c r="BE72"/>
    </row>
    <row r="73" spans="1:57" ht="15.75" customHeight="1" x14ac:dyDescent="0.2">
      <c r="A73" s="40" t="s">
        <v>67</v>
      </c>
      <c r="B73" s="15">
        <v>42217</v>
      </c>
      <c r="C73" s="5">
        <v>2015</v>
      </c>
      <c r="D73" s="5">
        <v>8</v>
      </c>
      <c r="E73" s="5">
        <v>31</v>
      </c>
      <c r="F73" s="5">
        <v>6.0000000000000001E-3</v>
      </c>
      <c r="G73" s="6">
        <v>2.75E-2</v>
      </c>
      <c r="H73" s="5">
        <v>0.18</v>
      </c>
      <c r="I73" s="5">
        <v>400</v>
      </c>
      <c r="J73" s="5">
        <v>400</v>
      </c>
      <c r="K73" s="5">
        <v>352</v>
      </c>
      <c r="L73" s="7">
        <v>353.6</v>
      </c>
      <c r="M73" s="5"/>
      <c r="N73" s="9"/>
      <c r="O73" s="9">
        <v>7.74</v>
      </c>
      <c r="P73" s="5"/>
      <c r="Q73" s="5">
        <v>19889.3</v>
      </c>
      <c r="R73" s="5">
        <v>133409.5</v>
      </c>
      <c r="S73" s="10">
        <v>0.37784000000000001</v>
      </c>
      <c r="T73" s="10">
        <v>7.7630000000000005E-2</v>
      </c>
      <c r="U73" s="10">
        <v>0.36024</v>
      </c>
      <c r="V73" s="10">
        <v>0.22595999999999999</v>
      </c>
      <c r="W73" s="5">
        <v>907.2</v>
      </c>
      <c r="X73" s="5">
        <v>2772</v>
      </c>
      <c r="Y73" s="5"/>
      <c r="Z73" s="5"/>
      <c r="AA73" s="35">
        <v>79865.440000000002</v>
      </c>
      <c r="AB73" s="35">
        <v>153298.79999999999</v>
      </c>
      <c r="AC73" s="33"/>
      <c r="AD73" s="33">
        <v>8430.92</v>
      </c>
      <c r="AE73" s="35"/>
      <c r="AF73" s="17" t="s">
        <v>32</v>
      </c>
      <c r="AG73" s="41">
        <f>IFERROR(IF(Dados_SA[[#This Row],[DEMANDA_REGISTRADA_P]]/Dados_SA[[#This Row],[DEMANDA_CONTRATADA_P]]=0,"",Dados_SA[[#This Row],[DEMANDA_REGISTRADA_P]]/Dados_SA[[#This Row],[DEMANDA_CONTRATADA_P]]),"")</f>
        <v>0.88</v>
      </c>
      <c r="AH73" s="41">
        <f>IFERROR(IF(Dados_SA[[#This Row],[DEMANDA_REGISTRADA_FP]]/Dados_SA[[#This Row],[DEMANDA_CONTRATADA_FP]]=0,"",Dados_SA[[#This Row],[DEMANDA_REGISTRADA_FP]]/Dados_SA[[#This Row],[DEMANDA_CONTRATADA_FP]]),"")</f>
        <v>0.88400000000000001</v>
      </c>
      <c r="AI73" s="42">
        <f>IF(Dados_SA[[#This Row],[% Demanda contratada P]]&gt;105%,1,0)</f>
        <v>0</v>
      </c>
      <c r="AJ73" s="42">
        <f>IF(Dados_SA[[#This Row],[% Demanda contratada FP]]&gt;105%,1,0)</f>
        <v>0</v>
      </c>
      <c r="AK73" s="41">
        <f>Dados_SA[[#This Row],[Acrescimo_Bamar]]/Dados_SA[[#This Row],[Valor da Fatura]]</f>
        <v>0</v>
      </c>
      <c r="AL73" s="41">
        <f>Dados_SA[[#This Row],[Acrescimo_Bverm1]]/Dados_SA[[#This Row],[Valor da Fatura]]</f>
        <v>0.10556405874681214</v>
      </c>
      <c r="AM73" s="41">
        <f>Dados_SA[[#This Row],[Acrescimo_Bverm2]]/Dados_SA[[#This Row],[Valor da Fatura]]</f>
        <v>0</v>
      </c>
      <c r="AN73" s="36">
        <v>1.05</v>
      </c>
      <c r="AO73" s="36">
        <v>1</v>
      </c>
      <c r="AP73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73" s="65">
        <f>IF(Dados_SA[[#This Row],[Exced]]&lt;&gt;"",1,0)</f>
        <v>0</v>
      </c>
      <c r="AR73" s="65">
        <f>AVERAGEIFS(Dados_SA[DEMANDA_REGISTRADA_P],Dados_SA[ANO],2015,Dados_SA[UC],"SBC")</f>
        <v>410.04999999999995</v>
      </c>
      <c r="AS73" s="65">
        <f>AVERAGEIFS(Dados_SA[DEMANDA_REGISTRADA_FP],Dados_SA[ANO],2015,Dados_SA[UC],"SBC")</f>
        <v>410.82499999999999</v>
      </c>
      <c r="AT73" s="65">
        <v>157561.57999999999</v>
      </c>
      <c r="AZ73"/>
      <c r="BA73"/>
      <c r="BB73"/>
      <c r="BC73"/>
      <c r="BD73"/>
      <c r="BE73"/>
    </row>
    <row r="74" spans="1:57" ht="15.75" customHeight="1" x14ac:dyDescent="0.2">
      <c r="A74" s="40" t="s">
        <v>67</v>
      </c>
      <c r="B74" s="15">
        <v>42248</v>
      </c>
      <c r="C74" s="5">
        <v>2015</v>
      </c>
      <c r="D74" s="5">
        <v>9</v>
      </c>
      <c r="E74" s="5">
        <v>30</v>
      </c>
      <c r="F74" s="5">
        <v>1.1200000000000002E-2</v>
      </c>
      <c r="G74" s="6">
        <v>5.1399999999999994E-2</v>
      </c>
      <c r="H74" s="5">
        <v>0.18</v>
      </c>
      <c r="I74" s="5">
        <v>400</v>
      </c>
      <c r="J74" s="5">
        <v>400</v>
      </c>
      <c r="K74" s="5">
        <v>325.10000000000002</v>
      </c>
      <c r="L74" s="7">
        <v>311.60000000000002</v>
      </c>
      <c r="M74" s="5"/>
      <c r="N74" s="9"/>
      <c r="O74" s="9">
        <v>7.74</v>
      </c>
      <c r="P74" s="5"/>
      <c r="Q74" s="5">
        <v>14941.3</v>
      </c>
      <c r="R74" s="5">
        <v>120934.9</v>
      </c>
      <c r="S74" s="10">
        <v>0.37784000000000001</v>
      </c>
      <c r="T74" s="10">
        <v>7.7630000000000005E-2</v>
      </c>
      <c r="U74" s="10">
        <v>0.36024</v>
      </c>
      <c r="V74" s="10">
        <v>0.22595999999999999</v>
      </c>
      <c r="W74" s="5">
        <v>805.6</v>
      </c>
      <c r="X74" s="5">
        <v>1819.9</v>
      </c>
      <c r="Y74" s="5"/>
      <c r="Z74" s="5"/>
      <c r="AA74" s="35">
        <v>71824.990000000005</v>
      </c>
      <c r="AB74" s="35">
        <v>135876.19999999998</v>
      </c>
      <c r="AC74" s="33"/>
      <c r="AD74" s="33">
        <v>6934.9</v>
      </c>
      <c r="AE74" s="35"/>
      <c r="AF74" s="17" t="s">
        <v>32</v>
      </c>
      <c r="AG74" s="41">
        <f>IFERROR(IF(Dados_SA[[#This Row],[DEMANDA_REGISTRADA_P]]/Dados_SA[[#This Row],[DEMANDA_CONTRATADA_P]]=0,"",Dados_SA[[#This Row],[DEMANDA_REGISTRADA_P]]/Dados_SA[[#This Row],[DEMANDA_CONTRATADA_P]]),"")</f>
        <v>0.81275000000000008</v>
      </c>
      <c r="AH74" s="41">
        <f>IFERROR(IF(Dados_SA[[#This Row],[DEMANDA_REGISTRADA_FP]]/Dados_SA[[#This Row],[DEMANDA_CONTRATADA_FP]]=0,"",Dados_SA[[#This Row],[DEMANDA_REGISTRADA_FP]]/Dados_SA[[#This Row],[DEMANDA_CONTRATADA_FP]]),"")</f>
        <v>0.77900000000000003</v>
      </c>
      <c r="AI74" s="42">
        <f>IF(Dados_SA[[#This Row],[% Demanda contratada P]]&gt;105%,1,0)</f>
        <v>0</v>
      </c>
      <c r="AJ74" s="42">
        <f>IF(Dados_SA[[#This Row],[% Demanda contratada FP]]&gt;105%,1,0)</f>
        <v>0</v>
      </c>
      <c r="AK74" s="41">
        <f>Dados_SA[[#This Row],[Acrescimo_Bamar]]/Dados_SA[[#This Row],[Valor da Fatura]]</f>
        <v>0</v>
      </c>
      <c r="AL74" s="41">
        <f>Dados_SA[[#This Row],[Acrescimo_Bverm1]]/Dados_SA[[#This Row],[Valor da Fatura]]</f>
        <v>9.6552745778314755E-2</v>
      </c>
      <c r="AM74" s="41">
        <f>Dados_SA[[#This Row],[Acrescimo_Bverm2]]/Dados_SA[[#This Row],[Valor da Fatura]]</f>
        <v>0</v>
      </c>
      <c r="AN74" s="36">
        <v>1.05</v>
      </c>
      <c r="AO74" s="36">
        <v>1</v>
      </c>
      <c r="AP74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74" s="65">
        <f>IF(Dados_SA[[#This Row],[Exced]]&lt;&gt;"",1,0)</f>
        <v>0</v>
      </c>
      <c r="AR74" s="65">
        <f>AVERAGEIFS(Dados_SA[DEMANDA_REGISTRADA_P],Dados_SA[ANO],2015,Dados_SA[UC],"SBC")</f>
        <v>410.04999999999995</v>
      </c>
      <c r="AS74" s="65">
        <f>AVERAGEIFS(Dados_SA[DEMANDA_REGISTRADA_FP],Dados_SA[ANO],2015,Dados_SA[UC],"SBC")</f>
        <v>410.82499999999999</v>
      </c>
      <c r="AT74" s="65">
        <v>157561.57999999999</v>
      </c>
      <c r="AZ74"/>
      <c r="BA74"/>
      <c r="BB74"/>
      <c r="BC74"/>
      <c r="BD74"/>
      <c r="BE74"/>
    </row>
    <row r="75" spans="1:57" ht="15.75" customHeight="1" x14ac:dyDescent="0.2">
      <c r="A75" s="40" t="s">
        <v>67</v>
      </c>
      <c r="B75" s="15">
        <v>42278</v>
      </c>
      <c r="C75" s="5">
        <v>2015</v>
      </c>
      <c r="D75" s="5">
        <v>10</v>
      </c>
      <c r="E75" s="5">
        <v>31</v>
      </c>
      <c r="F75" s="5">
        <v>1.18E-2</v>
      </c>
      <c r="G75" s="6">
        <v>5.4600000000000003E-2</v>
      </c>
      <c r="H75" s="5">
        <v>0.18</v>
      </c>
      <c r="I75" s="5">
        <v>400</v>
      </c>
      <c r="J75" s="5">
        <v>400</v>
      </c>
      <c r="K75" s="5">
        <v>479.6</v>
      </c>
      <c r="L75" s="7">
        <v>478.8</v>
      </c>
      <c r="M75" s="5"/>
      <c r="N75" s="9"/>
      <c r="O75" s="9">
        <v>7.74</v>
      </c>
      <c r="P75" s="5"/>
      <c r="Q75" s="5">
        <v>20946.7</v>
      </c>
      <c r="R75" s="5">
        <v>142763.20000000001</v>
      </c>
      <c r="S75" s="10">
        <v>0.37784000000000001</v>
      </c>
      <c r="T75" s="10">
        <v>7.7630000000000005E-2</v>
      </c>
      <c r="U75" s="10">
        <v>0.36024</v>
      </c>
      <c r="V75" s="10">
        <v>0.22595999999999999</v>
      </c>
      <c r="W75" s="5">
        <v>1719.9</v>
      </c>
      <c r="X75" s="5">
        <v>6323.4</v>
      </c>
      <c r="Y75" s="5"/>
      <c r="Z75" s="5"/>
      <c r="AA75" s="35">
        <v>89186.84</v>
      </c>
      <c r="AB75" s="35">
        <v>163709.90000000002</v>
      </c>
      <c r="AC75" s="33"/>
      <c r="AD75" s="33">
        <v>7366.93</v>
      </c>
      <c r="AE75" s="35"/>
      <c r="AF75" s="17" t="s">
        <v>32</v>
      </c>
      <c r="AG75" s="41">
        <f>IFERROR(IF(Dados_SA[[#This Row],[DEMANDA_REGISTRADA_P]]/Dados_SA[[#This Row],[DEMANDA_CONTRATADA_P]]=0,"",Dados_SA[[#This Row],[DEMANDA_REGISTRADA_P]]/Dados_SA[[#This Row],[DEMANDA_CONTRATADA_P]]),"")</f>
        <v>1.1990000000000001</v>
      </c>
      <c r="AH75" s="41">
        <f>IFERROR(IF(Dados_SA[[#This Row],[DEMANDA_REGISTRADA_FP]]/Dados_SA[[#This Row],[DEMANDA_CONTRATADA_FP]]=0,"",Dados_SA[[#This Row],[DEMANDA_REGISTRADA_FP]]/Dados_SA[[#This Row],[DEMANDA_CONTRATADA_FP]]),"")</f>
        <v>1.1970000000000001</v>
      </c>
      <c r="AI75" s="42">
        <f>IF(Dados_SA[[#This Row],[% Demanda contratada P]]&gt;105%,1,0)</f>
        <v>1</v>
      </c>
      <c r="AJ75" s="42">
        <f>IF(Dados_SA[[#This Row],[% Demanda contratada FP]]&gt;105%,1,0)</f>
        <v>1</v>
      </c>
      <c r="AK75" s="41">
        <f>Dados_SA[[#This Row],[Acrescimo_Bamar]]/Dados_SA[[#This Row],[Valor da Fatura]]</f>
        <v>0</v>
      </c>
      <c r="AL75" s="41">
        <f>Dados_SA[[#This Row],[Acrescimo_Bverm1]]/Dados_SA[[#This Row],[Valor da Fatura]]</f>
        <v>8.2601087783803082E-2</v>
      </c>
      <c r="AM75" s="41">
        <f>Dados_SA[[#This Row],[Acrescimo_Bverm2]]/Dados_SA[[#This Row],[Valor da Fatura]]</f>
        <v>0</v>
      </c>
      <c r="AN75" s="36">
        <v>1.05</v>
      </c>
      <c r="AO75" s="36">
        <v>1</v>
      </c>
      <c r="AP75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P&amp;FP</v>
      </c>
      <c r="AQ75" s="65">
        <f>IF(Dados_SA[[#This Row],[Exced]]&lt;&gt;"",1,0)</f>
        <v>1</v>
      </c>
      <c r="AR75" s="65">
        <f>AVERAGEIFS(Dados_SA[DEMANDA_REGISTRADA_P],Dados_SA[ANO],2015,Dados_SA[UC],"SBC")</f>
        <v>410.04999999999995</v>
      </c>
      <c r="AS75" s="65">
        <f>AVERAGEIFS(Dados_SA[DEMANDA_REGISTRADA_FP],Dados_SA[ANO],2015,Dados_SA[UC],"SBC")</f>
        <v>410.82499999999999</v>
      </c>
      <c r="AT75" s="65">
        <v>157561.57999999999</v>
      </c>
      <c r="AZ75"/>
      <c r="BA75"/>
      <c r="BB75"/>
      <c r="BC75"/>
      <c r="BD75"/>
      <c r="BE75"/>
    </row>
    <row r="76" spans="1:57" ht="15.75" customHeight="1" x14ac:dyDescent="0.2">
      <c r="A76" s="40" t="s">
        <v>67</v>
      </c>
      <c r="B76" s="15">
        <v>42309</v>
      </c>
      <c r="C76" s="5">
        <v>2015</v>
      </c>
      <c r="D76" s="5">
        <v>11</v>
      </c>
      <c r="E76" s="5">
        <v>30</v>
      </c>
      <c r="F76" s="5">
        <v>1.1000000000000001E-2</v>
      </c>
      <c r="G76" s="6">
        <v>5.0599999999999999E-2</v>
      </c>
      <c r="H76" s="5">
        <v>0.18</v>
      </c>
      <c r="I76" s="5">
        <v>400</v>
      </c>
      <c r="J76" s="5">
        <v>400</v>
      </c>
      <c r="K76" s="5">
        <v>520.79999999999995</v>
      </c>
      <c r="L76" s="7">
        <v>494.8</v>
      </c>
      <c r="M76" s="5"/>
      <c r="N76" s="9"/>
      <c r="O76" s="9">
        <v>7.74</v>
      </c>
      <c r="P76" s="5"/>
      <c r="Q76" s="5">
        <v>22475</v>
      </c>
      <c r="R76" s="5">
        <v>154042.4</v>
      </c>
      <c r="S76" s="10">
        <v>0.37784000000000001</v>
      </c>
      <c r="T76" s="10">
        <v>7.7630000000000005E-2</v>
      </c>
      <c r="U76" s="10">
        <v>0.36024</v>
      </c>
      <c r="V76" s="10">
        <v>0.22595999999999999</v>
      </c>
      <c r="W76" s="5">
        <v>1769.5</v>
      </c>
      <c r="X76" s="5">
        <v>5828.2</v>
      </c>
      <c r="Y76" s="5"/>
      <c r="Z76" s="5"/>
      <c r="AA76" s="35">
        <v>95845.01</v>
      </c>
      <c r="AB76" s="35">
        <v>176517.4</v>
      </c>
      <c r="AC76" s="33"/>
      <c r="AD76" s="33">
        <v>7943.2699999999995</v>
      </c>
      <c r="AE76" s="35"/>
      <c r="AF76" s="17" t="s">
        <v>32</v>
      </c>
      <c r="AG76" s="41">
        <f>IFERROR(IF(Dados_SA[[#This Row],[DEMANDA_REGISTRADA_P]]/Dados_SA[[#This Row],[DEMANDA_CONTRATADA_P]]=0,"",Dados_SA[[#This Row],[DEMANDA_REGISTRADA_P]]/Dados_SA[[#This Row],[DEMANDA_CONTRATADA_P]]),"")</f>
        <v>1.3019999999999998</v>
      </c>
      <c r="AH76" s="41">
        <f>IFERROR(IF(Dados_SA[[#This Row],[DEMANDA_REGISTRADA_FP]]/Dados_SA[[#This Row],[DEMANDA_CONTRATADA_FP]]=0,"",Dados_SA[[#This Row],[DEMANDA_REGISTRADA_FP]]/Dados_SA[[#This Row],[DEMANDA_CONTRATADA_FP]]),"")</f>
        <v>1.2370000000000001</v>
      </c>
      <c r="AI76" s="42">
        <f>IF(Dados_SA[[#This Row],[% Demanda contratada P]]&gt;105%,1,0)</f>
        <v>1</v>
      </c>
      <c r="AJ76" s="42">
        <f>IF(Dados_SA[[#This Row],[% Demanda contratada FP]]&gt;105%,1,0)</f>
        <v>1</v>
      </c>
      <c r="AK76" s="41">
        <f>Dados_SA[[#This Row],[Acrescimo_Bamar]]/Dados_SA[[#This Row],[Valor da Fatura]]</f>
        <v>0</v>
      </c>
      <c r="AL76" s="41">
        <f>Dados_SA[[#This Row],[Acrescimo_Bverm1]]/Dados_SA[[#This Row],[Valor da Fatura]]</f>
        <v>8.2876197727977705E-2</v>
      </c>
      <c r="AM76" s="41">
        <f>Dados_SA[[#This Row],[Acrescimo_Bverm2]]/Dados_SA[[#This Row],[Valor da Fatura]]</f>
        <v>0</v>
      </c>
      <c r="AN76" s="36">
        <v>1.05</v>
      </c>
      <c r="AO76" s="36">
        <v>1</v>
      </c>
      <c r="AP76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P&amp;FP</v>
      </c>
      <c r="AQ76" s="65">
        <f>IF(Dados_SA[[#This Row],[Exced]]&lt;&gt;"",1,0)</f>
        <v>1</v>
      </c>
      <c r="AR76" s="65">
        <f>AVERAGEIFS(Dados_SA[DEMANDA_REGISTRADA_P],Dados_SA[ANO],2015,Dados_SA[UC],"SBC")</f>
        <v>410.04999999999995</v>
      </c>
      <c r="AS76" s="65">
        <f>AVERAGEIFS(Dados_SA[DEMANDA_REGISTRADA_FP],Dados_SA[ANO],2015,Dados_SA[UC],"SBC")</f>
        <v>410.82499999999999</v>
      </c>
      <c r="AT76" s="65">
        <v>157561.57999999999</v>
      </c>
      <c r="AX76"/>
      <c r="AY76"/>
      <c r="AZ76"/>
      <c r="BA76"/>
      <c r="BB76"/>
      <c r="BC76"/>
      <c r="BD76"/>
      <c r="BE76"/>
    </row>
    <row r="77" spans="1:57" ht="15.75" customHeight="1" x14ac:dyDescent="0.2">
      <c r="A77" s="40" t="s">
        <v>67</v>
      </c>
      <c r="B77" s="15">
        <v>42339</v>
      </c>
      <c r="C77" s="5">
        <v>2015</v>
      </c>
      <c r="D77" s="5">
        <v>12</v>
      </c>
      <c r="E77" s="5">
        <v>31</v>
      </c>
      <c r="F77" s="5">
        <v>1.1000000000000001E-2</v>
      </c>
      <c r="G77" s="6">
        <v>5.0999999999999997E-2</v>
      </c>
      <c r="H77" s="5">
        <v>0.18</v>
      </c>
      <c r="I77" s="5">
        <v>400</v>
      </c>
      <c r="J77" s="5">
        <v>400</v>
      </c>
      <c r="K77" s="5">
        <v>493.1</v>
      </c>
      <c r="L77" s="7">
        <v>517.4</v>
      </c>
      <c r="M77" s="5"/>
      <c r="N77" s="9"/>
      <c r="O77" s="9">
        <v>7.74</v>
      </c>
      <c r="P77" s="5"/>
      <c r="Q77" s="5">
        <v>22970.6</v>
      </c>
      <c r="R77" s="5">
        <v>169925.7</v>
      </c>
      <c r="S77" s="10">
        <v>0.37784000000000001</v>
      </c>
      <c r="T77" s="10">
        <v>7.7630000000000005E-2</v>
      </c>
      <c r="U77" s="10">
        <v>0.36024</v>
      </c>
      <c r="V77" s="10">
        <v>0.22595999999999999</v>
      </c>
      <c r="W77" s="5">
        <v>2538.5</v>
      </c>
      <c r="X77" s="5">
        <v>8464.2999999999993</v>
      </c>
      <c r="Y77" s="5"/>
      <c r="Z77" s="5"/>
      <c r="AA77" s="35">
        <v>103157.88</v>
      </c>
      <c r="AB77" s="35">
        <v>192896.30000000002</v>
      </c>
      <c r="AC77" s="33"/>
      <c r="AD77" s="33">
        <v>8680.32</v>
      </c>
      <c r="AE77" s="35"/>
      <c r="AF77" s="17" t="s">
        <v>32</v>
      </c>
      <c r="AG77" s="41">
        <f>IFERROR(IF(Dados_SA[[#This Row],[DEMANDA_REGISTRADA_P]]/Dados_SA[[#This Row],[DEMANDA_CONTRATADA_P]]=0,"",Dados_SA[[#This Row],[DEMANDA_REGISTRADA_P]]/Dados_SA[[#This Row],[DEMANDA_CONTRATADA_P]]),"")</f>
        <v>1.23275</v>
      </c>
      <c r="AH77" s="41">
        <f>IFERROR(IF(Dados_SA[[#This Row],[DEMANDA_REGISTRADA_FP]]/Dados_SA[[#This Row],[DEMANDA_CONTRATADA_FP]]=0,"",Dados_SA[[#This Row],[DEMANDA_REGISTRADA_FP]]/Dados_SA[[#This Row],[DEMANDA_CONTRATADA_FP]]),"")</f>
        <v>1.2934999999999999</v>
      </c>
      <c r="AI77" s="42">
        <f>IF(Dados_SA[[#This Row],[% Demanda contratada P]]&gt;105%,1,0)</f>
        <v>1</v>
      </c>
      <c r="AJ77" s="42">
        <f>IF(Dados_SA[[#This Row],[% Demanda contratada FP]]&gt;105%,1,0)</f>
        <v>1</v>
      </c>
      <c r="AK77" s="41">
        <f>Dados_SA[[#This Row],[Acrescimo_Bamar]]/Dados_SA[[#This Row],[Valor da Fatura]]</f>
        <v>0</v>
      </c>
      <c r="AL77" s="41">
        <f>Dados_SA[[#This Row],[Acrescimo_Bverm1]]/Dados_SA[[#This Row],[Valor da Fatura]]</f>
        <v>8.4145971204526493E-2</v>
      </c>
      <c r="AM77" s="41">
        <f>Dados_SA[[#This Row],[Acrescimo_Bverm2]]/Dados_SA[[#This Row],[Valor da Fatura]]</f>
        <v>0</v>
      </c>
      <c r="AN77" s="36">
        <v>1.05</v>
      </c>
      <c r="AO77" s="36">
        <v>1</v>
      </c>
      <c r="AP77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P&amp;FP</v>
      </c>
      <c r="AQ77" s="65">
        <f>IF(Dados_SA[[#This Row],[Exced]]&lt;&gt;"",1,0)</f>
        <v>1</v>
      </c>
      <c r="AR77" s="65">
        <f>AVERAGEIFS(Dados_SA[DEMANDA_REGISTRADA_P],Dados_SA[ANO],2015,Dados_SA[UC],"SBC")</f>
        <v>410.04999999999995</v>
      </c>
      <c r="AS77" s="65">
        <f>AVERAGEIFS(Dados_SA[DEMANDA_REGISTRADA_FP],Dados_SA[ANO],2015,Dados_SA[UC],"SBC")</f>
        <v>410.82499999999999</v>
      </c>
      <c r="AT77" s="65">
        <v>157561.57999999999</v>
      </c>
      <c r="AX77"/>
      <c r="AY77"/>
      <c r="AZ77"/>
      <c r="BA77"/>
      <c r="BB77"/>
      <c r="BC77"/>
      <c r="BD77"/>
      <c r="BE77"/>
    </row>
    <row r="78" spans="1:57" ht="15.75" customHeight="1" x14ac:dyDescent="0.2">
      <c r="A78" s="40" t="s">
        <v>67</v>
      </c>
      <c r="B78" s="15" t="s">
        <v>33</v>
      </c>
      <c r="C78" s="5">
        <v>2016</v>
      </c>
      <c r="D78" s="5">
        <v>1</v>
      </c>
      <c r="E78" s="5">
        <v>31</v>
      </c>
      <c r="F78" s="5">
        <v>9.2999999999999992E-3</v>
      </c>
      <c r="G78" s="6">
        <v>4.2599999999999999E-2</v>
      </c>
      <c r="H78" s="5">
        <v>0.18</v>
      </c>
      <c r="I78" s="5">
        <v>400</v>
      </c>
      <c r="J78" s="5">
        <v>400</v>
      </c>
      <c r="K78" s="5">
        <v>420</v>
      </c>
      <c r="L78" s="7">
        <v>458.6</v>
      </c>
      <c r="M78" s="5"/>
      <c r="N78" s="9"/>
      <c r="O78" s="9">
        <v>7.74</v>
      </c>
      <c r="P78" s="5"/>
      <c r="Q78" s="5">
        <v>15478.7</v>
      </c>
      <c r="R78" s="5">
        <v>148543.5</v>
      </c>
      <c r="S78" s="10">
        <v>0.37784000000000001</v>
      </c>
      <c r="T78" s="10">
        <v>7.7630000000000005E-2</v>
      </c>
      <c r="U78" s="10">
        <v>0.36024</v>
      </c>
      <c r="V78" s="10">
        <v>0.22595999999999999</v>
      </c>
      <c r="W78" s="5">
        <v>2234.4</v>
      </c>
      <c r="X78" s="5">
        <f>9717.1+45.6</f>
        <v>9762.7000000000007</v>
      </c>
      <c r="Y78" s="5"/>
      <c r="Z78" s="5"/>
      <c r="AA78" s="35">
        <v>83801.63</v>
      </c>
      <c r="AB78" s="35">
        <f t="shared" ref="AB78:AB89" si="6">Q78+R78</f>
        <v>164022.20000000001</v>
      </c>
      <c r="AC78" s="33"/>
      <c r="AD78" s="33">
        <f>6684.45+696.54</f>
        <v>7380.99</v>
      </c>
      <c r="AE78" s="35"/>
      <c r="AF78" s="17" t="s">
        <v>32</v>
      </c>
      <c r="AG78" s="41">
        <f>IFERROR(IF(Dados_SA[[#This Row],[DEMANDA_REGISTRADA_P]]/Dados_SA[[#This Row],[DEMANDA_CONTRATADA_P]]=0,"",Dados_SA[[#This Row],[DEMANDA_REGISTRADA_P]]/Dados_SA[[#This Row],[DEMANDA_CONTRATADA_P]]),"")</f>
        <v>1.05</v>
      </c>
      <c r="AH78" s="41">
        <f>IFERROR(IF(Dados_SA[[#This Row],[DEMANDA_REGISTRADA_FP]]/Dados_SA[[#This Row],[DEMANDA_CONTRATADA_FP]]=0,"",Dados_SA[[#This Row],[DEMANDA_REGISTRADA_FP]]/Dados_SA[[#This Row],[DEMANDA_CONTRATADA_FP]]),"")</f>
        <v>1.1465000000000001</v>
      </c>
      <c r="AI78" s="42">
        <f>IF(Dados_SA[[#This Row],[% Demanda contratada P]]&gt;105%,1,0)</f>
        <v>0</v>
      </c>
      <c r="AJ78" s="42">
        <f>IF(Dados_SA[[#This Row],[% Demanda contratada FP]]&gt;105%,1,0)</f>
        <v>1</v>
      </c>
      <c r="AK78" s="41">
        <f>Dados_SA[[#This Row],[Acrescimo_Bamar]]/Dados_SA[[#This Row],[Valor da Fatura]]</f>
        <v>0</v>
      </c>
      <c r="AL78" s="41">
        <f>Dados_SA[[#This Row],[Acrescimo_Bverm1]]/Dados_SA[[#This Row],[Valor da Fatura]]</f>
        <v>8.8076926427326049E-2</v>
      </c>
      <c r="AM78" s="41">
        <f>Dados_SA[[#This Row],[Acrescimo_Bverm2]]/Dados_SA[[#This Row],[Valor da Fatura]]</f>
        <v>0</v>
      </c>
      <c r="AN78" s="36">
        <v>1.05</v>
      </c>
      <c r="AO78" s="36">
        <v>1</v>
      </c>
      <c r="AP78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78" s="65">
        <f>IF(Dados_SA[[#This Row],[Exced]]&lt;&gt;"",1,0)</f>
        <v>1</v>
      </c>
      <c r="AR78" s="65">
        <f>AVERAGEIFS(Dados_SA[DEMANDA_REGISTRADA_P],Dados_SA[ANO],2015,Dados_SA[UC],"SBC")</f>
        <v>410.04999999999995</v>
      </c>
      <c r="AS78" s="65">
        <f>AVERAGEIFS(Dados_SA[DEMANDA_REGISTRADA_FP],Dados_SA[ANO],2015,Dados_SA[UC],"SBC")</f>
        <v>410.82499999999999</v>
      </c>
      <c r="AT78" s="65">
        <v>157561.57999999999</v>
      </c>
      <c r="AX78"/>
      <c r="AY78"/>
      <c r="AZ78"/>
      <c r="BA78"/>
      <c r="BB78"/>
      <c r="BC78"/>
      <c r="BD78"/>
      <c r="BE78"/>
    </row>
    <row r="79" spans="1:57" ht="15.75" customHeight="1" x14ac:dyDescent="0.2">
      <c r="A79" s="40" t="s">
        <v>67</v>
      </c>
      <c r="B79" s="15" t="s">
        <v>34</v>
      </c>
      <c r="C79" s="5">
        <v>2016</v>
      </c>
      <c r="D79" s="5">
        <v>2</v>
      </c>
      <c r="E79" s="5">
        <v>29</v>
      </c>
      <c r="F79" s="5">
        <v>9.1999999999999998E-3</v>
      </c>
      <c r="G79" s="6">
        <v>4.2200000000000001E-2</v>
      </c>
      <c r="H79" s="5">
        <v>0.18</v>
      </c>
      <c r="I79" s="5">
        <v>400</v>
      </c>
      <c r="J79" s="5">
        <v>400</v>
      </c>
      <c r="K79" s="5">
        <v>342.7</v>
      </c>
      <c r="L79" s="7">
        <v>430.9</v>
      </c>
      <c r="M79" s="5"/>
      <c r="N79" s="9"/>
      <c r="O79" s="9">
        <v>7.74</v>
      </c>
      <c r="P79" s="5"/>
      <c r="Q79" s="5">
        <v>16802.900000000001</v>
      </c>
      <c r="R79" s="5">
        <v>162906</v>
      </c>
      <c r="S79" s="10">
        <v>0.37784000000000001</v>
      </c>
      <c r="T79" s="10">
        <v>7.7630000000000005E-2</v>
      </c>
      <c r="U79" s="10">
        <v>0.36024</v>
      </c>
      <c r="V79" s="10">
        <v>0.22595999999999999</v>
      </c>
      <c r="W79" s="5">
        <v>2239.4</v>
      </c>
      <c r="X79" s="5">
        <f>9476.7+196.6</f>
        <v>9673.3000000000011</v>
      </c>
      <c r="Y79" s="5"/>
      <c r="Z79" s="5"/>
      <c r="AA79" s="35">
        <v>88354.5</v>
      </c>
      <c r="AB79" s="35">
        <f t="shared" si="6"/>
        <v>179708.9</v>
      </c>
      <c r="AC79" s="33"/>
      <c r="AD79" s="33">
        <f>6141.77+637.3</f>
        <v>6779.0700000000006</v>
      </c>
      <c r="AE79" s="35"/>
      <c r="AF79" s="17" t="s">
        <v>32</v>
      </c>
      <c r="AG79" s="41">
        <f>IFERROR(IF(Dados_SA[[#This Row],[DEMANDA_REGISTRADA_P]]/Dados_SA[[#This Row],[DEMANDA_CONTRATADA_P]]=0,"",Dados_SA[[#This Row],[DEMANDA_REGISTRADA_P]]/Dados_SA[[#This Row],[DEMANDA_CONTRATADA_P]]),"")</f>
        <v>0.85675000000000001</v>
      </c>
      <c r="AH79" s="41">
        <f>IFERROR(IF(Dados_SA[[#This Row],[DEMANDA_REGISTRADA_FP]]/Dados_SA[[#This Row],[DEMANDA_CONTRATADA_FP]]=0,"",Dados_SA[[#This Row],[DEMANDA_REGISTRADA_FP]]/Dados_SA[[#This Row],[DEMANDA_CONTRATADA_FP]]),"")</f>
        <v>1.07725</v>
      </c>
      <c r="AI79" s="42">
        <f>IF(Dados_SA[[#This Row],[% Demanda contratada P]]&gt;105%,1,0)</f>
        <v>0</v>
      </c>
      <c r="AJ79" s="42">
        <f>IF(Dados_SA[[#This Row],[% Demanda contratada FP]]&gt;105%,1,0)</f>
        <v>1</v>
      </c>
      <c r="AK79" s="41">
        <f>Dados_SA[[#This Row],[Acrescimo_Bamar]]/Dados_SA[[#This Row],[Valor da Fatura]]</f>
        <v>0</v>
      </c>
      <c r="AL79" s="41">
        <f>Dados_SA[[#This Row],[Acrescimo_Bverm1]]/Dados_SA[[#This Row],[Valor da Fatura]]</f>
        <v>7.6725803439553167E-2</v>
      </c>
      <c r="AM79" s="41">
        <f>Dados_SA[[#This Row],[Acrescimo_Bverm2]]/Dados_SA[[#This Row],[Valor da Fatura]]</f>
        <v>0</v>
      </c>
      <c r="AN79" s="36">
        <v>1.05</v>
      </c>
      <c r="AO79" s="36">
        <v>1</v>
      </c>
      <c r="AP79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79" s="65">
        <f>IF(Dados_SA[[#This Row],[Exced]]&lt;&gt;"",1,0)</f>
        <v>1</v>
      </c>
      <c r="AR79" s="65">
        <f>AVERAGEIFS(Dados_SA[DEMANDA_REGISTRADA_P],Dados_SA[ANO],2015,Dados_SA[UC],"SBC")</f>
        <v>410.04999999999995</v>
      </c>
      <c r="AS79" s="65">
        <f>AVERAGEIFS(Dados_SA[DEMANDA_REGISTRADA_FP],Dados_SA[ANO],2015,Dados_SA[UC],"SBC")</f>
        <v>410.82499999999999</v>
      </c>
      <c r="AT79" s="65">
        <v>157561.57999999999</v>
      </c>
      <c r="AX79"/>
      <c r="AY79"/>
      <c r="AZ79"/>
      <c r="BA79"/>
      <c r="BB79"/>
      <c r="BC79"/>
      <c r="BD79"/>
      <c r="BE79"/>
    </row>
    <row r="80" spans="1:57" ht="15.75" customHeight="1" x14ac:dyDescent="0.2">
      <c r="A80" s="40" t="s">
        <v>67</v>
      </c>
      <c r="B80" s="15" t="s">
        <v>35</v>
      </c>
      <c r="C80" s="5">
        <v>2016</v>
      </c>
      <c r="D80" s="5">
        <v>3</v>
      </c>
      <c r="E80" s="5">
        <v>31</v>
      </c>
      <c r="F80" s="5">
        <v>1.0200000000000001E-2</v>
      </c>
      <c r="G80" s="6">
        <v>4.7E-2</v>
      </c>
      <c r="H80" s="5">
        <v>0.18</v>
      </c>
      <c r="I80" s="5">
        <v>400</v>
      </c>
      <c r="J80" s="5">
        <v>400</v>
      </c>
      <c r="K80" s="5">
        <v>609.79999999999995</v>
      </c>
      <c r="L80" s="7">
        <v>556.9</v>
      </c>
      <c r="M80" s="5"/>
      <c r="N80" s="9"/>
      <c r="O80" s="9">
        <v>7.74</v>
      </c>
      <c r="P80" s="5"/>
      <c r="Q80" s="5">
        <v>26893</v>
      </c>
      <c r="R80" s="5">
        <v>171365.3</v>
      </c>
      <c r="S80" s="10">
        <v>0.37784000000000001</v>
      </c>
      <c r="T80" s="10">
        <v>7.7630000000000005E-2</v>
      </c>
      <c r="U80" s="10">
        <v>0.36024</v>
      </c>
      <c r="V80" s="10">
        <v>0.22595999999999999</v>
      </c>
      <c r="W80" s="5">
        <v>4045.2</v>
      </c>
      <c r="X80" s="5">
        <f>13601.1+88.8</f>
        <v>13689.9</v>
      </c>
      <c r="Y80" s="5"/>
      <c r="Z80" s="5"/>
      <c r="AA80" s="35">
        <v>104171.93</v>
      </c>
      <c r="AB80" s="35">
        <f t="shared" si="6"/>
        <v>198258.3</v>
      </c>
      <c r="AC80" s="33">
        <f>1083+170.04</f>
        <v>1253.04</v>
      </c>
      <c r="AD80" s="33">
        <f>2974.94+466.71</f>
        <v>3441.65</v>
      </c>
      <c r="AE80" s="35"/>
      <c r="AF80" s="17" t="s">
        <v>32</v>
      </c>
      <c r="AG80" s="41">
        <f>IFERROR(IF(Dados_SA[[#This Row],[DEMANDA_REGISTRADA_P]]/Dados_SA[[#This Row],[DEMANDA_CONTRATADA_P]]=0,"",Dados_SA[[#This Row],[DEMANDA_REGISTRADA_P]]/Dados_SA[[#This Row],[DEMANDA_CONTRATADA_P]]),"")</f>
        <v>1.5245</v>
      </c>
      <c r="AH80" s="41">
        <f>IFERROR(IF(Dados_SA[[#This Row],[DEMANDA_REGISTRADA_FP]]/Dados_SA[[#This Row],[DEMANDA_CONTRATADA_FP]]=0,"",Dados_SA[[#This Row],[DEMANDA_REGISTRADA_FP]]/Dados_SA[[#This Row],[DEMANDA_CONTRATADA_FP]]),"")</f>
        <v>1.39225</v>
      </c>
      <c r="AI80" s="42">
        <f>IF(Dados_SA[[#This Row],[% Demanda contratada P]]&gt;105%,1,0)</f>
        <v>1</v>
      </c>
      <c r="AJ80" s="42">
        <f>IF(Dados_SA[[#This Row],[% Demanda contratada FP]]&gt;105%,1,0)</f>
        <v>1</v>
      </c>
      <c r="AK80" s="41">
        <f>Dados_SA[[#This Row],[Acrescimo_Bamar]]/Dados_SA[[#This Row],[Valor da Fatura]]</f>
        <v>1.2028576220100751E-2</v>
      </c>
      <c r="AL80" s="41">
        <f>Dados_SA[[#This Row],[Acrescimo_Bverm1]]/Dados_SA[[#This Row],[Valor da Fatura]]</f>
        <v>3.3038170647313535E-2</v>
      </c>
      <c r="AM80" s="41">
        <f>Dados_SA[[#This Row],[Acrescimo_Bverm2]]/Dados_SA[[#This Row],[Valor da Fatura]]</f>
        <v>0</v>
      </c>
      <c r="AN80" s="36">
        <v>1.05</v>
      </c>
      <c r="AO80" s="36">
        <v>1</v>
      </c>
      <c r="AP80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P&amp;FP</v>
      </c>
      <c r="AQ80" s="65">
        <f>IF(Dados_SA[[#This Row],[Exced]]&lt;&gt;"",1,0)</f>
        <v>1</v>
      </c>
      <c r="AR80" s="65">
        <f>AVERAGEIFS(Dados_SA[DEMANDA_REGISTRADA_P],Dados_SA[ANO],2015,Dados_SA[UC],"SBC")</f>
        <v>410.04999999999995</v>
      </c>
      <c r="AS80" s="65">
        <f>AVERAGEIFS(Dados_SA[DEMANDA_REGISTRADA_FP],Dados_SA[ANO],2015,Dados_SA[UC],"SBC")</f>
        <v>410.82499999999999</v>
      </c>
      <c r="AT80" s="65">
        <v>157561.57999999999</v>
      </c>
      <c r="AX80"/>
      <c r="AY80"/>
      <c r="AZ80"/>
      <c r="BA80"/>
      <c r="BB80"/>
      <c r="BC80"/>
      <c r="BD80"/>
      <c r="BE80"/>
    </row>
    <row r="81" spans="1:57" ht="15.75" customHeight="1" x14ac:dyDescent="0.2">
      <c r="A81" s="40" t="s">
        <v>67</v>
      </c>
      <c r="B81" s="15" t="s">
        <v>36</v>
      </c>
      <c r="C81" s="5">
        <v>2016</v>
      </c>
      <c r="D81" s="5">
        <v>4</v>
      </c>
      <c r="E81" s="5">
        <v>30</v>
      </c>
      <c r="F81" s="5">
        <v>8.9999999999999993E-3</v>
      </c>
      <c r="G81" s="6">
        <v>4.1200000000000001E-2</v>
      </c>
      <c r="H81" s="5">
        <v>0.18</v>
      </c>
      <c r="I81" s="5">
        <v>400</v>
      </c>
      <c r="J81" s="5">
        <v>400</v>
      </c>
      <c r="K81" s="5">
        <v>614</v>
      </c>
      <c r="L81" s="7">
        <v>558.6</v>
      </c>
      <c r="M81" s="5"/>
      <c r="N81" s="9"/>
      <c r="O81" s="9">
        <v>7.74</v>
      </c>
      <c r="P81" s="5"/>
      <c r="Q81" s="5">
        <v>28753.8</v>
      </c>
      <c r="R81" s="5">
        <v>196730.7</v>
      </c>
      <c r="S81" s="10">
        <v>0.37784000000000001</v>
      </c>
      <c r="T81" s="10">
        <v>7.7630000000000005E-2</v>
      </c>
      <c r="U81" s="10">
        <v>0.36024</v>
      </c>
      <c r="V81" s="10">
        <v>0.22595999999999999</v>
      </c>
      <c r="W81" s="5">
        <v>4270.1000000000004</v>
      </c>
      <c r="X81" s="5">
        <f>19792.5+28.4</f>
        <v>19820.900000000001</v>
      </c>
      <c r="Y81" s="5"/>
      <c r="Z81" s="5"/>
      <c r="AA81" s="35">
        <v>111256.22</v>
      </c>
      <c r="AB81" s="35">
        <f t="shared" si="6"/>
        <v>225484.5</v>
      </c>
      <c r="AC81" s="33">
        <f>1663.65+280.59</f>
        <v>1944.24</v>
      </c>
      <c r="AD81" s="33"/>
      <c r="AE81" s="35"/>
      <c r="AF81" s="17" t="s">
        <v>32</v>
      </c>
      <c r="AG81" s="41">
        <f>IFERROR(IF(Dados_SA[[#This Row],[DEMANDA_REGISTRADA_P]]/Dados_SA[[#This Row],[DEMANDA_CONTRATADA_P]]=0,"",Dados_SA[[#This Row],[DEMANDA_REGISTRADA_P]]/Dados_SA[[#This Row],[DEMANDA_CONTRATADA_P]]),"")</f>
        <v>1.5349999999999999</v>
      </c>
      <c r="AH81" s="41">
        <f>IFERROR(IF(Dados_SA[[#This Row],[DEMANDA_REGISTRADA_FP]]/Dados_SA[[#This Row],[DEMANDA_CONTRATADA_FP]]=0,"",Dados_SA[[#This Row],[DEMANDA_REGISTRADA_FP]]/Dados_SA[[#This Row],[DEMANDA_CONTRATADA_FP]]),"")</f>
        <v>1.3965000000000001</v>
      </c>
      <c r="AI81" s="42">
        <f>IF(Dados_SA[[#This Row],[% Demanda contratada P]]&gt;105%,1,0)</f>
        <v>1</v>
      </c>
      <c r="AJ81" s="42">
        <f>IF(Dados_SA[[#This Row],[% Demanda contratada FP]]&gt;105%,1,0)</f>
        <v>1</v>
      </c>
      <c r="AK81" s="41">
        <f>Dados_SA[[#This Row],[Acrescimo_Bamar]]/Dados_SA[[#This Row],[Valor da Fatura]]</f>
        <v>1.7475337558655147E-2</v>
      </c>
      <c r="AL81" s="41">
        <f>Dados_SA[[#This Row],[Acrescimo_Bverm1]]/Dados_SA[[#This Row],[Valor da Fatura]]</f>
        <v>0</v>
      </c>
      <c r="AM81" s="41">
        <f>Dados_SA[[#This Row],[Acrescimo_Bverm2]]/Dados_SA[[#This Row],[Valor da Fatura]]</f>
        <v>0</v>
      </c>
      <c r="AN81" s="36">
        <v>1.05</v>
      </c>
      <c r="AO81" s="36">
        <v>1</v>
      </c>
      <c r="AP81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P&amp;FP</v>
      </c>
      <c r="AQ81" s="65">
        <f>IF(Dados_SA[[#This Row],[Exced]]&lt;&gt;"",1,0)</f>
        <v>1</v>
      </c>
      <c r="AR81" s="65">
        <f>AVERAGEIFS(Dados_SA[DEMANDA_REGISTRADA_P],Dados_SA[ANO],2015,Dados_SA[UC],"SBC")</f>
        <v>410.04999999999995</v>
      </c>
      <c r="AS81" s="65">
        <f>AVERAGEIFS(Dados_SA[DEMANDA_REGISTRADA_FP],Dados_SA[ANO],2015,Dados_SA[UC],"SBC")</f>
        <v>410.82499999999999</v>
      </c>
      <c r="AT81" s="65">
        <v>157561.57999999999</v>
      </c>
      <c r="AX81"/>
      <c r="AY81"/>
      <c r="AZ81"/>
      <c r="BA81"/>
      <c r="BB81"/>
      <c r="BC81"/>
      <c r="BD81"/>
      <c r="BE81"/>
    </row>
    <row r="82" spans="1:57" ht="15.75" customHeight="1" x14ac:dyDescent="0.2">
      <c r="A82" s="40" t="s">
        <v>67</v>
      </c>
      <c r="B82" s="15" t="s">
        <v>37</v>
      </c>
      <c r="C82" s="5">
        <v>2016</v>
      </c>
      <c r="D82" s="5">
        <v>5</v>
      </c>
      <c r="E82" s="5">
        <v>31</v>
      </c>
      <c r="F82" s="5">
        <v>1.2200000000000001E-2</v>
      </c>
      <c r="G82" s="6">
        <v>5.62E-2</v>
      </c>
      <c r="H82" s="5">
        <v>0.18</v>
      </c>
      <c r="I82" s="5">
        <v>500</v>
      </c>
      <c r="J82" s="5">
        <v>500</v>
      </c>
      <c r="K82" s="5">
        <v>644.29999999999995</v>
      </c>
      <c r="L82" s="7">
        <v>628.29999999999995</v>
      </c>
      <c r="M82" s="5"/>
      <c r="N82" s="9"/>
      <c r="O82" s="9">
        <v>7.74</v>
      </c>
      <c r="P82" s="5"/>
      <c r="Q82" s="5">
        <v>24466.3</v>
      </c>
      <c r="R82" s="5">
        <v>169505.9</v>
      </c>
      <c r="S82" s="10">
        <v>0.37784000000000001</v>
      </c>
      <c r="T82" s="10">
        <v>7.7630000000000005E-2</v>
      </c>
      <c r="U82" s="10">
        <v>0.36024</v>
      </c>
      <c r="V82" s="10">
        <v>0.22595999999999999</v>
      </c>
      <c r="W82" s="5">
        <v>2404.9</v>
      </c>
      <c r="X82" s="5">
        <f>10069.7+2094.8</f>
        <v>12164.5</v>
      </c>
      <c r="Y82" s="5"/>
      <c r="Z82" s="5"/>
      <c r="AA82" s="35">
        <v>96137.33</v>
      </c>
      <c r="AB82" s="35">
        <f t="shared" si="6"/>
        <v>193972.19999999998</v>
      </c>
      <c r="AC82" s="33"/>
      <c r="AD82" s="33"/>
      <c r="AE82" s="35"/>
      <c r="AF82" s="17" t="s">
        <v>32</v>
      </c>
      <c r="AG82" s="41">
        <f>IFERROR(IF(Dados_SA[[#This Row],[DEMANDA_REGISTRADA_P]]/Dados_SA[[#This Row],[DEMANDA_CONTRATADA_P]]=0,"",Dados_SA[[#This Row],[DEMANDA_REGISTRADA_P]]/Dados_SA[[#This Row],[DEMANDA_CONTRATADA_P]]),"")</f>
        <v>1.2886</v>
      </c>
      <c r="AH82" s="41">
        <f>IFERROR(IF(Dados_SA[[#This Row],[DEMANDA_REGISTRADA_FP]]/Dados_SA[[#This Row],[DEMANDA_CONTRATADA_FP]]=0,"",Dados_SA[[#This Row],[DEMANDA_REGISTRADA_FP]]/Dados_SA[[#This Row],[DEMANDA_CONTRATADA_FP]]),"")</f>
        <v>1.2565999999999999</v>
      </c>
      <c r="AI82" s="42">
        <f>IF(Dados_SA[[#This Row],[% Demanda contratada P]]&gt;105%,1,0)</f>
        <v>1</v>
      </c>
      <c r="AJ82" s="42">
        <f>IF(Dados_SA[[#This Row],[% Demanda contratada FP]]&gt;105%,1,0)</f>
        <v>1</v>
      </c>
      <c r="AK82" s="41">
        <f>Dados_SA[[#This Row],[Acrescimo_Bamar]]/Dados_SA[[#This Row],[Valor da Fatura]]</f>
        <v>0</v>
      </c>
      <c r="AL82" s="41">
        <f>Dados_SA[[#This Row],[Acrescimo_Bverm1]]/Dados_SA[[#This Row],[Valor da Fatura]]</f>
        <v>0</v>
      </c>
      <c r="AM82" s="41">
        <f>Dados_SA[[#This Row],[Acrescimo_Bverm2]]/Dados_SA[[#This Row],[Valor da Fatura]]</f>
        <v>0</v>
      </c>
      <c r="AN82" s="36">
        <v>1.05</v>
      </c>
      <c r="AO82" s="36">
        <v>1</v>
      </c>
      <c r="AP82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P&amp;FP</v>
      </c>
      <c r="AQ82" s="65">
        <f>IF(Dados_SA[[#This Row],[Exced]]&lt;&gt;"",1,0)</f>
        <v>1</v>
      </c>
      <c r="AR82" s="65">
        <f>AVERAGEIFS(Dados_SA[DEMANDA_REGISTRADA_P],Dados_SA[ANO],2015,Dados_SA[UC],"SBC")</f>
        <v>410.04999999999995</v>
      </c>
      <c r="AS82" s="65">
        <f>AVERAGEIFS(Dados_SA[DEMANDA_REGISTRADA_FP],Dados_SA[ANO],2015,Dados_SA[UC],"SBC")</f>
        <v>410.82499999999999</v>
      </c>
      <c r="AT82" s="65">
        <v>157561.57999999999</v>
      </c>
      <c r="AX82"/>
      <c r="AY82"/>
      <c r="AZ82"/>
      <c r="BA82"/>
      <c r="BB82"/>
      <c r="BC82"/>
      <c r="BD82"/>
      <c r="BE82"/>
    </row>
    <row r="83" spans="1:57" ht="15.75" customHeight="1" x14ac:dyDescent="0.2">
      <c r="A83" s="40" t="s">
        <v>67</v>
      </c>
      <c r="B83" s="15" t="s">
        <v>38</v>
      </c>
      <c r="C83" s="5">
        <v>2016</v>
      </c>
      <c r="D83" s="5">
        <v>6</v>
      </c>
      <c r="E83" s="5">
        <v>30</v>
      </c>
      <c r="F83" s="5">
        <v>1.2200000000000001E-2</v>
      </c>
      <c r="G83" s="6">
        <v>5.62E-2</v>
      </c>
      <c r="H83" s="5">
        <v>0.18</v>
      </c>
      <c r="I83" s="5">
        <v>500</v>
      </c>
      <c r="J83" s="5">
        <v>500</v>
      </c>
      <c r="K83" s="5">
        <v>446.9</v>
      </c>
      <c r="L83" s="7">
        <v>394</v>
      </c>
      <c r="M83" s="5"/>
      <c r="N83" s="9"/>
      <c r="O83" s="9">
        <v>7.74</v>
      </c>
      <c r="P83" s="5"/>
      <c r="Q83" s="5">
        <v>19145.900000000001</v>
      </c>
      <c r="R83" s="5">
        <v>155715.4</v>
      </c>
      <c r="S83" s="10">
        <v>0.37784000000000001</v>
      </c>
      <c r="T83" s="10">
        <v>7.7630000000000005E-2</v>
      </c>
      <c r="U83" s="10">
        <v>0.36024</v>
      </c>
      <c r="V83" s="10">
        <v>0.22595999999999999</v>
      </c>
      <c r="W83" s="5">
        <v>1410.8</v>
      </c>
      <c r="X83" s="5">
        <f>5360.3+2947.8</f>
        <v>8308.1</v>
      </c>
      <c r="Y83" s="5"/>
      <c r="Z83" s="5"/>
      <c r="AA83" s="35">
        <v>81262.23</v>
      </c>
      <c r="AB83" s="35">
        <f t="shared" si="6"/>
        <v>174861.3</v>
      </c>
      <c r="AC83" s="33"/>
      <c r="AD83" s="33"/>
      <c r="AE83" s="35"/>
      <c r="AF83" s="17" t="s">
        <v>32</v>
      </c>
      <c r="AG83" s="41">
        <f>IFERROR(IF(Dados_SA[[#This Row],[DEMANDA_REGISTRADA_P]]/Dados_SA[[#This Row],[DEMANDA_CONTRATADA_P]]=0,"",Dados_SA[[#This Row],[DEMANDA_REGISTRADA_P]]/Dados_SA[[#This Row],[DEMANDA_CONTRATADA_P]]),"")</f>
        <v>0.89379999999999993</v>
      </c>
      <c r="AH83" s="41">
        <f>IFERROR(IF(Dados_SA[[#This Row],[DEMANDA_REGISTRADA_FP]]/Dados_SA[[#This Row],[DEMANDA_CONTRATADA_FP]]=0,"",Dados_SA[[#This Row],[DEMANDA_REGISTRADA_FP]]/Dados_SA[[#This Row],[DEMANDA_CONTRATADA_FP]]),"")</f>
        <v>0.78800000000000003</v>
      </c>
      <c r="AI83" s="42">
        <f>IF(Dados_SA[[#This Row],[% Demanda contratada P]]&gt;105%,1,0)</f>
        <v>0</v>
      </c>
      <c r="AJ83" s="42">
        <f>IF(Dados_SA[[#This Row],[% Demanda contratada FP]]&gt;105%,1,0)</f>
        <v>0</v>
      </c>
      <c r="AK83" s="41">
        <f>Dados_SA[[#This Row],[Acrescimo_Bamar]]/Dados_SA[[#This Row],[Valor da Fatura]]</f>
        <v>0</v>
      </c>
      <c r="AL83" s="41">
        <f>Dados_SA[[#This Row],[Acrescimo_Bverm1]]/Dados_SA[[#This Row],[Valor da Fatura]]</f>
        <v>0</v>
      </c>
      <c r="AM83" s="41">
        <f>Dados_SA[[#This Row],[Acrescimo_Bverm2]]/Dados_SA[[#This Row],[Valor da Fatura]]</f>
        <v>0</v>
      </c>
      <c r="AN83" s="36">
        <v>1.05</v>
      </c>
      <c r="AO83" s="36">
        <v>1</v>
      </c>
      <c r="AP83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83" s="65">
        <f>IF(Dados_SA[[#This Row],[Exced]]&lt;&gt;"",1,0)</f>
        <v>0</v>
      </c>
      <c r="AR83" s="65">
        <f>AVERAGEIFS(Dados_SA[DEMANDA_REGISTRADA_P],Dados_SA[ANO],2015,Dados_SA[UC],"SBC")</f>
        <v>410.04999999999995</v>
      </c>
      <c r="AS83" s="65">
        <f>AVERAGEIFS(Dados_SA[DEMANDA_REGISTRADA_FP],Dados_SA[ANO],2015,Dados_SA[UC],"SBC")</f>
        <v>410.82499999999999</v>
      </c>
      <c r="AT83" s="65">
        <v>157561.57999999999</v>
      </c>
      <c r="AX83"/>
      <c r="AY83"/>
      <c r="AZ83"/>
      <c r="BA83"/>
      <c r="BB83"/>
      <c r="BC83"/>
      <c r="BD83"/>
      <c r="BE83"/>
    </row>
    <row r="84" spans="1:57" ht="15.75" customHeight="1" x14ac:dyDescent="0.2">
      <c r="A84" s="40" t="s">
        <v>67</v>
      </c>
      <c r="B84" s="15" t="s">
        <v>39</v>
      </c>
      <c r="C84" s="5">
        <v>2016</v>
      </c>
      <c r="D84" s="5">
        <v>7</v>
      </c>
      <c r="E84" s="5">
        <v>31</v>
      </c>
      <c r="F84" s="5">
        <v>1.1299999999999999E-2</v>
      </c>
      <c r="G84" s="6">
        <v>5.21E-2</v>
      </c>
      <c r="H84" s="5">
        <v>0.18</v>
      </c>
      <c r="I84" s="5">
        <v>500</v>
      </c>
      <c r="J84" s="5">
        <v>500</v>
      </c>
      <c r="K84" s="5">
        <v>459.5</v>
      </c>
      <c r="L84" s="7">
        <v>404</v>
      </c>
      <c r="M84" s="5"/>
      <c r="N84" s="9"/>
      <c r="O84" s="9">
        <v>7.8358100000000004</v>
      </c>
      <c r="P84" s="5"/>
      <c r="Q84" s="5">
        <f>26501</f>
        <v>26501</v>
      </c>
      <c r="R84" s="5">
        <v>163384.79999999999</v>
      </c>
      <c r="S84" s="10">
        <f>(0.37468)</f>
        <v>0.37468000000000001</v>
      </c>
      <c r="T84" s="10">
        <v>7.0720000000000005E-2</v>
      </c>
      <c r="U84" s="10">
        <f>(0.37468+U83)/2</f>
        <v>0.36746000000000001</v>
      </c>
      <c r="V84" s="10">
        <f>(V83+0.21497)/2</f>
        <v>0.22046499999999999</v>
      </c>
      <c r="W84" s="5">
        <v>3498</v>
      </c>
      <c r="X84" s="5">
        <f>14124.4+2.7</f>
        <v>14127.1</v>
      </c>
      <c r="Y84" s="5"/>
      <c r="Z84" s="5"/>
      <c r="AA84" s="35">
        <v>87825.96</v>
      </c>
      <c r="AB84" s="35">
        <f t="shared" si="6"/>
        <v>189885.8</v>
      </c>
      <c r="AC84" s="33"/>
      <c r="AD84" s="33"/>
      <c r="AE84" s="35"/>
      <c r="AF84" s="17" t="s">
        <v>32</v>
      </c>
      <c r="AG84" s="41">
        <f>IFERROR(IF(Dados_SA[[#This Row],[DEMANDA_REGISTRADA_P]]/Dados_SA[[#This Row],[DEMANDA_CONTRATADA_P]]=0,"",Dados_SA[[#This Row],[DEMANDA_REGISTRADA_P]]/Dados_SA[[#This Row],[DEMANDA_CONTRATADA_P]]),"")</f>
        <v>0.91900000000000004</v>
      </c>
      <c r="AH84" s="41">
        <f>IFERROR(IF(Dados_SA[[#This Row],[DEMANDA_REGISTRADA_FP]]/Dados_SA[[#This Row],[DEMANDA_CONTRATADA_FP]]=0,"",Dados_SA[[#This Row],[DEMANDA_REGISTRADA_FP]]/Dados_SA[[#This Row],[DEMANDA_CONTRATADA_FP]]),"")</f>
        <v>0.80800000000000005</v>
      </c>
      <c r="AI84" s="42">
        <f>IF(Dados_SA[[#This Row],[% Demanda contratada P]]&gt;105%,1,0)</f>
        <v>0</v>
      </c>
      <c r="AJ84" s="42">
        <f>IF(Dados_SA[[#This Row],[% Demanda contratada FP]]&gt;105%,1,0)</f>
        <v>0</v>
      </c>
      <c r="AK84" s="41">
        <f>Dados_SA[[#This Row],[Acrescimo_Bamar]]/Dados_SA[[#This Row],[Valor da Fatura]]</f>
        <v>0</v>
      </c>
      <c r="AL84" s="41">
        <f>Dados_SA[[#This Row],[Acrescimo_Bverm1]]/Dados_SA[[#This Row],[Valor da Fatura]]</f>
        <v>0</v>
      </c>
      <c r="AM84" s="41">
        <f>Dados_SA[[#This Row],[Acrescimo_Bverm2]]/Dados_SA[[#This Row],[Valor da Fatura]]</f>
        <v>0</v>
      </c>
      <c r="AN84" s="36">
        <v>1.05</v>
      </c>
      <c r="AO84" s="36">
        <v>1</v>
      </c>
      <c r="AP84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84" s="65">
        <f>IF(Dados_SA[[#This Row],[Exced]]&lt;&gt;"",1,0)</f>
        <v>0</v>
      </c>
      <c r="AR84" s="65">
        <f>AVERAGEIFS(Dados_SA[DEMANDA_REGISTRADA_P],Dados_SA[ANO],2015,Dados_SA[UC],"SBC")</f>
        <v>410.04999999999995</v>
      </c>
      <c r="AS84" s="65">
        <f>AVERAGEIFS(Dados_SA[DEMANDA_REGISTRADA_FP],Dados_SA[ANO],2015,Dados_SA[UC],"SBC")</f>
        <v>410.82499999999999</v>
      </c>
      <c r="AT84" s="65">
        <v>157561.57999999999</v>
      </c>
      <c r="AX84"/>
      <c r="AY84"/>
      <c r="AZ84"/>
      <c r="BA84"/>
      <c r="BB84"/>
      <c r="BC84"/>
      <c r="BD84"/>
      <c r="BE84"/>
    </row>
    <row r="85" spans="1:57" ht="15.75" customHeight="1" x14ac:dyDescent="0.2">
      <c r="A85" s="40" t="s">
        <v>67</v>
      </c>
      <c r="B85" s="15" t="s">
        <v>40</v>
      </c>
      <c r="C85" s="5">
        <v>2016</v>
      </c>
      <c r="D85" s="5">
        <v>8</v>
      </c>
      <c r="E85" s="5">
        <v>31</v>
      </c>
      <c r="F85" s="5">
        <v>1.26E-2</v>
      </c>
      <c r="G85" s="6">
        <v>5.8200000000000002E-2</v>
      </c>
      <c r="H85" s="5">
        <v>0.18</v>
      </c>
      <c r="I85" s="5">
        <v>500</v>
      </c>
      <c r="J85" s="5">
        <v>500</v>
      </c>
      <c r="K85" s="5">
        <v>484.7</v>
      </c>
      <c r="L85" s="7">
        <v>450</v>
      </c>
      <c r="M85" s="5"/>
      <c r="N85" s="9"/>
      <c r="O85" s="9">
        <v>8.01</v>
      </c>
      <c r="P85" s="5"/>
      <c r="Q85" s="5">
        <v>23303.1</v>
      </c>
      <c r="R85" s="5">
        <v>148848</v>
      </c>
      <c r="S85" s="10">
        <v>0.36893999999999999</v>
      </c>
      <c r="T85" s="10">
        <v>5.815E-2</v>
      </c>
      <c r="U85" s="10">
        <v>0.32356000000000001</v>
      </c>
      <c r="V85" s="10">
        <v>0.21496999999999999</v>
      </c>
      <c r="W85" s="5">
        <v>2391.6999999999998</v>
      </c>
      <c r="X85" s="5">
        <f>11761.9+35.9</f>
        <v>11797.8</v>
      </c>
      <c r="Y85" s="5"/>
      <c r="Z85" s="5"/>
      <c r="AA85" s="35">
        <v>76410.399999999994</v>
      </c>
      <c r="AB85" s="35">
        <f t="shared" si="6"/>
        <v>172151.1</v>
      </c>
      <c r="AC85" s="33"/>
      <c r="AD85" s="33"/>
      <c r="AE85" s="35"/>
      <c r="AF85" s="17" t="s">
        <v>32</v>
      </c>
      <c r="AG85" s="41">
        <f>IFERROR(IF(Dados_SA[[#This Row],[DEMANDA_REGISTRADA_P]]/Dados_SA[[#This Row],[DEMANDA_CONTRATADA_P]]=0,"",Dados_SA[[#This Row],[DEMANDA_REGISTRADA_P]]/Dados_SA[[#This Row],[DEMANDA_CONTRATADA_P]]),"")</f>
        <v>0.96939999999999993</v>
      </c>
      <c r="AH85" s="41">
        <f>IFERROR(IF(Dados_SA[[#This Row],[DEMANDA_REGISTRADA_FP]]/Dados_SA[[#This Row],[DEMANDA_CONTRATADA_FP]]=0,"",Dados_SA[[#This Row],[DEMANDA_REGISTRADA_FP]]/Dados_SA[[#This Row],[DEMANDA_CONTRATADA_FP]]),"")</f>
        <v>0.9</v>
      </c>
      <c r="AI85" s="42">
        <f>IF(Dados_SA[[#This Row],[% Demanda contratada P]]&gt;105%,1,0)</f>
        <v>0</v>
      </c>
      <c r="AJ85" s="42">
        <f>IF(Dados_SA[[#This Row],[% Demanda contratada FP]]&gt;105%,1,0)</f>
        <v>0</v>
      </c>
      <c r="AK85" s="41">
        <f>Dados_SA[[#This Row],[Acrescimo_Bamar]]/Dados_SA[[#This Row],[Valor da Fatura]]</f>
        <v>0</v>
      </c>
      <c r="AL85" s="41">
        <f>Dados_SA[[#This Row],[Acrescimo_Bverm1]]/Dados_SA[[#This Row],[Valor da Fatura]]</f>
        <v>0</v>
      </c>
      <c r="AM85" s="41">
        <f>Dados_SA[[#This Row],[Acrescimo_Bverm2]]/Dados_SA[[#This Row],[Valor da Fatura]]</f>
        <v>0</v>
      </c>
      <c r="AN85" s="36">
        <v>1.05</v>
      </c>
      <c r="AO85" s="36">
        <v>1</v>
      </c>
      <c r="AP85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85" s="65">
        <f>IF(Dados_SA[[#This Row],[Exced]]&lt;&gt;"",1,0)</f>
        <v>0</v>
      </c>
      <c r="AR85" s="65">
        <f>AVERAGEIFS(Dados_SA[DEMANDA_REGISTRADA_P],Dados_SA[ANO],2015,Dados_SA[UC],"SBC")</f>
        <v>410.04999999999995</v>
      </c>
      <c r="AS85" s="65">
        <f>AVERAGEIFS(Dados_SA[DEMANDA_REGISTRADA_FP],Dados_SA[ANO],2015,Dados_SA[UC],"SBC")</f>
        <v>410.82499999999999</v>
      </c>
      <c r="AT85" s="65">
        <v>157561.57999999999</v>
      </c>
      <c r="AX85"/>
      <c r="AY85"/>
      <c r="AZ85"/>
      <c r="BA85"/>
      <c r="BB85"/>
      <c r="BC85"/>
      <c r="BD85"/>
      <c r="BE85"/>
    </row>
    <row r="86" spans="1:57" ht="15.75" customHeight="1" x14ac:dyDescent="0.2">
      <c r="A86" s="40" t="s">
        <v>67</v>
      </c>
      <c r="B86" s="15" t="s">
        <v>41</v>
      </c>
      <c r="C86" s="5">
        <v>2016</v>
      </c>
      <c r="D86" s="5">
        <v>9</v>
      </c>
      <c r="E86" s="5">
        <v>30</v>
      </c>
      <c r="F86" s="5">
        <v>1.0200000000000001E-2</v>
      </c>
      <c r="G86" s="6">
        <v>4.7300000000000002E-2</v>
      </c>
      <c r="H86" s="5">
        <v>0.18</v>
      </c>
      <c r="I86" s="5">
        <v>500</v>
      </c>
      <c r="J86" s="5">
        <v>500</v>
      </c>
      <c r="K86" s="5">
        <v>426.7</v>
      </c>
      <c r="L86" s="7">
        <v>392.3</v>
      </c>
      <c r="M86" s="5"/>
      <c r="N86" s="9"/>
      <c r="O86" s="9">
        <v>8.01</v>
      </c>
      <c r="P86" s="5"/>
      <c r="Q86" s="5">
        <v>20422.099999999999</v>
      </c>
      <c r="R86" s="5">
        <v>152405</v>
      </c>
      <c r="S86" s="10">
        <v>0.36893999999999999</v>
      </c>
      <c r="T86" s="10">
        <v>5.815E-2</v>
      </c>
      <c r="U86" s="10">
        <v>0.32356000000000001</v>
      </c>
      <c r="V86" s="10">
        <v>0.21496999999999999</v>
      </c>
      <c r="W86" s="5">
        <v>1419.2</v>
      </c>
      <c r="X86" s="5">
        <f>6440.7+566</f>
        <v>7006.7</v>
      </c>
      <c r="Y86" s="5"/>
      <c r="Z86" s="5"/>
      <c r="AA86" s="35">
        <v>73813.850000000006</v>
      </c>
      <c r="AB86" s="35">
        <f t="shared" si="6"/>
        <v>172827.1</v>
      </c>
      <c r="AC86" s="33"/>
      <c r="AD86" s="33"/>
      <c r="AE86" s="35"/>
      <c r="AF86" s="17" t="s">
        <v>32</v>
      </c>
      <c r="AG86" s="41">
        <f>IFERROR(IF(Dados_SA[[#This Row],[DEMANDA_REGISTRADA_P]]/Dados_SA[[#This Row],[DEMANDA_CONTRATADA_P]]=0,"",Dados_SA[[#This Row],[DEMANDA_REGISTRADA_P]]/Dados_SA[[#This Row],[DEMANDA_CONTRATADA_P]]),"")</f>
        <v>0.85339999999999994</v>
      </c>
      <c r="AH86" s="41">
        <f>IFERROR(IF(Dados_SA[[#This Row],[DEMANDA_REGISTRADA_FP]]/Dados_SA[[#This Row],[DEMANDA_CONTRATADA_FP]]=0,"",Dados_SA[[#This Row],[DEMANDA_REGISTRADA_FP]]/Dados_SA[[#This Row],[DEMANDA_CONTRATADA_FP]]),"")</f>
        <v>0.78460000000000008</v>
      </c>
      <c r="AI86" s="42">
        <f>IF(Dados_SA[[#This Row],[% Demanda contratada P]]&gt;105%,1,0)</f>
        <v>0</v>
      </c>
      <c r="AJ86" s="42">
        <f>IF(Dados_SA[[#This Row],[% Demanda contratada FP]]&gt;105%,1,0)</f>
        <v>0</v>
      </c>
      <c r="AK86" s="41">
        <f>Dados_SA[[#This Row],[Acrescimo_Bamar]]/Dados_SA[[#This Row],[Valor da Fatura]]</f>
        <v>0</v>
      </c>
      <c r="AL86" s="41">
        <f>Dados_SA[[#This Row],[Acrescimo_Bverm1]]/Dados_SA[[#This Row],[Valor da Fatura]]</f>
        <v>0</v>
      </c>
      <c r="AM86" s="41">
        <f>Dados_SA[[#This Row],[Acrescimo_Bverm2]]/Dados_SA[[#This Row],[Valor da Fatura]]</f>
        <v>0</v>
      </c>
      <c r="AN86" s="36">
        <v>1.05</v>
      </c>
      <c r="AO86" s="36">
        <v>1</v>
      </c>
      <c r="AP86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86" s="65">
        <f>IF(Dados_SA[[#This Row],[Exced]]&lt;&gt;"",1,0)</f>
        <v>0</v>
      </c>
      <c r="AR86" s="65">
        <f>AVERAGEIFS(Dados_SA[DEMANDA_REGISTRADA_P],Dados_SA[ANO],2015,Dados_SA[UC],"SBC")</f>
        <v>410.04999999999995</v>
      </c>
      <c r="AS86" s="65">
        <f>AVERAGEIFS(Dados_SA[DEMANDA_REGISTRADA_FP],Dados_SA[ANO],2015,Dados_SA[UC],"SBC")</f>
        <v>410.82499999999999</v>
      </c>
      <c r="AT86" s="65">
        <v>157561.57999999999</v>
      </c>
      <c r="AX86"/>
      <c r="AY86"/>
      <c r="AZ86"/>
      <c r="BA86"/>
      <c r="BB86"/>
      <c r="BC86"/>
      <c r="BD86"/>
      <c r="BE86"/>
    </row>
    <row r="87" spans="1:57" ht="15.75" customHeight="1" x14ac:dyDescent="0.2">
      <c r="A87" s="40" t="s">
        <v>67</v>
      </c>
      <c r="B87" s="15" t="s">
        <v>42</v>
      </c>
      <c r="C87" s="5">
        <v>2016</v>
      </c>
      <c r="D87" s="5">
        <v>10</v>
      </c>
      <c r="E87" s="5">
        <v>31</v>
      </c>
      <c r="F87" s="5">
        <v>0.01</v>
      </c>
      <c r="G87" s="6">
        <v>4.6199999999999998E-2</v>
      </c>
      <c r="H87" s="5">
        <v>0.18</v>
      </c>
      <c r="I87" s="5">
        <v>500</v>
      </c>
      <c r="J87" s="5">
        <v>500</v>
      </c>
      <c r="K87" s="5">
        <v>408.2</v>
      </c>
      <c r="L87" s="7">
        <v>384.7</v>
      </c>
      <c r="M87" s="5"/>
      <c r="N87" s="9"/>
      <c r="O87" s="9">
        <v>8.01</v>
      </c>
      <c r="P87" s="5"/>
      <c r="Q87" s="5">
        <v>20508.599999999999</v>
      </c>
      <c r="R87" s="5">
        <v>140315.70000000001</v>
      </c>
      <c r="S87" s="10">
        <v>0.36893999999999999</v>
      </c>
      <c r="T87" s="10">
        <v>5.815E-2</v>
      </c>
      <c r="U87" s="10">
        <v>0.32356000000000001</v>
      </c>
      <c r="V87" s="10">
        <v>0.21496999999999999</v>
      </c>
      <c r="W87" s="5">
        <v>1110.3</v>
      </c>
      <c r="X87" s="5">
        <f>4994+492.2</f>
        <v>5486.2</v>
      </c>
      <c r="Y87" s="5"/>
      <c r="Z87" s="5"/>
      <c r="AA87" s="35">
        <v>69692.100000000006</v>
      </c>
      <c r="AB87" s="35">
        <f t="shared" si="6"/>
        <v>160824.30000000002</v>
      </c>
      <c r="AC87" s="33"/>
      <c r="AD87" s="33"/>
      <c r="AE87" s="35"/>
      <c r="AF87" s="17" t="s">
        <v>32</v>
      </c>
      <c r="AG87" s="41">
        <f>IFERROR(IF(Dados_SA[[#This Row],[DEMANDA_REGISTRADA_P]]/Dados_SA[[#This Row],[DEMANDA_CONTRATADA_P]]=0,"",Dados_SA[[#This Row],[DEMANDA_REGISTRADA_P]]/Dados_SA[[#This Row],[DEMANDA_CONTRATADA_P]]),"")</f>
        <v>0.81640000000000001</v>
      </c>
      <c r="AH87" s="41">
        <f>IFERROR(IF(Dados_SA[[#This Row],[DEMANDA_REGISTRADA_FP]]/Dados_SA[[#This Row],[DEMANDA_CONTRATADA_FP]]=0,"",Dados_SA[[#This Row],[DEMANDA_REGISTRADA_FP]]/Dados_SA[[#This Row],[DEMANDA_CONTRATADA_FP]]),"")</f>
        <v>0.76939999999999997</v>
      </c>
      <c r="AI87" s="42">
        <f>IF(Dados_SA[[#This Row],[% Demanda contratada P]]&gt;105%,1,0)</f>
        <v>0</v>
      </c>
      <c r="AJ87" s="42">
        <f>IF(Dados_SA[[#This Row],[% Demanda contratada FP]]&gt;105%,1,0)</f>
        <v>0</v>
      </c>
      <c r="AK87" s="41">
        <f>Dados_SA[[#This Row],[Acrescimo_Bamar]]/Dados_SA[[#This Row],[Valor da Fatura]]</f>
        <v>0</v>
      </c>
      <c r="AL87" s="41">
        <f>Dados_SA[[#This Row],[Acrescimo_Bverm1]]/Dados_SA[[#This Row],[Valor da Fatura]]</f>
        <v>0</v>
      </c>
      <c r="AM87" s="41">
        <f>Dados_SA[[#This Row],[Acrescimo_Bverm2]]/Dados_SA[[#This Row],[Valor da Fatura]]</f>
        <v>0</v>
      </c>
      <c r="AN87" s="36">
        <v>1.05</v>
      </c>
      <c r="AO87" s="36">
        <v>1</v>
      </c>
      <c r="AP87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87" s="65">
        <f>IF(Dados_SA[[#This Row],[Exced]]&lt;&gt;"",1,0)</f>
        <v>0</v>
      </c>
      <c r="AR87" s="65">
        <f>AVERAGEIFS(Dados_SA[DEMANDA_REGISTRADA_P],Dados_SA[ANO],2015,Dados_SA[UC],"SBC")</f>
        <v>410.04999999999995</v>
      </c>
      <c r="AS87" s="65">
        <f>AVERAGEIFS(Dados_SA[DEMANDA_REGISTRADA_FP],Dados_SA[ANO],2015,Dados_SA[UC],"SBC")</f>
        <v>410.82499999999999</v>
      </c>
      <c r="AT87" s="65">
        <v>157561.57999999999</v>
      </c>
      <c r="AX87"/>
      <c r="AY87"/>
      <c r="AZ87"/>
      <c r="BA87"/>
      <c r="BB87"/>
      <c r="BC87"/>
      <c r="BD87"/>
      <c r="BE87"/>
    </row>
    <row r="88" spans="1:57" ht="15.75" customHeight="1" x14ac:dyDescent="0.2">
      <c r="A88" s="40" t="s">
        <v>67</v>
      </c>
      <c r="B88" s="15" t="s">
        <v>43</v>
      </c>
      <c r="C88" s="5">
        <v>2016</v>
      </c>
      <c r="D88" s="5">
        <v>11</v>
      </c>
      <c r="E88" s="5">
        <v>30</v>
      </c>
      <c r="F88" s="5">
        <v>8.9999999999999993E-3</v>
      </c>
      <c r="G88" s="6">
        <v>4.1500000000000002E-2</v>
      </c>
      <c r="H88" s="5">
        <v>0.18</v>
      </c>
      <c r="I88" s="5">
        <v>500</v>
      </c>
      <c r="J88" s="5">
        <v>500</v>
      </c>
      <c r="K88" s="5">
        <v>557.79999999999995</v>
      </c>
      <c r="L88" s="7">
        <v>579.6</v>
      </c>
      <c r="M88" s="5"/>
      <c r="N88" s="9"/>
      <c r="O88" s="9">
        <v>8.01</v>
      </c>
      <c r="P88" s="5"/>
      <c r="Q88" s="5">
        <v>22567.4</v>
      </c>
      <c r="R88" s="5">
        <v>167213.29999999999</v>
      </c>
      <c r="S88" s="10">
        <v>0.36893999999999999</v>
      </c>
      <c r="T88" s="10">
        <v>5.815E-2</v>
      </c>
      <c r="U88" s="10">
        <v>0.32356000000000001</v>
      </c>
      <c r="V88" s="10">
        <v>0.21496999999999999</v>
      </c>
      <c r="W88" s="5">
        <v>1810.4</v>
      </c>
      <c r="X88" s="5">
        <f>8266.2+632.5</f>
        <v>8898.7000000000007</v>
      </c>
      <c r="Y88" s="5"/>
      <c r="Z88" s="5"/>
      <c r="AA88" s="35">
        <v>83657.23</v>
      </c>
      <c r="AB88" s="35">
        <f t="shared" si="6"/>
        <v>189780.69999999998</v>
      </c>
      <c r="AC88" s="33">
        <f>1012.63+131</f>
        <v>1143.6300000000001</v>
      </c>
      <c r="AD88" s="33"/>
      <c r="AE88" s="35"/>
      <c r="AF88" s="17" t="s">
        <v>32</v>
      </c>
      <c r="AG88" s="41">
        <f>IFERROR(IF(Dados_SA[[#This Row],[DEMANDA_REGISTRADA_P]]/Dados_SA[[#This Row],[DEMANDA_CONTRATADA_P]]=0,"",Dados_SA[[#This Row],[DEMANDA_REGISTRADA_P]]/Dados_SA[[#This Row],[DEMANDA_CONTRATADA_P]]),"")</f>
        <v>1.1155999999999999</v>
      </c>
      <c r="AH88" s="41">
        <f>IFERROR(IF(Dados_SA[[#This Row],[DEMANDA_REGISTRADA_FP]]/Dados_SA[[#This Row],[DEMANDA_CONTRATADA_FP]]=0,"",Dados_SA[[#This Row],[DEMANDA_REGISTRADA_FP]]/Dados_SA[[#This Row],[DEMANDA_CONTRATADA_FP]]),"")</f>
        <v>1.1592</v>
      </c>
      <c r="AI88" s="42">
        <f>IF(Dados_SA[[#This Row],[% Demanda contratada P]]&gt;105%,1,0)</f>
        <v>1</v>
      </c>
      <c r="AJ88" s="42">
        <f>IF(Dados_SA[[#This Row],[% Demanda contratada FP]]&gt;105%,1,0)</f>
        <v>1</v>
      </c>
      <c r="AK88" s="41">
        <f>Dados_SA[[#This Row],[Acrescimo_Bamar]]/Dados_SA[[#This Row],[Valor da Fatura]]</f>
        <v>1.3670426333743062E-2</v>
      </c>
      <c r="AL88" s="41">
        <f>Dados_SA[[#This Row],[Acrescimo_Bverm1]]/Dados_SA[[#This Row],[Valor da Fatura]]</f>
        <v>0</v>
      </c>
      <c r="AM88" s="41">
        <f>Dados_SA[[#This Row],[Acrescimo_Bverm2]]/Dados_SA[[#This Row],[Valor da Fatura]]</f>
        <v>0</v>
      </c>
      <c r="AN88" s="36">
        <v>1.05</v>
      </c>
      <c r="AO88" s="36">
        <v>1</v>
      </c>
      <c r="AP88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P&amp;FP</v>
      </c>
      <c r="AQ88" s="65">
        <f>IF(Dados_SA[[#This Row],[Exced]]&lt;&gt;"",1,0)</f>
        <v>1</v>
      </c>
      <c r="AR88" s="65">
        <f>AVERAGEIFS(Dados_SA[DEMANDA_REGISTRADA_P],Dados_SA[ANO],2015,Dados_SA[UC],"SBC")</f>
        <v>410.04999999999995</v>
      </c>
      <c r="AS88" s="65">
        <f>AVERAGEIFS(Dados_SA[DEMANDA_REGISTRADA_FP],Dados_SA[ANO],2015,Dados_SA[UC],"SBC")</f>
        <v>410.82499999999999</v>
      </c>
      <c r="AT88" s="65">
        <v>157561.57999999999</v>
      </c>
      <c r="AX88"/>
      <c r="AY88"/>
      <c r="AZ88"/>
      <c r="BA88"/>
      <c r="BB88"/>
      <c r="BC88"/>
      <c r="BD88"/>
      <c r="BE88"/>
    </row>
    <row r="89" spans="1:57" ht="15.75" customHeight="1" x14ac:dyDescent="0.2">
      <c r="A89" s="40" t="s">
        <v>67</v>
      </c>
      <c r="B89" s="15" t="s">
        <v>44</v>
      </c>
      <c r="C89" s="5">
        <v>2016</v>
      </c>
      <c r="D89" s="5">
        <v>12</v>
      </c>
      <c r="E89" s="5">
        <v>31</v>
      </c>
      <c r="F89" s="5">
        <v>9.4000000000000004E-3</v>
      </c>
      <c r="G89" s="6">
        <v>4.3099999999999999E-2</v>
      </c>
      <c r="H89" s="5">
        <v>0.18</v>
      </c>
      <c r="I89" s="5">
        <v>500</v>
      </c>
      <c r="J89" s="5">
        <v>500</v>
      </c>
      <c r="K89" s="5">
        <v>425</v>
      </c>
      <c r="L89" s="7">
        <v>483.8</v>
      </c>
      <c r="M89" s="5"/>
      <c r="N89" s="9"/>
      <c r="O89" s="9">
        <v>8.01</v>
      </c>
      <c r="P89" s="5"/>
      <c r="Q89" s="5">
        <v>20263.099999999999</v>
      </c>
      <c r="R89" s="5">
        <v>152726.9</v>
      </c>
      <c r="S89" s="10">
        <v>0.36893999999999999</v>
      </c>
      <c r="T89" s="10">
        <v>5.815E-2</v>
      </c>
      <c r="U89" s="10">
        <v>0.32356000000000001</v>
      </c>
      <c r="V89" s="10">
        <v>0.21496999999999999</v>
      </c>
      <c r="W89" s="5">
        <v>1171</v>
      </c>
      <c r="X89" s="5">
        <f>6246.9+502.5</f>
        <v>6749.4</v>
      </c>
      <c r="Y89" s="5"/>
      <c r="Z89" s="5"/>
      <c r="AA89" s="35">
        <v>75062.02</v>
      </c>
      <c r="AB89" s="35">
        <f t="shared" si="6"/>
        <v>172990</v>
      </c>
      <c r="AC89" s="33">
        <f>1263.94+167.69</f>
        <v>1431.63</v>
      </c>
      <c r="AD89" s="33"/>
      <c r="AE89" s="35"/>
      <c r="AF89" s="17" t="s">
        <v>32</v>
      </c>
      <c r="AG89" s="41">
        <f>IFERROR(IF(Dados_SA[[#This Row],[DEMANDA_REGISTRADA_P]]/Dados_SA[[#This Row],[DEMANDA_CONTRATADA_P]]=0,"",Dados_SA[[#This Row],[DEMANDA_REGISTRADA_P]]/Dados_SA[[#This Row],[DEMANDA_CONTRATADA_P]]),"")</f>
        <v>0.85</v>
      </c>
      <c r="AH89" s="41">
        <f>IFERROR(IF(Dados_SA[[#This Row],[DEMANDA_REGISTRADA_FP]]/Dados_SA[[#This Row],[DEMANDA_CONTRATADA_FP]]=0,"",Dados_SA[[#This Row],[DEMANDA_REGISTRADA_FP]]/Dados_SA[[#This Row],[DEMANDA_CONTRATADA_FP]]),"")</f>
        <v>0.96760000000000002</v>
      </c>
      <c r="AI89" s="42">
        <f>IF(Dados_SA[[#This Row],[% Demanda contratada P]]&gt;105%,1,0)</f>
        <v>0</v>
      </c>
      <c r="AJ89" s="42">
        <f>IF(Dados_SA[[#This Row],[% Demanda contratada FP]]&gt;105%,1,0)</f>
        <v>0</v>
      </c>
      <c r="AK89" s="41">
        <f>Dados_SA[[#This Row],[Acrescimo_Bamar]]/Dados_SA[[#This Row],[Valor da Fatura]]</f>
        <v>1.9072628207980547E-2</v>
      </c>
      <c r="AL89" s="41">
        <f>Dados_SA[[#This Row],[Acrescimo_Bverm1]]/Dados_SA[[#This Row],[Valor da Fatura]]</f>
        <v>0</v>
      </c>
      <c r="AM89" s="41">
        <f>Dados_SA[[#This Row],[Acrescimo_Bverm2]]/Dados_SA[[#This Row],[Valor da Fatura]]</f>
        <v>0</v>
      </c>
      <c r="AN89" s="36">
        <v>1.05</v>
      </c>
      <c r="AO89" s="36">
        <v>1</v>
      </c>
      <c r="AP89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89" s="65">
        <f>IF(Dados_SA[[#This Row],[Exced]]&lt;&gt;"",1,0)</f>
        <v>0</v>
      </c>
      <c r="AR89" s="65">
        <f>AVERAGEIFS(Dados_SA[DEMANDA_REGISTRADA_P],Dados_SA[ANO],2015,Dados_SA[UC],"SBC")</f>
        <v>410.04999999999995</v>
      </c>
      <c r="AS89" s="65">
        <f>AVERAGEIFS(Dados_SA[DEMANDA_REGISTRADA_FP],Dados_SA[ANO],2015,Dados_SA[UC],"SBC")</f>
        <v>410.82499999999999</v>
      </c>
      <c r="AT89" s="65">
        <v>157561.57999999999</v>
      </c>
    </row>
    <row r="90" spans="1:57" ht="15.75" customHeight="1" x14ac:dyDescent="0.2">
      <c r="A90" s="40" t="s">
        <v>67</v>
      </c>
      <c r="B90" s="15" t="s">
        <v>45</v>
      </c>
      <c r="C90" s="5">
        <v>2017</v>
      </c>
      <c r="D90" s="5">
        <v>1</v>
      </c>
      <c r="E90" s="5">
        <v>30</v>
      </c>
      <c r="F90" s="5">
        <v>9.2999999999999992E-3</v>
      </c>
      <c r="G90" s="6">
        <v>4.2700000000000002E-2</v>
      </c>
      <c r="H90" s="5">
        <v>0.18</v>
      </c>
      <c r="I90" s="5">
        <v>500</v>
      </c>
      <c r="J90" s="5">
        <v>500</v>
      </c>
      <c r="K90" s="5">
        <v>386.4</v>
      </c>
      <c r="L90" s="7">
        <v>444.4</v>
      </c>
      <c r="M90" s="5"/>
      <c r="N90" s="9"/>
      <c r="O90" s="9">
        <v>8.01</v>
      </c>
      <c r="P90" s="5"/>
      <c r="Q90" s="5">
        <v>15847.2</v>
      </c>
      <c r="R90" s="5">
        <v>117748.3</v>
      </c>
      <c r="S90" s="10">
        <v>0.36893999999999999</v>
      </c>
      <c r="T90" s="10">
        <v>0.32356000000000001</v>
      </c>
      <c r="U90" s="10">
        <v>0.32356000000000001</v>
      </c>
      <c r="V90" s="10">
        <v>0.21496999999999999</v>
      </c>
      <c r="W90" s="5">
        <v>2439.8000000000002</v>
      </c>
      <c r="X90" s="5">
        <v>12997.5</v>
      </c>
      <c r="Y90" s="5"/>
      <c r="Z90" s="5"/>
      <c r="AA90" s="35">
        <v>69249.600000000006</v>
      </c>
      <c r="AB90" s="35">
        <v>167798.2</v>
      </c>
      <c r="AC90" s="33"/>
      <c r="AD90" s="33"/>
      <c r="AE90" s="35"/>
      <c r="AF90" s="17" t="s">
        <v>32</v>
      </c>
      <c r="AG90" s="41">
        <f>IFERROR(IF(Dados_SA[[#This Row],[DEMANDA_REGISTRADA_P]]/Dados_SA[[#This Row],[DEMANDA_CONTRATADA_P]]=0,"",Dados_SA[[#This Row],[DEMANDA_REGISTRADA_P]]/Dados_SA[[#This Row],[DEMANDA_CONTRATADA_P]]),"")</f>
        <v>0.77279999999999993</v>
      </c>
      <c r="AH90" s="41">
        <f>IFERROR(IF(Dados_SA[[#This Row],[DEMANDA_REGISTRADA_FP]]/Dados_SA[[#This Row],[DEMANDA_CONTRATADA_FP]]=0,"",Dados_SA[[#This Row],[DEMANDA_REGISTRADA_FP]]/Dados_SA[[#This Row],[DEMANDA_CONTRATADA_FP]]),"")</f>
        <v>0.88879999999999992</v>
      </c>
      <c r="AI90" s="42">
        <f>IF(Dados_SA[[#This Row],[% Demanda contratada P]]&gt;105%,1,0)</f>
        <v>0</v>
      </c>
      <c r="AJ90" s="42">
        <f>IF(Dados_SA[[#This Row],[% Demanda contratada FP]]&gt;105%,1,0)</f>
        <v>0</v>
      </c>
      <c r="AK90" s="41">
        <f>Dados_SA[[#This Row],[Acrescimo_Bamar]]/Dados_SA[[#This Row],[Valor da Fatura]]</f>
        <v>0</v>
      </c>
      <c r="AL90" s="41">
        <f>Dados_SA[[#This Row],[Acrescimo_Bverm1]]/Dados_SA[[#This Row],[Valor da Fatura]]</f>
        <v>0</v>
      </c>
      <c r="AM90" s="41">
        <f>Dados_SA[[#This Row],[Acrescimo_Bverm2]]/Dados_SA[[#This Row],[Valor da Fatura]]</f>
        <v>0</v>
      </c>
      <c r="AN90" s="36">
        <v>1.05</v>
      </c>
      <c r="AO90" s="36">
        <v>1</v>
      </c>
      <c r="AP90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90" s="65">
        <f>IF(Dados_SA[[#This Row],[Exced]]&lt;&gt;"",1,0)</f>
        <v>0</v>
      </c>
      <c r="AR90" s="65">
        <f>AVERAGEIFS(Dados_SA[DEMANDA_REGISTRADA_P],Dados_SA[ANO],2015,Dados_SA[UC],"SBC")</f>
        <v>410.04999999999995</v>
      </c>
      <c r="AS90" s="65">
        <f>AVERAGEIFS(Dados_SA[DEMANDA_REGISTRADA_FP],Dados_SA[ANO],2015,Dados_SA[UC],"SBC")</f>
        <v>410.82499999999999</v>
      </c>
      <c r="AT90" s="65">
        <v>157561.57999999999</v>
      </c>
    </row>
    <row r="91" spans="1:57" ht="15.75" customHeight="1" x14ac:dyDescent="0.2">
      <c r="A91" s="40" t="s">
        <v>67</v>
      </c>
      <c r="B91" s="15" t="s">
        <v>46</v>
      </c>
      <c r="C91" s="5">
        <v>2017</v>
      </c>
      <c r="D91" s="5">
        <v>2</v>
      </c>
      <c r="E91" s="5">
        <v>32</v>
      </c>
      <c r="F91" s="5">
        <v>1.1299999999999999E-2</v>
      </c>
      <c r="G91" s="6">
        <v>5.2299999999999999E-2</v>
      </c>
      <c r="H91" s="5">
        <v>0.18</v>
      </c>
      <c r="I91" s="5">
        <v>500</v>
      </c>
      <c r="J91" s="5">
        <v>500</v>
      </c>
      <c r="K91" s="5">
        <v>457</v>
      </c>
      <c r="L91" s="7">
        <v>502.3</v>
      </c>
      <c r="M91" s="5"/>
      <c r="N91" s="9"/>
      <c r="O91" s="9">
        <v>8.01</v>
      </c>
      <c r="P91" s="5"/>
      <c r="Q91" s="5">
        <v>19273.2</v>
      </c>
      <c r="R91" s="5">
        <v>137652.1</v>
      </c>
      <c r="S91" s="10">
        <v>0.36893999999999999</v>
      </c>
      <c r="T91" s="10">
        <v>0.32356000000000001</v>
      </c>
      <c r="U91" s="10">
        <v>0.32356000000000001</v>
      </c>
      <c r="V91" s="10">
        <v>0.21496999999999999</v>
      </c>
      <c r="W91" s="5">
        <v>2773.7</v>
      </c>
      <c r="X91" s="5">
        <v>15673.1</v>
      </c>
      <c r="Y91" s="5"/>
      <c r="Z91" s="5"/>
      <c r="AA91" s="35">
        <v>81299.77</v>
      </c>
      <c r="AB91" s="35">
        <v>194792.43</v>
      </c>
      <c r="AC91" s="33"/>
      <c r="AD91" s="33"/>
      <c r="AE91" s="35"/>
      <c r="AF91" s="17" t="s">
        <v>32</v>
      </c>
      <c r="AG91" s="41">
        <f>IFERROR(IF(Dados_SA[[#This Row],[DEMANDA_REGISTRADA_P]]/Dados_SA[[#This Row],[DEMANDA_CONTRATADA_P]]=0,"",Dados_SA[[#This Row],[DEMANDA_REGISTRADA_P]]/Dados_SA[[#This Row],[DEMANDA_CONTRATADA_P]]),"")</f>
        <v>0.91400000000000003</v>
      </c>
      <c r="AH91" s="41">
        <f>IFERROR(IF(Dados_SA[[#This Row],[DEMANDA_REGISTRADA_FP]]/Dados_SA[[#This Row],[DEMANDA_CONTRATADA_FP]]=0,"",Dados_SA[[#This Row],[DEMANDA_REGISTRADA_FP]]/Dados_SA[[#This Row],[DEMANDA_CONTRATADA_FP]]),"")</f>
        <v>1.0045999999999999</v>
      </c>
      <c r="AI91" s="42">
        <f>IF(Dados_SA[[#This Row],[% Demanda contratada P]]&gt;105%,1,0)</f>
        <v>0</v>
      </c>
      <c r="AJ91" s="42">
        <f>IF(Dados_SA[[#This Row],[% Demanda contratada FP]]&gt;105%,1,0)</f>
        <v>0</v>
      </c>
      <c r="AK91" s="41">
        <f>Dados_SA[[#This Row],[Acrescimo_Bamar]]/Dados_SA[[#This Row],[Valor da Fatura]]</f>
        <v>0</v>
      </c>
      <c r="AL91" s="41">
        <f>Dados_SA[[#This Row],[Acrescimo_Bverm1]]/Dados_SA[[#This Row],[Valor da Fatura]]</f>
        <v>0</v>
      </c>
      <c r="AM91" s="41">
        <f>Dados_SA[[#This Row],[Acrescimo_Bverm2]]/Dados_SA[[#This Row],[Valor da Fatura]]</f>
        <v>0</v>
      </c>
      <c r="AN91" s="36">
        <v>1.05</v>
      </c>
      <c r="AO91" s="36">
        <v>1</v>
      </c>
      <c r="AP91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91" s="65">
        <f>IF(Dados_SA[[#This Row],[Exced]]&lt;&gt;"",1,0)</f>
        <v>0</v>
      </c>
      <c r="AR91" s="65">
        <f>AVERAGEIFS(Dados_SA[DEMANDA_REGISTRADA_P],Dados_SA[ANO],2015,Dados_SA[UC],"SBC")</f>
        <v>410.04999999999995</v>
      </c>
      <c r="AS91" s="65">
        <f>AVERAGEIFS(Dados_SA[DEMANDA_REGISTRADA_FP],Dados_SA[ANO],2015,Dados_SA[UC],"SBC")</f>
        <v>410.82499999999999</v>
      </c>
      <c r="AT91" s="65">
        <v>157561.57999999999</v>
      </c>
    </row>
    <row r="92" spans="1:57" ht="15.75" customHeight="1" x14ac:dyDescent="0.2">
      <c r="A92" s="40" t="s">
        <v>67</v>
      </c>
      <c r="B92" s="15" t="s">
        <v>47</v>
      </c>
      <c r="C92" s="5">
        <v>2017</v>
      </c>
      <c r="D92" s="5">
        <v>3</v>
      </c>
      <c r="E92" s="5">
        <v>29</v>
      </c>
      <c r="F92" s="5">
        <v>1.14E-2</v>
      </c>
      <c r="G92" s="6">
        <v>0.52900000000000003</v>
      </c>
      <c r="H92" s="5">
        <v>0.18</v>
      </c>
      <c r="I92" s="5">
        <v>500</v>
      </c>
      <c r="J92" s="5">
        <v>500</v>
      </c>
      <c r="K92" s="5">
        <v>567.79999999999995</v>
      </c>
      <c r="L92" s="7">
        <v>573.70000000000005</v>
      </c>
      <c r="M92" s="5"/>
      <c r="N92" s="9"/>
      <c r="O92" s="9">
        <v>8.01</v>
      </c>
      <c r="P92" s="5"/>
      <c r="Q92" s="5">
        <v>14632.8</v>
      </c>
      <c r="R92" s="5">
        <v>156441</v>
      </c>
      <c r="S92" s="10">
        <v>0.36893999999999999</v>
      </c>
      <c r="T92" s="10">
        <v>0.32356000000000001</v>
      </c>
      <c r="U92" s="10">
        <v>0.32356000000000001</v>
      </c>
      <c r="V92" s="10">
        <v>0.21496999999999999</v>
      </c>
      <c r="W92" s="5">
        <v>3894.5</v>
      </c>
      <c r="X92" s="5">
        <v>21224.9</v>
      </c>
      <c r="Y92" s="5"/>
      <c r="Z92" s="5"/>
      <c r="AA92" s="35">
        <v>98432.41</v>
      </c>
      <c r="AB92" s="35">
        <v>220635.24</v>
      </c>
      <c r="AC92" s="33">
        <v>1882.6399999999999</v>
      </c>
      <c r="AD92" s="33"/>
      <c r="AE92" s="35"/>
      <c r="AF92" s="17" t="s">
        <v>32</v>
      </c>
      <c r="AG92" s="41">
        <f>IFERROR(IF(Dados_SA[[#This Row],[DEMANDA_REGISTRADA_P]]/Dados_SA[[#This Row],[DEMANDA_CONTRATADA_P]]=0,"",Dados_SA[[#This Row],[DEMANDA_REGISTRADA_P]]/Dados_SA[[#This Row],[DEMANDA_CONTRATADA_P]]),"")</f>
        <v>1.1355999999999999</v>
      </c>
      <c r="AH92" s="41">
        <f>IFERROR(IF(Dados_SA[[#This Row],[DEMANDA_REGISTRADA_FP]]/Dados_SA[[#This Row],[DEMANDA_CONTRATADA_FP]]=0,"",Dados_SA[[#This Row],[DEMANDA_REGISTRADA_FP]]/Dados_SA[[#This Row],[DEMANDA_CONTRATADA_FP]]),"")</f>
        <v>1.1474000000000002</v>
      </c>
      <c r="AI92" s="42">
        <f>IF(Dados_SA[[#This Row],[% Demanda contratada P]]&gt;105%,1,0)</f>
        <v>1</v>
      </c>
      <c r="AJ92" s="42">
        <f>IF(Dados_SA[[#This Row],[% Demanda contratada FP]]&gt;105%,1,0)</f>
        <v>1</v>
      </c>
      <c r="AK92" s="41">
        <f>Dados_SA[[#This Row],[Acrescimo_Bamar]]/Dados_SA[[#This Row],[Valor da Fatura]]</f>
        <v>1.9126220723438548E-2</v>
      </c>
      <c r="AL92" s="41">
        <f>Dados_SA[[#This Row],[Acrescimo_Bverm1]]/Dados_SA[[#This Row],[Valor da Fatura]]</f>
        <v>0</v>
      </c>
      <c r="AM92" s="41">
        <f>Dados_SA[[#This Row],[Acrescimo_Bverm2]]/Dados_SA[[#This Row],[Valor da Fatura]]</f>
        <v>0</v>
      </c>
      <c r="AN92" s="36">
        <v>1.05</v>
      </c>
      <c r="AO92" s="36">
        <v>1</v>
      </c>
      <c r="AP92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P&amp;FP</v>
      </c>
      <c r="AQ92" s="65">
        <f>IF(Dados_SA[[#This Row],[Exced]]&lt;&gt;"",1,0)</f>
        <v>1</v>
      </c>
      <c r="AR92" s="65">
        <f>AVERAGEIFS(Dados_SA[DEMANDA_REGISTRADA_P],Dados_SA[ANO],2015,Dados_SA[UC],"SBC")</f>
        <v>410.04999999999995</v>
      </c>
      <c r="AS92" s="65">
        <f>AVERAGEIFS(Dados_SA[DEMANDA_REGISTRADA_FP],Dados_SA[ANO],2015,Dados_SA[UC],"SBC")</f>
        <v>410.82499999999999</v>
      </c>
      <c r="AT92" s="65">
        <v>157561.57999999999</v>
      </c>
    </row>
    <row r="93" spans="1:57" ht="15.75" customHeight="1" x14ac:dyDescent="0.2">
      <c r="A93" s="40" t="s">
        <v>67</v>
      </c>
      <c r="B93" s="15" t="s">
        <v>48</v>
      </c>
      <c r="C93" s="5">
        <v>2017</v>
      </c>
      <c r="D93" s="5">
        <v>4</v>
      </c>
      <c r="E93" s="5">
        <v>30</v>
      </c>
      <c r="F93" s="5">
        <v>9.9000000000000008E-3</v>
      </c>
      <c r="G93" s="6">
        <v>4.5600000000000002E-2</v>
      </c>
      <c r="H93" s="5">
        <v>0.18</v>
      </c>
      <c r="I93" s="5">
        <v>500</v>
      </c>
      <c r="J93" s="5">
        <v>500</v>
      </c>
      <c r="K93" s="5">
        <v>480.5</v>
      </c>
      <c r="L93" s="7">
        <v>506.5</v>
      </c>
      <c r="M93" s="5"/>
      <c r="N93" s="9"/>
      <c r="O93" s="9">
        <v>8.01</v>
      </c>
      <c r="P93" s="5"/>
      <c r="Q93" s="5">
        <v>14198.1</v>
      </c>
      <c r="R93" s="5">
        <v>136557.79999999999</v>
      </c>
      <c r="S93" s="10">
        <v>0.36893999999999999</v>
      </c>
      <c r="T93" s="10">
        <v>0.32356000000000001</v>
      </c>
      <c r="U93" s="10">
        <v>0.32356000000000001</v>
      </c>
      <c r="V93" s="10">
        <v>0.21496999999999999</v>
      </c>
      <c r="W93" s="5">
        <v>2086.6</v>
      </c>
      <c r="X93" s="5">
        <v>9510.7000000000007</v>
      </c>
      <c r="Y93" s="5"/>
      <c r="Z93" s="5"/>
      <c r="AA93" s="35">
        <v>83958.85</v>
      </c>
      <c r="AB93" s="35">
        <v>196115.22</v>
      </c>
      <c r="AC93" s="33">
        <v>2222.62</v>
      </c>
      <c r="AD93" s="33">
        <v>549.5</v>
      </c>
      <c r="AE93" s="35"/>
      <c r="AF93" s="17" t="s">
        <v>32</v>
      </c>
      <c r="AG93" s="41">
        <f>IFERROR(IF(Dados_SA[[#This Row],[DEMANDA_REGISTRADA_P]]/Dados_SA[[#This Row],[DEMANDA_CONTRATADA_P]]=0,"",Dados_SA[[#This Row],[DEMANDA_REGISTRADA_P]]/Dados_SA[[#This Row],[DEMANDA_CONTRATADA_P]]),"")</f>
        <v>0.96099999999999997</v>
      </c>
      <c r="AH93" s="41">
        <f>IFERROR(IF(Dados_SA[[#This Row],[DEMANDA_REGISTRADA_FP]]/Dados_SA[[#This Row],[DEMANDA_CONTRATADA_FP]]=0,"",Dados_SA[[#This Row],[DEMANDA_REGISTRADA_FP]]/Dados_SA[[#This Row],[DEMANDA_CONTRATADA_FP]]),"")</f>
        <v>1.0129999999999999</v>
      </c>
      <c r="AI93" s="42">
        <f>IF(Dados_SA[[#This Row],[% Demanda contratada P]]&gt;105%,1,0)</f>
        <v>0</v>
      </c>
      <c r="AJ93" s="42">
        <f>IF(Dados_SA[[#This Row],[% Demanda contratada FP]]&gt;105%,1,0)</f>
        <v>0</v>
      </c>
      <c r="AK93" s="41">
        <f>Dados_SA[[#This Row],[Acrescimo_Bamar]]/Dados_SA[[#This Row],[Valor da Fatura]]</f>
        <v>2.6472730391138035E-2</v>
      </c>
      <c r="AL93" s="41">
        <f>Dados_SA[[#This Row],[Acrescimo_Bverm1]]/Dados_SA[[#This Row],[Valor da Fatura]]</f>
        <v>6.5448728752239933E-3</v>
      </c>
      <c r="AM93" s="41">
        <f>Dados_SA[[#This Row],[Acrescimo_Bverm2]]/Dados_SA[[#This Row],[Valor da Fatura]]</f>
        <v>0</v>
      </c>
      <c r="AN93" s="36">
        <v>1.05</v>
      </c>
      <c r="AO93" s="36">
        <v>1</v>
      </c>
      <c r="AP93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93" s="65">
        <f>IF(Dados_SA[[#This Row],[Exced]]&lt;&gt;"",1,0)</f>
        <v>0</v>
      </c>
      <c r="AR93" s="65">
        <f>AVERAGEIFS(Dados_SA[DEMANDA_REGISTRADA_P],Dados_SA[ANO],2015,Dados_SA[UC],"SBC")</f>
        <v>410.04999999999995</v>
      </c>
      <c r="AS93" s="65">
        <f>AVERAGEIFS(Dados_SA[DEMANDA_REGISTRADA_FP],Dados_SA[ANO],2015,Dados_SA[UC],"SBC")</f>
        <v>410.82499999999999</v>
      </c>
      <c r="AT93" s="65">
        <v>157561.57999999999</v>
      </c>
    </row>
    <row r="94" spans="1:57" ht="15.75" customHeight="1" x14ac:dyDescent="0.2">
      <c r="A94" s="40" t="s">
        <v>67</v>
      </c>
      <c r="B94" s="15" t="s">
        <v>49</v>
      </c>
      <c r="C94" s="5">
        <v>2017</v>
      </c>
      <c r="D94" s="5">
        <v>5</v>
      </c>
      <c r="E94" s="5">
        <v>29</v>
      </c>
      <c r="F94" s="5">
        <v>1.2E-2</v>
      </c>
      <c r="G94" s="6">
        <v>5.5399999999999998E-2</v>
      </c>
      <c r="H94" s="5">
        <v>0.18</v>
      </c>
      <c r="I94" s="5">
        <v>500</v>
      </c>
      <c r="J94" s="5">
        <v>500</v>
      </c>
      <c r="K94" s="5">
        <v>451.9</v>
      </c>
      <c r="L94" s="7">
        <v>399.8</v>
      </c>
      <c r="M94" s="5"/>
      <c r="N94" s="9"/>
      <c r="O94" s="9">
        <v>8.01</v>
      </c>
      <c r="P94" s="5"/>
      <c r="Q94" s="5">
        <v>17352.5</v>
      </c>
      <c r="R94" s="5">
        <v>108914.4</v>
      </c>
      <c r="S94" s="10">
        <v>0.36893999999999999</v>
      </c>
      <c r="T94" s="10">
        <v>5.815E-2</v>
      </c>
      <c r="U94" s="10">
        <v>0.31818999999999997</v>
      </c>
      <c r="V94" s="10">
        <v>0.20960000000000001</v>
      </c>
      <c r="W94" s="5">
        <v>1258.3</v>
      </c>
      <c r="X94" s="5">
        <v>6978.3</v>
      </c>
      <c r="Y94" s="5"/>
      <c r="Z94" s="5"/>
      <c r="AA94" s="35">
        <v>66039.66</v>
      </c>
      <c r="AB94" s="35">
        <v>154706.16</v>
      </c>
      <c r="AC94" s="33"/>
      <c r="AD94" s="33">
        <v>4641.16</v>
      </c>
      <c r="AE94" s="35"/>
      <c r="AF94" s="17" t="s">
        <v>32</v>
      </c>
      <c r="AG94" s="41">
        <f>IFERROR(IF(Dados_SA[[#This Row],[DEMANDA_REGISTRADA_P]]/Dados_SA[[#This Row],[DEMANDA_CONTRATADA_P]]=0,"",Dados_SA[[#This Row],[DEMANDA_REGISTRADA_P]]/Dados_SA[[#This Row],[DEMANDA_CONTRATADA_P]]),"")</f>
        <v>0.90379999999999994</v>
      </c>
      <c r="AH94" s="41">
        <f>IFERROR(IF(Dados_SA[[#This Row],[DEMANDA_REGISTRADA_FP]]/Dados_SA[[#This Row],[DEMANDA_CONTRATADA_FP]]=0,"",Dados_SA[[#This Row],[DEMANDA_REGISTRADA_FP]]/Dados_SA[[#This Row],[DEMANDA_CONTRATADA_FP]]),"")</f>
        <v>0.79959999999999998</v>
      </c>
      <c r="AI94" s="42">
        <f>IF(Dados_SA[[#This Row],[% Demanda contratada P]]&gt;105%,1,0)</f>
        <v>0</v>
      </c>
      <c r="AJ94" s="42">
        <f>IF(Dados_SA[[#This Row],[% Demanda contratada FP]]&gt;105%,1,0)</f>
        <v>0</v>
      </c>
      <c r="AK94" s="41">
        <f>Dados_SA[[#This Row],[Acrescimo_Bamar]]/Dados_SA[[#This Row],[Valor da Fatura]]</f>
        <v>0</v>
      </c>
      <c r="AL94" s="41">
        <f>Dados_SA[[#This Row],[Acrescimo_Bverm1]]/Dados_SA[[#This Row],[Valor da Fatura]]</f>
        <v>7.0278375146086453E-2</v>
      </c>
      <c r="AM94" s="41">
        <f>Dados_SA[[#This Row],[Acrescimo_Bverm2]]/Dados_SA[[#This Row],[Valor da Fatura]]</f>
        <v>0</v>
      </c>
      <c r="AN94" s="36">
        <v>1.05</v>
      </c>
      <c r="AO94" s="36">
        <v>1</v>
      </c>
      <c r="AP94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94" s="65">
        <f>IF(Dados_SA[[#This Row],[Exced]]&lt;&gt;"",1,0)</f>
        <v>0</v>
      </c>
      <c r="AR94" s="65">
        <f>AVERAGEIFS(Dados_SA[DEMANDA_REGISTRADA_P],Dados_SA[ANO],2015,Dados_SA[UC],"SBC")</f>
        <v>410.04999999999995</v>
      </c>
      <c r="AS94" s="65">
        <f>AVERAGEIFS(Dados_SA[DEMANDA_REGISTRADA_FP],Dados_SA[ANO],2015,Dados_SA[UC],"SBC")</f>
        <v>410.82499999999999</v>
      </c>
      <c r="AT94" s="65">
        <v>157561.57999999999</v>
      </c>
    </row>
    <row r="95" spans="1:57" ht="15.75" customHeight="1" x14ac:dyDescent="0.2">
      <c r="A95" s="40" t="s">
        <v>67</v>
      </c>
      <c r="B95" s="15" t="s">
        <v>50</v>
      </c>
      <c r="C95" s="5">
        <v>2017</v>
      </c>
      <c r="D95" s="5">
        <v>6</v>
      </c>
      <c r="E95" s="5">
        <v>32</v>
      </c>
      <c r="F95" s="5">
        <v>1.15E-2</v>
      </c>
      <c r="G95" s="6">
        <v>5.2699999999999997E-2</v>
      </c>
      <c r="H95" s="5">
        <v>0.18</v>
      </c>
      <c r="I95" s="5">
        <v>500</v>
      </c>
      <c r="J95" s="5">
        <v>500</v>
      </c>
      <c r="K95" s="5">
        <v>414.1</v>
      </c>
      <c r="L95" s="7">
        <v>410.8</v>
      </c>
      <c r="M95" s="5"/>
      <c r="N95" s="9"/>
      <c r="O95" s="9">
        <v>8.01</v>
      </c>
      <c r="P95" s="5"/>
      <c r="Q95" s="5">
        <v>19325.5</v>
      </c>
      <c r="R95" s="5">
        <v>112709.9</v>
      </c>
      <c r="S95" s="10">
        <v>0.36893999999999999</v>
      </c>
      <c r="T95" s="10">
        <v>5.815E-2</v>
      </c>
      <c r="U95" s="10">
        <v>0.31818999999999997</v>
      </c>
      <c r="V95" s="10">
        <v>0.20960000000000001</v>
      </c>
      <c r="W95" s="5">
        <v>1043.3</v>
      </c>
      <c r="X95" s="5">
        <v>3988.5</v>
      </c>
      <c r="Y95" s="5"/>
      <c r="Z95" s="5"/>
      <c r="AA95" s="35">
        <v>72252.53</v>
      </c>
      <c r="AB95" s="35">
        <v>160642.79999999999</v>
      </c>
      <c r="AC95" s="33"/>
      <c r="AD95" s="33">
        <v>5841.68</v>
      </c>
      <c r="AE95" s="35"/>
      <c r="AF95" s="17" t="s">
        <v>32</v>
      </c>
      <c r="AG95" s="41">
        <f>IFERROR(IF(Dados_SA[[#This Row],[DEMANDA_REGISTRADA_P]]/Dados_SA[[#This Row],[DEMANDA_CONTRATADA_P]]=0,"",Dados_SA[[#This Row],[DEMANDA_REGISTRADA_P]]/Dados_SA[[#This Row],[DEMANDA_CONTRATADA_P]]),"")</f>
        <v>0.82820000000000005</v>
      </c>
      <c r="AH95" s="41">
        <f>IFERROR(IF(Dados_SA[[#This Row],[DEMANDA_REGISTRADA_FP]]/Dados_SA[[#This Row],[DEMANDA_CONTRATADA_FP]]=0,"",Dados_SA[[#This Row],[DEMANDA_REGISTRADA_FP]]/Dados_SA[[#This Row],[DEMANDA_CONTRATADA_FP]]),"")</f>
        <v>0.8216</v>
      </c>
      <c r="AI95" s="42">
        <f>IF(Dados_SA[[#This Row],[% Demanda contratada P]]&gt;105%,1,0)</f>
        <v>0</v>
      </c>
      <c r="AJ95" s="42">
        <f>IF(Dados_SA[[#This Row],[% Demanda contratada FP]]&gt;105%,1,0)</f>
        <v>0</v>
      </c>
      <c r="AK95" s="41">
        <f>Dados_SA[[#This Row],[Acrescimo_Bamar]]/Dados_SA[[#This Row],[Valor da Fatura]]</f>
        <v>0</v>
      </c>
      <c r="AL95" s="41">
        <f>Dados_SA[[#This Row],[Acrescimo_Bverm1]]/Dados_SA[[#This Row],[Valor da Fatura]]</f>
        <v>8.085087124284783E-2</v>
      </c>
      <c r="AM95" s="41">
        <f>Dados_SA[[#This Row],[Acrescimo_Bverm2]]/Dados_SA[[#This Row],[Valor da Fatura]]</f>
        <v>0</v>
      </c>
      <c r="AN95" s="36">
        <v>1.05</v>
      </c>
      <c r="AO95" s="36">
        <v>1</v>
      </c>
      <c r="AP95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95" s="65">
        <f>IF(Dados_SA[[#This Row],[Exced]]&lt;&gt;"",1,0)</f>
        <v>0</v>
      </c>
      <c r="AR95" s="65">
        <f>AVERAGEIFS(Dados_SA[DEMANDA_REGISTRADA_P],Dados_SA[ANO],2015,Dados_SA[UC],"SBC")</f>
        <v>410.04999999999995</v>
      </c>
      <c r="AS95" s="65">
        <f>AVERAGEIFS(Dados_SA[DEMANDA_REGISTRADA_FP],Dados_SA[ANO],2015,Dados_SA[UC],"SBC")</f>
        <v>410.82499999999999</v>
      </c>
      <c r="AT95" s="65">
        <v>157561.57999999999</v>
      </c>
    </row>
    <row r="96" spans="1:57" ht="15.75" customHeight="1" x14ac:dyDescent="0.2">
      <c r="A96" s="40" t="s">
        <v>67</v>
      </c>
      <c r="B96" s="15" t="s">
        <v>51</v>
      </c>
      <c r="C96" s="5">
        <v>2017</v>
      </c>
      <c r="D96" s="5">
        <v>7</v>
      </c>
      <c r="E96" s="5">
        <v>31</v>
      </c>
      <c r="F96" s="5">
        <v>1.1599999999999999E-2</v>
      </c>
      <c r="G96" s="6">
        <v>5.3499999999999999E-2</v>
      </c>
      <c r="H96" s="5">
        <v>0.18</v>
      </c>
      <c r="I96" s="5">
        <v>500</v>
      </c>
      <c r="J96" s="5">
        <v>500</v>
      </c>
      <c r="K96" s="5">
        <v>373.8</v>
      </c>
      <c r="L96" s="7">
        <v>332.6</v>
      </c>
      <c r="M96" s="5"/>
      <c r="N96" s="9"/>
      <c r="O96" s="9">
        <v>10.77</v>
      </c>
      <c r="P96" s="5"/>
      <c r="Q96" s="5">
        <v>20494.599999999999</v>
      </c>
      <c r="R96" s="5">
        <v>106610.5</v>
      </c>
      <c r="S96" s="10">
        <v>0.37324000000000002</v>
      </c>
      <c r="T96" s="10">
        <v>5.6849999999999998E-2</v>
      </c>
      <c r="U96" s="10">
        <v>0.31818999999999997</v>
      </c>
      <c r="V96" s="10">
        <v>0.20960000000000001</v>
      </c>
      <c r="W96" s="5">
        <v>255.2</v>
      </c>
      <c r="X96" s="5">
        <v>797.2</v>
      </c>
      <c r="Y96" s="5"/>
      <c r="Z96" s="5"/>
      <c r="AA96" s="35">
        <v>68397.740000000005</v>
      </c>
      <c r="AB96" s="35">
        <v>152457</v>
      </c>
      <c r="AC96" s="33">
        <v>1574.02</v>
      </c>
      <c r="AD96" s="33"/>
      <c r="AE96" s="35"/>
      <c r="AF96" s="17" t="s">
        <v>32</v>
      </c>
      <c r="AG96" s="41">
        <f>IFERROR(IF(Dados_SA[[#This Row],[DEMANDA_REGISTRADA_P]]/Dados_SA[[#This Row],[DEMANDA_CONTRATADA_P]]=0,"",Dados_SA[[#This Row],[DEMANDA_REGISTRADA_P]]/Dados_SA[[#This Row],[DEMANDA_CONTRATADA_P]]),"")</f>
        <v>0.74760000000000004</v>
      </c>
      <c r="AH96" s="41">
        <f>IFERROR(IF(Dados_SA[[#This Row],[DEMANDA_REGISTRADA_FP]]/Dados_SA[[#This Row],[DEMANDA_CONTRATADA_FP]]=0,"",Dados_SA[[#This Row],[DEMANDA_REGISTRADA_FP]]/Dados_SA[[#This Row],[DEMANDA_CONTRATADA_FP]]),"")</f>
        <v>0.66520000000000001</v>
      </c>
      <c r="AI96" s="42">
        <f>IF(Dados_SA[[#This Row],[% Demanda contratada P]]&gt;105%,1,0)</f>
        <v>0</v>
      </c>
      <c r="AJ96" s="42">
        <f>IF(Dados_SA[[#This Row],[% Demanda contratada FP]]&gt;105%,1,0)</f>
        <v>0</v>
      </c>
      <c r="AK96" s="41">
        <f>Dados_SA[[#This Row],[Acrescimo_Bamar]]/Dados_SA[[#This Row],[Valor da Fatura]]</f>
        <v>2.3012748666841915E-2</v>
      </c>
      <c r="AL96" s="41">
        <f>Dados_SA[[#This Row],[Acrescimo_Bverm1]]/Dados_SA[[#This Row],[Valor da Fatura]]</f>
        <v>0</v>
      </c>
      <c r="AM96" s="41">
        <f>Dados_SA[[#This Row],[Acrescimo_Bverm2]]/Dados_SA[[#This Row],[Valor da Fatura]]</f>
        <v>0</v>
      </c>
      <c r="AN96" s="36">
        <v>1.05</v>
      </c>
      <c r="AO96" s="36">
        <v>1</v>
      </c>
      <c r="AP96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96" s="65">
        <f>IF(Dados_SA[[#This Row],[Exced]]&lt;&gt;"",1,0)</f>
        <v>0</v>
      </c>
      <c r="AR96" s="65">
        <f>AVERAGEIFS(Dados_SA[DEMANDA_REGISTRADA_P],Dados_SA[ANO],2015,Dados_SA[UC],"SBC")</f>
        <v>410.04999999999995</v>
      </c>
      <c r="AS96" s="65">
        <f>AVERAGEIFS(Dados_SA[DEMANDA_REGISTRADA_FP],Dados_SA[ANO],2015,Dados_SA[UC],"SBC")</f>
        <v>410.82499999999999</v>
      </c>
      <c r="AT96" s="65">
        <v>157561.57999999999</v>
      </c>
    </row>
    <row r="97" spans="1:46" ht="15.75" customHeight="1" x14ac:dyDescent="0.2">
      <c r="A97" s="40" t="s">
        <v>67</v>
      </c>
      <c r="B97" s="15" t="s">
        <v>52</v>
      </c>
      <c r="C97" s="5">
        <v>2017</v>
      </c>
      <c r="D97" s="5">
        <v>8</v>
      </c>
      <c r="E97" s="5">
        <v>32</v>
      </c>
      <c r="F97" s="5">
        <v>1.26E-2</v>
      </c>
      <c r="G97" s="6">
        <v>5.8299999999999998E-2</v>
      </c>
      <c r="H97" s="5">
        <v>0.18</v>
      </c>
      <c r="I97" s="5">
        <v>500</v>
      </c>
      <c r="J97" s="5">
        <v>500</v>
      </c>
      <c r="K97" s="5">
        <v>377.2</v>
      </c>
      <c r="L97" s="7">
        <v>344.4</v>
      </c>
      <c r="M97" s="5"/>
      <c r="N97" s="9"/>
      <c r="O97" s="9">
        <v>10.77</v>
      </c>
      <c r="P97" s="5"/>
      <c r="Q97" s="5">
        <v>21580.9</v>
      </c>
      <c r="R97" s="5">
        <v>116279.29999999999</v>
      </c>
      <c r="S97" s="10">
        <v>0.43986999999999998</v>
      </c>
      <c r="T97" s="10">
        <v>3.6769999999999997E-2</v>
      </c>
      <c r="U97" s="10">
        <v>0.34899000000000002</v>
      </c>
      <c r="V97" s="10">
        <v>0.22885</v>
      </c>
      <c r="W97" s="5">
        <v>344.4</v>
      </c>
      <c r="X97" s="5">
        <v>955.3</v>
      </c>
      <c r="Y97" s="5"/>
      <c r="Z97" s="5"/>
      <c r="AA97" s="35">
        <v>81241.100000000006</v>
      </c>
      <c r="AB97" s="35">
        <v>165308.9</v>
      </c>
      <c r="AC97" s="33">
        <v>2268.41</v>
      </c>
      <c r="AD97" s="33">
        <v>2748.2799999999997</v>
      </c>
      <c r="AE97" s="35"/>
      <c r="AF97" s="17" t="s">
        <v>32</v>
      </c>
      <c r="AG97" s="41">
        <f>IFERROR(IF(Dados_SA[[#This Row],[DEMANDA_REGISTRADA_P]]/Dados_SA[[#This Row],[DEMANDA_CONTRATADA_P]]=0,"",Dados_SA[[#This Row],[DEMANDA_REGISTRADA_P]]/Dados_SA[[#This Row],[DEMANDA_CONTRATADA_P]]),"")</f>
        <v>0.75439999999999996</v>
      </c>
      <c r="AH97" s="41">
        <f>IFERROR(IF(Dados_SA[[#This Row],[DEMANDA_REGISTRADA_FP]]/Dados_SA[[#This Row],[DEMANDA_CONTRATADA_FP]]=0,"",Dados_SA[[#This Row],[DEMANDA_REGISTRADA_FP]]/Dados_SA[[#This Row],[DEMANDA_CONTRATADA_FP]]),"")</f>
        <v>0.68879999999999997</v>
      </c>
      <c r="AI97" s="42">
        <f>IF(Dados_SA[[#This Row],[% Demanda contratada P]]&gt;105%,1,0)</f>
        <v>0</v>
      </c>
      <c r="AJ97" s="42">
        <f>IF(Dados_SA[[#This Row],[% Demanda contratada FP]]&gt;105%,1,0)</f>
        <v>0</v>
      </c>
      <c r="AK97" s="41">
        <f>Dados_SA[[#This Row],[Acrescimo_Bamar]]/Dados_SA[[#This Row],[Valor da Fatura]]</f>
        <v>2.7921950835229949E-2</v>
      </c>
      <c r="AL97" s="41">
        <f>Dados_SA[[#This Row],[Acrescimo_Bverm1]]/Dados_SA[[#This Row],[Valor da Fatura]]</f>
        <v>3.3828690158060386E-2</v>
      </c>
      <c r="AM97" s="41">
        <f>Dados_SA[[#This Row],[Acrescimo_Bverm2]]/Dados_SA[[#This Row],[Valor da Fatura]]</f>
        <v>0</v>
      </c>
      <c r="AN97" s="36">
        <v>1.05</v>
      </c>
      <c r="AO97" s="36">
        <v>1</v>
      </c>
      <c r="AP97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97" s="65">
        <f>IF(Dados_SA[[#This Row],[Exced]]&lt;&gt;"",1,0)</f>
        <v>0</v>
      </c>
      <c r="AR97" s="65">
        <f>AVERAGEIFS(Dados_SA[DEMANDA_REGISTRADA_P],Dados_SA[ANO],2015,Dados_SA[UC],"SBC")</f>
        <v>410.04999999999995</v>
      </c>
      <c r="AS97" s="65">
        <f>AVERAGEIFS(Dados_SA[DEMANDA_REGISTRADA_FP],Dados_SA[ANO],2015,Dados_SA[UC],"SBC")</f>
        <v>410.82499999999999</v>
      </c>
      <c r="AT97" s="65">
        <v>157561.57999999999</v>
      </c>
    </row>
    <row r="98" spans="1:46" ht="15.75" customHeight="1" x14ac:dyDescent="0.2">
      <c r="A98" s="40" t="s">
        <v>67</v>
      </c>
      <c r="B98" s="15" t="s">
        <v>53</v>
      </c>
      <c r="C98" s="5">
        <v>2017</v>
      </c>
      <c r="D98" s="5">
        <v>9</v>
      </c>
      <c r="E98" s="5">
        <v>31</v>
      </c>
      <c r="F98" s="5">
        <v>8.0000000000000002E-3</v>
      </c>
      <c r="G98" s="6">
        <v>3.6700000000000003E-2</v>
      </c>
      <c r="H98" s="5">
        <v>0.18</v>
      </c>
      <c r="I98" s="5">
        <v>500</v>
      </c>
      <c r="J98" s="5">
        <v>500</v>
      </c>
      <c r="K98" s="5">
        <v>352</v>
      </c>
      <c r="L98" s="7">
        <v>337.7</v>
      </c>
      <c r="M98" s="5"/>
      <c r="N98" s="9"/>
      <c r="O98" s="9">
        <v>10.77</v>
      </c>
      <c r="P98" s="5"/>
      <c r="Q98" s="5">
        <v>17336.8</v>
      </c>
      <c r="R98" s="5">
        <v>103051.4</v>
      </c>
      <c r="S98" s="10">
        <v>0.43986999999999998</v>
      </c>
      <c r="T98" s="10">
        <v>3.6769999999999997E-2</v>
      </c>
      <c r="U98" s="10">
        <v>0.34899000000000002</v>
      </c>
      <c r="V98" s="10">
        <v>0.22885</v>
      </c>
      <c r="W98" s="5">
        <v>596.6</v>
      </c>
      <c r="X98" s="5">
        <v>1610.9</v>
      </c>
      <c r="Y98" s="5"/>
      <c r="Z98" s="5"/>
      <c r="AA98" s="35">
        <v>69840.17</v>
      </c>
      <c r="AB98" s="35">
        <v>147845.5</v>
      </c>
      <c r="AC98" s="33">
        <v>1624.29</v>
      </c>
      <c r="AD98" s="33">
        <v>3028.6499999999996</v>
      </c>
      <c r="AE98" s="35"/>
      <c r="AF98" s="17" t="s">
        <v>32</v>
      </c>
      <c r="AG98" s="41">
        <f>IFERROR(IF(Dados_SA[[#This Row],[DEMANDA_REGISTRADA_P]]/Dados_SA[[#This Row],[DEMANDA_CONTRATADA_P]]=0,"",Dados_SA[[#This Row],[DEMANDA_REGISTRADA_P]]/Dados_SA[[#This Row],[DEMANDA_CONTRATADA_P]]),"")</f>
        <v>0.70399999999999996</v>
      </c>
      <c r="AH98" s="41">
        <f>IFERROR(IF(Dados_SA[[#This Row],[DEMANDA_REGISTRADA_FP]]/Dados_SA[[#This Row],[DEMANDA_CONTRATADA_FP]]=0,"",Dados_SA[[#This Row],[DEMANDA_REGISTRADA_FP]]/Dados_SA[[#This Row],[DEMANDA_CONTRATADA_FP]]),"")</f>
        <v>0.6754</v>
      </c>
      <c r="AI98" s="42">
        <f>IF(Dados_SA[[#This Row],[% Demanda contratada P]]&gt;105%,1,0)</f>
        <v>0</v>
      </c>
      <c r="AJ98" s="42">
        <f>IF(Dados_SA[[#This Row],[% Demanda contratada FP]]&gt;105%,1,0)</f>
        <v>0</v>
      </c>
      <c r="AK98" s="41">
        <f>Dados_SA[[#This Row],[Acrescimo_Bamar]]/Dados_SA[[#This Row],[Valor da Fatura]]</f>
        <v>2.3257245794218426E-2</v>
      </c>
      <c r="AL98" s="41">
        <f>Dados_SA[[#This Row],[Acrescimo_Bverm1]]/Dados_SA[[#This Row],[Valor da Fatura]]</f>
        <v>4.3365444270825795E-2</v>
      </c>
      <c r="AM98" s="41">
        <f>Dados_SA[[#This Row],[Acrescimo_Bverm2]]/Dados_SA[[#This Row],[Valor da Fatura]]</f>
        <v>0</v>
      </c>
      <c r="AN98" s="36">
        <v>1.05</v>
      </c>
      <c r="AO98" s="36">
        <v>1</v>
      </c>
      <c r="AP98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98" s="65">
        <f>IF(Dados_SA[[#This Row],[Exced]]&lt;&gt;"",1,0)</f>
        <v>0</v>
      </c>
      <c r="AR98" s="65">
        <f>AVERAGEIFS(Dados_SA[DEMANDA_REGISTRADA_P],Dados_SA[ANO],2015,Dados_SA[UC],"SBC")</f>
        <v>410.04999999999995</v>
      </c>
      <c r="AS98" s="65">
        <f>AVERAGEIFS(Dados_SA[DEMANDA_REGISTRADA_FP],Dados_SA[ANO],2015,Dados_SA[UC],"SBC")</f>
        <v>410.82499999999999</v>
      </c>
      <c r="AT98" s="65">
        <v>157561.57999999999</v>
      </c>
    </row>
    <row r="99" spans="1:46" ht="15.75" customHeight="1" x14ac:dyDescent="0.2">
      <c r="A99" s="40" t="s">
        <v>67</v>
      </c>
      <c r="B99" s="15" t="s">
        <v>54</v>
      </c>
      <c r="C99" s="5">
        <v>2017</v>
      </c>
      <c r="D99" s="5">
        <v>10</v>
      </c>
      <c r="E99" s="5">
        <v>32</v>
      </c>
      <c r="F99" s="5">
        <v>7.1999999999999998E-3</v>
      </c>
      <c r="G99" s="6">
        <v>3.3399999999999999E-2</v>
      </c>
      <c r="H99" s="5">
        <v>0.18</v>
      </c>
      <c r="I99" s="5">
        <v>500</v>
      </c>
      <c r="J99" s="5">
        <v>500</v>
      </c>
      <c r="K99" s="5">
        <v>439.3</v>
      </c>
      <c r="L99" s="7">
        <v>456.1</v>
      </c>
      <c r="M99" s="5"/>
      <c r="N99" s="9"/>
      <c r="O99" s="9">
        <v>10.77</v>
      </c>
      <c r="P99" s="5"/>
      <c r="Q99" s="5">
        <v>22186.5</v>
      </c>
      <c r="R99" s="5">
        <v>131348.70000000001</v>
      </c>
      <c r="S99" s="10">
        <v>0.43986999999999998</v>
      </c>
      <c r="T99" s="10">
        <v>3.6769999999999997E-2</v>
      </c>
      <c r="U99" s="10">
        <v>0.34899000000000002</v>
      </c>
      <c r="V99" s="10">
        <v>0.22885</v>
      </c>
      <c r="W99" s="5">
        <v>1332.7</v>
      </c>
      <c r="X99" s="5">
        <v>4579.7</v>
      </c>
      <c r="Y99" s="5"/>
      <c r="Z99" s="5"/>
      <c r="AA99" s="35">
        <v>86576.8</v>
      </c>
      <c r="AB99" s="35">
        <v>186576.2</v>
      </c>
      <c r="AC99" s="33">
        <v>2330.5299999999997</v>
      </c>
      <c r="AD99" s="33">
        <v>3959.79</v>
      </c>
      <c r="AE99" s="35"/>
      <c r="AF99" s="17" t="s">
        <v>32</v>
      </c>
      <c r="AG99" s="41">
        <f>IFERROR(IF(Dados_SA[[#This Row],[DEMANDA_REGISTRADA_P]]/Dados_SA[[#This Row],[DEMANDA_CONTRATADA_P]]=0,"",Dados_SA[[#This Row],[DEMANDA_REGISTRADA_P]]/Dados_SA[[#This Row],[DEMANDA_CONTRATADA_P]]),"")</f>
        <v>0.87860000000000005</v>
      </c>
      <c r="AH99" s="41">
        <f>IFERROR(IF(Dados_SA[[#This Row],[DEMANDA_REGISTRADA_FP]]/Dados_SA[[#This Row],[DEMANDA_CONTRATADA_FP]]=0,"",Dados_SA[[#This Row],[DEMANDA_REGISTRADA_FP]]/Dados_SA[[#This Row],[DEMANDA_CONTRATADA_FP]]),"")</f>
        <v>0.91220000000000001</v>
      </c>
      <c r="AI99" s="42">
        <f>IF(Dados_SA[[#This Row],[% Demanda contratada P]]&gt;105%,1,0)</f>
        <v>0</v>
      </c>
      <c r="AJ99" s="42">
        <f>IF(Dados_SA[[#This Row],[% Demanda contratada FP]]&gt;105%,1,0)</f>
        <v>0</v>
      </c>
      <c r="AK99" s="41">
        <f>Dados_SA[[#This Row],[Acrescimo_Bamar]]/Dados_SA[[#This Row],[Valor da Fatura]]</f>
        <v>2.6918643331700867E-2</v>
      </c>
      <c r="AL99" s="41">
        <f>Dados_SA[[#This Row],[Acrescimo_Bverm1]]/Dados_SA[[#This Row],[Valor da Fatura]]</f>
        <v>4.5737310688313729E-2</v>
      </c>
      <c r="AM99" s="41">
        <f>Dados_SA[[#This Row],[Acrescimo_Bverm2]]/Dados_SA[[#This Row],[Valor da Fatura]]</f>
        <v>0</v>
      </c>
      <c r="AN99" s="36">
        <v>1.05</v>
      </c>
      <c r="AO99" s="36">
        <v>1</v>
      </c>
      <c r="AP99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99" s="65">
        <f>IF(Dados_SA[[#This Row],[Exced]]&lt;&gt;"",1,0)</f>
        <v>0</v>
      </c>
      <c r="AR99" s="65">
        <f>AVERAGEIFS(Dados_SA[DEMANDA_REGISTRADA_P],Dados_SA[ANO],2015,Dados_SA[UC],"SBC")</f>
        <v>410.04999999999995</v>
      </c>
      <c r="AS99" s="65">
        <f>AVERAGEIFS(Dados_SA[DEMANDA_REGISTRADA_FP],Dados_SA[ANO],2015,Dados_SA[UC],"SBC")</f>
        <v>410.82499999999999</v>
      </c>
      <c r="AT99" s="65">
        <v>157561.57999999999</v>
      </c>
    </row>
    <row r="100" spans="1:46" ht="15.75" customHeight="1" x14ac:dyDescent="0.2">
      <c r="A100" s="40" t="s">
        <v>67</v>
      </c>
      <c r="B100" s="15" t="s">
        <v>55</v>
      </c>
      <c r="C100" s="5">
        <v>2017</v>
      </c>
      <c r="D100" s="5">
        <v>11</v>
      </c>
      <c r="E100" s="5">
        <v>28</v>
      </c>
      <c r="F100" s="5">
        <v>7.0000000000000001E-3</v>
      </c>
      <c r="G100" s="6">
        <v>3.2199999999999999E-2</v>
      </c>
      <c r="H100" s="5">
        <v>0.18</v>
      </c>
      <c r="I100" s="5">
        <v>500</v>
      </c>
      <c r="J100" s="5">
        <v>500</v>
      </c>
      <c r="K100" s="5">
        <v>430.1</v>
      </c>
      <c r="L100" s="7">
        <v>456.1</v>
      </c>
      <c r="M100" s="5"/>
      <c r="N100" s="9"/>
      <c r="O100" s="9">
        <v>10.77</v>
      </c>
      <c r="P100" s="5"/>
      <c r="Q100" s="5">
        <v>18218.599999999999</v>
      </c>
      <c r="R100" s="5">
        <v>107987.9</v>
      </c>
      <c r="S100" s="10">
        <v>0.43986999999999998</v>
      </c>
      <c r="T100" s="10">
        <v>3.6769999999999997E-2</v>
      </c>
      <c r="U100" s="10">
        <v>0.34899000000000002</v>
      </c>
      <c r="V100" s="10">
        <v>0.22885</v>
      </c>
      <c r="W100" s="5">
        <v>613.6</v>
      </c>
      <c r="X100" s="5">
        <v>1726.6</v>
      </c>
      <c r="Y100" s="5"/>
      <c r="Z100" s="5"/>
      <c r="AA100" s="35">
        <v>75426.600000000006</v>
      </c>
      <c r="AB100" s="35">
        <v>146268.79999999999</v>
      </c>
      <c r="AC100" s="33"/>
      <c r="AD100" s="33">
        <v>8067.86</v>
      </c>
      <c r="AE100" s="35"/>
      <c r="AF100" s="17" t="s">
        <v>32</v>
      </c>
      <c r="AG100" s="41">
        <f>IFERROR(IF(Dados_SA[[#This Row],[DEMANDA_REGISTRADA_P]]/Dados_SA[[#This Row],[DEMANDA_CONTRATADA_P]]=0,"",Dados_SA[[#This Row],[DEMANDA_REGISTRADA_P]]/Dados_SA[[#This Row],[DEMANDA_CONTRATADA_P]]),"")</f>
        <v>0.86020000000000008</v>
      </c>
      <c r="AH100" s="41">
        <f>IFERROR(IF(Dados_SA[[#This Row],[DEMANDA_REGISTRADA_FP]]/Dados_SA[[#This Row],[DEMANDA_CONTRATADA_FP]]=0,"",Dados_SA[[#This Row],[DEMANDA_REGISTRADA_FP]]/Dados_SA[[#This Row],[DEMANDA_CONTRATADA_FP]]),"")</f>
        <v>0.91220000000000001</v>
      </c>
      <c r="AI100" s="42">
        <f>IF(Dados_SA[[#This Row],[% Demanda contratada P]]&gt;105%,1,0)</f>
        <v>0</v>
      </c>
      <c r="AJ100" s="42">
        <f>IF(Dados_SA[[#This Row],[% Demanda contratada FP]]&gt;105%,1,0)</f>
        <v>0</v>
      </c>
      <c r="AK100" s="41">
        <f>Dados_SA[[#This Row],[Acrescimo_Bamar]]/Dados_SA[[#This Row],[Valor da Fatura]]</f>
        <v>0</v>
      </c>
      <c r="AL100" s="41">
        <f>Dados_SA[[#This Row],[Acrescimo_Bverm1]]/Dados_SA[[#This Row],[Valor da Fatura]]</f>
        <v>0.10696306077696727</v>
      </c>
      <c r="AM100" s="41">
        <f>Dados_SA[[#This Row],[Acrescimo_Bverm2]]/Dados_SA[[#This Row],[Valor da Fatura]]</f>
        <v>0</v>
      </c>
      <c r="AN100" s="36">
        <v>1.05</v>
      </c>
      <c r="AO100" s="36">
        <v>1</v>
      </c>
      <c r="AP100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00" s="65">
        <f>IF(Dados_SA[[#This Row],[Exced]]&lt;&gt;"",1,0)</f>
        <v>0</v>
      </c>
      <c r="AR100" s="65">
        <f>AVERAGEIFS(Dados_SA[DEMANDA_REGISTRADA_P],Dados_SA[ANO],2015,Dados_SA[UC],"SBC")</f>
        <v>410.04999999999995</v>
      </c>
      <c r="AS100" s="65">
        <f>AVERAGEIFS(Dados_SA[DEMANDA_REGISTRADA_FP],Dados_SA[ANO],2015,Dados_SA[UC],"SBC")</f>
        <v>410.82499999999999</v>
      </c>
      <c r="AT100" s="65">
        <v>157561.57999999999</v>
      </c>
    </row>
    <row r="101" spans="1:46" ht="15.75" customHeight="1" x14ac:dyDescent="0.2">
      <c r="A101" s="40" t="s">
        <v>67</v>
      </c>
      <c r="B101" s="15" t="s">
        <v>56</v>
      </c>
      <c r="C101" s="5">
        <v>2017</v>
      </c>
      <c r="D101" s="5">
        <v>12</v>
      </c>
      <c r="E101" s="5">
        <v>30</v>
      </c>
      <c r="F101" s="5">
        <v>8.8000000000000005E-3</v>
      </c>
      <c r="G101" s="6">
        <v>4.07E-2</v>
      </c>
      <c r="H101" s="5">
        <v>0.18</v>
      </c>
      <c r="I101" s="5">
        <v>500</v>
      </c>
      <c r="J101" s="5">
        <v>500</v>
      </c>
      <c r="K101" s="5">
        <v>413.3</v>
      </c>
      <c r="L101" s="7">
        <v>456.1</v>
      </c>
      <c r="M101" s="5"/>
      <c r="N101" s="9"/>
      <c r="O101" s="9">
        <v>10.77</v>
      </c>
      <c r="P101" s="5"/>
      <c r="Q101" s="5">
        <v>20189.599999999999</v>
      </c>
      <c r="R101" s="5">
        <v>123493.9</v>
      </c>
      <c r="S101" s="10">
        <v>0.43986999999999998</v>
      </c>
      <c r="T101" s="10">
        <v>3.6769999999999997E-2</v>
      </c>
      <c r="U101" s="10">
        <v>0.34899000000000002</v>
      </c>
      <c r="V101" s="10">
        <v>0.22885</v>
      </c>
      <c r="W101" s="5">
        <v>695.7</v>
      </c>
      <c r="X101" s="5">
        <v>2722.7</v>
      </c>
      <c r="Y101" s="5"/>
      <c r="Z101" s="5"/>
      <c r="AA101" s="35">
        <v>85064.81</v>
      </c>
      <c r="AB101" s="35">
        <v>175187.5</v>
      </c>
      <c r="AC101" s="33"/>
      <c r="AD101" s="33">
        <v>8788.4</v>
      </c>
      <c r="AE101" s="35"/>
      <c r="AF101" s="17" t="s">
        <v>32</v>
      </c>
      <c r="AG101" s="41">
        <f>IFERROR(IF(Dados_SA[[#This Row],[DEMANDA_REGISTRADA_P]]/Dados_SA[[#This Row],[DEMANDA_CONTRATADA_P]]=0,"",Dados_SA[[#This Row],[DEMANDA_REGISTRADA_P]]/Dados_SA[[#This Row],[DEMANDA_CONTRATADA_P]]),"")</f>
        <v>0.8266</v>
      </c>
      <c r="AH101" s="41">
        <f>IFERROR(IF(Dados_SA[[#This Row],[DEMANDA_REGISTRADA_FP]]/Dados_SA[[#This Row],[DEMANDA_CONTRATADA_FP]]=0,"",Dados_SA[[#This Row],[DEMANDA_REGISTRADA_FP]]/Dados_SA[[#This Row],[DEMANDA_CONTRATADA_FP]]),"")</f>
        <v>0.91220000000000001</v>
      </c>
      <c r="AI101" s="42">
        <f>IF(Dados_SA[[#This Row],[% Demanda contratada P]]&gt;105%,1,0)</f>
        <v>0</v>
      </c>
      <c r="AJ101" s="42">
        <f>IF(Dados_SA[[#This Row],[% Demanda contratada FP]]&gt;105%,1,0)</f>
        <v>0</v>
      </c>
      <c r="AK101" s="41">
        <f>Dados_SA[[#This Row],[Acrescimo_Bamar]]/Dados_SA[[#This Row],[Valor da Fatura]]</f>
        <v>0</v>
      </c>
      <c r="AL101" s="41">
        <f>Dados_SA[[#This Row],[Acrescimo_Bverm1]]/Dados_SA[[#This Row],[Valor da Fatura]]</f>
        <v>0.10331416716266104</v>
      </c>
      <c r="AM101" s="41">
        <f>Dados_SA[[#This Row],[Acrescimo_Bverm2]]/Dados_SA[[#This Row],[Valor da Fatura]]</f>
        <v>0</v>
      </c>
      <c r="AN101" s="36">
        <v>1.05</v>
      </c>
      <c r="AO101" s="36">
        <v>1</v>
      </c>
      <c r="AP101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01" s="65">
        <f>IF(Dados_SA[[#This Row],[Exced]]&lt;&gt;"",1,0)</f>
        <v>0</v>
      </c>
      <c r="AR101" s="65">
        <f>AVERAGEIFS(Dados_SA[DEMANDA_REGISTRADA_P],Dados_SA[ANO],2015,Dados_SA[UC],"SBC")</f>
        <v>410.04999999999995</v>
      </c>
      <c r="AS101" s="65">
        <f>AVERAGEIFS(Dados_SA[DEMANDA_REGISTRADA_FP],Dados_SA[ANO],2015,Dados_SA[UC],"SBC")</f>
        <v>410.82499999999999</v>
      </c>
      <c r="AT101" s="65">
        <v>157561.57999999999</v>
      </c>
    </row>
    <row r="102" spans="1:46" ht="15.75" customHeight="1" x14ac:dyDescent="0.2">
      <c r="A102" s="40" t="s">
        <v>67</v>
      </c>
      <c r="B102" s="15">
        <v>43101</v>
      </c>
      <c r="C102" s="5">
        <v>2018</v>
      </c>
      <c r="D102" s="5">
        <v>1</v>
      </c>
      <c r="E102" s="5">
        <v>29</v>
      </c>
      <c r="F102" s="5">
        <v>9.1000000000000004E-3</v>
      </c>
      <c r="G102" s="6">
        <v>4.1599999999999998E-2</v>
      </c>
      <c r="H102" s="5">
        <v>0.18</v>
      </c>
      <c r="I102" s="5">
        <v>500</v>
      </c>
      <c r="J102" s="5">
        <v>500</v>
      </c>
      <c r="K102" s="5">
        <v>389.8</v>
      </c>
      <c r="L102" s="7">
        <v>369.6</v>
      </c>
      <c r="M102" s="5"/>
      <c r="N102" s="9"/>
      <c r="O102" s="9">
        <v>10.77</v>
      </c>
      <c r="P102" s="5"/>
      <c r="Q102" s="5">
        <v>13811.1</v>
      </c>
      <c r="R102" s="5">
        <v>134875</v>
      </c>
      <c r="S102" s="10">
        <v>0.43986999999999998</v>
      </c>
      <c r="T102" s="10">
        <v>3.6769999999999997E-2</v>
      </c>
      <c r="U102" s="10">
        <v>0.34899000000000002</v>
      </c>
      <c r="V102" s="10">
        <v>0.22885</v>
      </c>
      <c r="W102" s="5">
        <v>827.2</v>
      </c>
      <c r="X102" s="5">
        <v>5527.8</v>
      </c>
      <c r="Y102" s="5"/>
      <c r="Z102" s="5"/>
      <c r="AA102" s="35">
        <v>67257.55</v>
      </c>
      <c r="AB102" s="35">
        <v>148686.1</v>
      </c>
      <c r="AC102" s="33"/>
      <c r="AD102" s="33">
        <v>3500.29</v>
      </c>
      <c r="AE102" s="35"/>
      <c r="AF102" s="17" t="s">
        <v>32</v>
      </c>
      <c r="AG102" s="41">
        <f>IFERROR(IF(Dados_SA[[#This Row],[DEMANDA_REGISTRADA_P]]/Dados_SA[[#This Row],[DEMANDA_CONTRATADA_P]]=0,"",Dados_SA[[#This Row],[DEMANDA_REGISTRADA_P]]/Dados_SA[[#This Row],[DEMANDA_CONTRATADA_P]]),"")</f>
        <v>0.77960000000000007</v>
      </c>
      <c r="AH102" s="41">
        <f>IFERROR(IF(Dados_SA[[#This Row],[DEMANDA_REGISTRADA_FP]]/Dados_SA[[#This Row],[DEMANDA_CONTRATADA_FP]]=0,"",Dados_SA[[#This Row],[DEMANDA_REGISTRADA_FP]]/Dados_SA[[#This Row],[DEMANDA_CONTRATADA_FP]]),"")</f>
        <v>0.73920000000000008</v>
      </c>
      <c r="AI102" s="42">
        <f>IF(Dados_SA[[#This Row],[% Demanda contratada P]]&gt;105%,1,0)</f>
        <v>0</v>
      </c>
      <c r="AJ102" s="42">
        <f>IF(Dados_SA[[#This Row],[% Demanda contratada FP]]&gt;105%,1,0)</f>
        <v>0</v>
      </c>
      <c r="AK102" s="41">
        <f>Dados_SA[[#This Row],[Acrescimo_Bamar]]/Dados_SA[[#This Row],[Valor da Fatura]]</f>
        <v>0</v>
      </c>
      <c r="AL102" s="41">
        <f>Dados_SA[[#This Row],[Acrescimo_Bverm1]]/Dados_SA[[#This Row],[Valor da Fatura]]</f>
        <v>5.204307917847141E-2</v>
      </c>
      <c r="AM102" s="41">
        <f>Dados_SA[[#This Row],[Acrescimo_Bverm2]]/Dados_SA[[#This Row],[Valor da Fatura]]</f>
        <v>0</v>
      </c>
      <c r="AN102" s="36">
        <v>1.05</v>
      </c>
      <c r="AO102" s="36">
        <v>1</v>
      </c>
      <c r="AP102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02" s="65">
        <f>IF(Dados_SA[[#This Row],[Exced]]&lt;&gt;"",1,0)</f>
        <v>0</v>
      </c>
      <c r="AR102" s="65">
        <f>AVERAGEIFS(Dados_SA[DEMANDA_REGISTRADA_P],Dados_SA[ANO],2015,Dados_SA[UC],"SBC")</f>
        <v>410.04999999999995</v>
      </c>
      <c r="AS102" s="65">
        <f>AVERAGEIFS(Dados_SA[DEMANDA_REGISTRADA_FP],Dados_SA[ANO],2015,Dados_SA[UC],"SBC")</f>
        <v>410.82499999999999</v>
      </c>
      <c r="AT102" s="65">
        <v>157561.57999999999</v>
      </c>
    </row>
    <row r="103" spans="1:46" ht="15.75" customHeight="1" x14ac:dyDescent="0.2">
      <c r="A103" s="40" t="s">
        <v>67</v>
      </c>
      <c r="B103" s="15">
        <v>43102</v>
      </c>
      <c r="C103" s="5">
        <v>2018</v>
      </c>
      <c r="D103" s="5">
        <v>2</v>
      </c>
      <c r="E103" s="5">
        <v>33</v>
      </c>
      <c r="F103" s="5">
        <v>1.0699999999999999E-2</v>
      </c>
      <c r="G103" s="6">
        <v>4.9099999999999998E-2</v>
      </c>
      <c r="H103" s="5">
        <v>0.18</v>
      </c>
      <c r="I103" s="5">
        <v>500</v>
      </c>
      <c r="J103" s="5">
        <v>500</v>
      </c>
      <c r="K103" s="5">
        <v>304.89999999999998</v>
      </c>
      <c r="L103" s="7">
        <v>416.6</v>
      </c>
      <c r="M103" s="5"/>
      <c r="N103" s="9"/>
      <c r="O103" s="9">
        <v>10.77</v>
      </c>
      <c r="P103" s="5"/>
      <c r="Q103" s="5">
        <v>16595.5</v>
      </c>
      <c r="R103" s="5">
        <v>157617</v>
      </c>
      <c r="S103" s="10">
        <v>0.43986999999999998</v>
      </c>
      <c r="T103" s="10">
        <v>3.6769999999999997E-2</v>
      </c>
      <c r="U103" s="10">
        <v>0.34899000000000002</v>
      </c>
      <c r="V103" s="10">
        <v>0.22885</v>
      </c>
      <c r="W103" s="5">
        <v>1051.7</v>
      </c>
      <c r="X103" s="5">
        <v>6099.1</v>
      </c>
      <c r="Y103" s="5"/>
      <c r="Z103" s="5"/>
      <c r="AA103" s="35">
        <v>74751.09</v>
      </c>
      <c r="AB103" s="35">
        <v>174212.5</v>
      </c>
      <c r="AC103" s="33"/>
      <c r="AD103" s="33"/>
      <c r="AE103" s="35"/>
      <c r="AF103" s="17" t="s">
        <v>32</v>
      </c>
      <c r="AG103" s="41">
        <f>IFERROR(IF(Dados_SA[[#This Row],[DEMANDA_REGISTRADA_P]]/Dados_SA[[#This Row],[DEMANDA_CONTRATADA_P]]=0,"",Dados_SA[[#This Row],[DEMANDA_REGISTRADA_P]]/Dados_SA[[#This Row],[DEMANDA_CONTRATADA_P]]),"")</f>
        <v>0.60980000000000001</v>
      </c>
      <c r="AH103" s="41">
        <f>IFERROR(IF(Dados_SA[[#This Row],[DEMANDA_REGISTRADA_FP]]/Dados_SA[[#This Row],[DEMANDA_CONTRATADA_FP]]=0,"",Dados_SA[[#This Row],[DEMANDA_REGISTRADA_FP]]/Dados_SA[[#This Row],[DEMANDA_CONTRATADA_FP]]),"")</f>
        <v>0.83320000000000005</v>
      </c>
      <c r="AI103" s="42">
        <f>IF(Dados_SA[[#This Row],[% Demanda contratada P]]&gt;105%,1,0)</f>
        <v>0</v>
      </c>
      <c r="AJ103" s="42">
        <f>IF(Dados_SA[[#This Row],[% Demanda contratada FP]]&gt;105%,1,0)</f>
        <v>0</v>
      </c>
      <c r="AK103" s="41">
        <f>Dados_SA[[#This Row],[Acrescimo_Bamar]]/Dados_SA[[#This Row],[Valor da Fatura]]</f>
        <v>0</v>
      </c>
      <c r="AL103" s="41">
        <f>Dados_SA[[#This Row],[Acrescimo_Bverm1]]/Dados_SA[[#This Row],[Valor da Fatura]]</f>
        <v>0</v>
      </c>
      <c r="AM103" s="41">
        <f>Dados_SA[[#This Row],[Acrescimo_Bverm2]]/Dados_SA[[#This Row],[Valor da Fatura]]</f>
        <v>0</v>
      </c>
      <c r="AN103" s="36">
        <v>1.05</v>
      </c>
      <c r="AO103" s="36">
        <v>1</v>
      </c>
      <c r="AP103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03" s="65">
        <f>IF(Dados_SA[[#This Row],[Exced]]&lt;&gt;"",1,0)</f>
        <v>0</v>
      </c>
      <c r="AR103" s="65">
        <f>AVERAGEIFS(Dados_SA[DEMANDA_REGISTRADA_P],Dados_SA[ANO],2015,Dados_SA[UC],"SBC")</f>
        <v>410.04999999999995</v>
      </c>
      <c r="AS103" s="65">
        <f>AVERAGEIFS(Dados_SA[DEMANDA_REGISTRADA_FP],Dados_SA[ANO],2015,Dados_SA[UC],"SBC")</f>
        <v>410.82499999999999</v>
      </c>
      <c r="AT103" s="65">
        <v>157561.57999999999</v>
      </c>
    </row>
    <row r="104" spans="1:46" ht="15.75" customHeight="1" x14ac:dyDescent="0.2">
      <c r="A104" s="40" t="s">
        <v>67</v>
      </c>
      <c r="B104" s="15">
        <v>43103</v>
      </c>
      <c r="C104" s="5">
        <v>2018</v>
      </c>
      <c r="D104" s="5">
        <v>3</v>
      </c>
      <c r="E104" s="5">
        <v>27</v>
      </c>
      <c r="F104" s="5">
        <v>1.0200000000000001E-2</v>
      </c>
      <c r="G104" s="6">
        <v>4.6800000000000001E-2</v>
      </c>
      <c r="H104" s="5">
        <v>0.18</v>
      </c>
      <c r="I104" s="5">
        <v>500</v>
      </c>
      <c r="J104" s="5">
        <v>500</v>
      </c>
      <c r="K104" s="5">
        <v>488</v>
      </c>
      <c r="L104" s="7">
        <v>502.3</v>
      </c>
      <c r="M104" s="5"/>
      <c r="N104" s="9"/>
      <c r="O104" s="9">
        <v>10.77</v>
      </c>
      <c r="P104" s="5"/>
      <c r="Q104" s="5">
        <v>20251.599999999999</v>
      </c>
      <c r="R104" s="5">
        <v>150109.9</v>
      </c>
      <c r="S104" s="10">
        <v>0.43986999999999998</v>
      </c>
      <c r="T104" s="10">
        <v>3.6769999999999997E-2</v>
      </c>
      <c r="U104" s="10">
        <v>0.34899000000000002</v>
      </c>
      <c r="V104" s="10">
        <v>0.22885</v>
      </c>
      <c r="W104" s="5">
        <v>1079.2</v>
      </c>
      <c r="X104" s="5">
        <v>5999.5</v>
      </c>
      <c r="Y104" s="5"/>
      <c r="Z104" s="5"/>
      <c r="AA104" s="35">
        <v>75606.02</v>
      </c>
      <c r="AB104" s="35">
        <v>170361.5</v>
      </c>
      <c r="AC104" s="33"/>
      <c r="AD104" s="33"/>
      <c r="AE104" s="35"/>
      <c r="AF104" s="17" t="s">
        <v>32</v>
      </c>
      <c r="AG104" s="41">
        <f>IFERROR(IF(Dados_SA[[#This Row],[DEMANDA_REGISTRADA_P]]/Dados_SA[[#This Row],[DEMANDA_CONTRATADA_P]]=0,"",Dados_SA[[#This Row],[DEMANDA_REGISTRADA_P]]/Dados_SA[[#This Row],[DEMANDA_CONTRATADA_P]]),"")</f>
        <v>0.97599999999999998</v>
      </c>
      <c r="AH104" s="41">
        <f>IFERROR(IF(Dados_SA[[#This Row],[DEMANDA_REGISTRADA_FP]]/Dados_SA[[#This Row],[DEMANDA_CONTRATADA_FP]]=0,"",Dados_SA[[#This Row],[DEMANDA_REGISTRADA_FP]]/Dados_SA[[#This Row],[DEMANDA_CONTRATADA_FP]]),"")</f>
        <v>1.0045999999999999</v>
      </c>
      <c r="AI104" s="42">
        <f>IF(Dados_SA[[#This Row],[% Demanda contratada P]]&gt;105%,1,0)</f>
        <v>0</v>
      </c>
      <c r="AJ104" s="42">
        <f>IF(Dados_SA[[#This Row],[% Demanda contratada FP]]&gt;105%,1,0)</f>
        <v>0</v>
      </c>
      <c r="AK104" s="41">
        <f>Dados_SA[[#This Row],[Acrescimo_Bamar]]/Dados_SA[[#This Row],[Valor da Fatura]]</f>
        <v>0</v>
      </c>
      <c r="AL104" s="41">
        <f>Dados_SA[[#This Row],[Acrescimo_Bverm1]]/Dados_SA[[#This Row],[Valor da Fatura]]</f>
        <v>0</v>
      </c>
      <c r="AM104" s="41">
        <f>Dados_SA[[#This Row],[Acrescimo_Bverm2]]/Dados_SA[[#This Row],[Valor da Fatura]]</f>
        <v>0</v>
      </c>
      <c r="AN104" s="36">
        <v>1.05</v>
      </c>
      <c r="AO104" s="36">
        <v>1</v>
      </c>
      <c r="AP104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04" s="65">
        <f>IF(Dados_SA[[#This Row],[Exced]]&lt;&gt;"",1,0)</f>
        <v>0</v>
      </c>
      <c r="AR104" s="65">
        <f>AVERAGEIFS(Dados_SA[DEMANDA_REGISTRADA_P],Dados_SA[ANO],2015,Dados_SA[UC],"SBC")</f>
        <v>410.04999999999995</v>
      </c>
      <c r="AS104" s="65">
        <f>AVERAGEIFS(Dados_SA[DEMANDA_REGISTRADA_FP],Dados_SA[ANO],2015,Dados_SA[UC],"SBC")</f>
        <v>410.82499999999999</v>
      </c>
      <c r="AT104" s="65">
        <v>157561.57999999999</v>
      </c>
    </row>
    <row r="105" spans="1:46" ht="15.75" customHeight="1" x14ac:dyDescent="0.2">
      <c r="A105" s="40" t="s">
        <v>67</v>
      </c>
      <c r="B105" s="15">
        <v>43104</v>
      </c>
      <c r="C105" s="5">
        <v>2018</v>
      </c>
      <c r="D105" s="5">
        <v>4</v>
      </c>
      <c r="E105" s="5">
        <v>30</v>
      </c>
      <c r="F105" s="5">
        <v>8.0000000000000002E-3</v>
      </c>
      <c r="G105" s="6">
        <v>3.7100000000000001E-2</v>
      </c>
      <c r="H105" s="5">
        <v>0.18</v>
      </c>
      <c r="I105" s="5">
        <v>500</v>
      </c>
      <c r="J105" s="5">
        <v>500</v>
      </c>
      <c r="K105" s="5">
        <v>496.4</v>
      </c>
      <c r="L105" s="7">
        <v>513.20000000000005</v>
      </c>
      <c r="M105" s="5"/>
      <c r="N105" s="9"/>
      <c r="O105" s="9">
        <v>10.77</v>
      </c>
      <c r="P105" s="5"/>
      <c r="Q105" s="5">
        <v>24442.1</v>
      </c>
      <c r="R105" s="5">
        <v>174931.3</v>
      </c>
      <c r="S105" s="10">
        <v>0.43986999999999998</v>
      </c>
      <c r="T105" s="10">
        <v>3.6769999999999997E-2</v>
      </c>
      <c r="U105" s="10">
        <v>0.34899000000000002</v>
      </c>
      <c r="V105" s="10">
        <v>0.22885</v>
      </c>
      <c r="W105" s="5">
        <v>1206.2</v>
      </c>
      <c r="X105" s="5">
        <v>7718.5</v>
      </c>
      <c r="Y105" s="5"/>
      <c r="Z105" s="5"/>
      <c r="AA105" s="35">
        <v>86615.09</v>
      </c>
      <c r="AB105" s="35">
        <v>199373.4</v>
      </c>
      <c r="AC105" s="33"/>
      <c r="AD105" s="33"/>
      <c r="AE105" s="35"/>
      <c r="AF105" s="17" t="s">
        <v>32</v>
      </c>
      <c r="AG105" s="41">
        <f>IFERROR(IF(Dados_SA[[#This Row],[DEMANDA_REGISTRADA_P]]/Dados_SA[[#This Row],[DEMANDA_CONTRATADA_P]]=0,"",Dados_SA[[#This Row],[DEMANDA_REGISTRADA_P]]/Dados_SA[[#This Row],[DEMANDA_CONTRATADA_P]]),"")</f>
        <v>0.9927999999999999</v>
      </c>
      <c r="AH105" s="41">
        <f>IFERROR(IF(Dados_SA[[#This Row],[DEMANDA_REGISTRADA_FP]]/Dados_SA[[#This Row],[DEMANDA_CONTRATADA_FP]]=0,"",Dados_SA[[#This Row],[DEMANDA_REGISTRADA_FP]]/Dados_SA[[#This Row],[DEMANDA_CONTRATADA_FP]]),"")</f>
        <v>1.0264000000000002</v>
      </c>
      <c r="AI105" s="42">
        <f>IF(Dados_SA[[#This Row],[% Demanda contratada P]]&gt;105%,1,0)</f>
        <v>0</v>
      </c>
      <c r="AJ105" s="42">
        <f>IF(Dados_SA[[#This Row],[% Demanda contratada FP]]&gt;105%,1,0)</f>
        <v>0</v>
      </c>
      <c r="AK105" s="41">
        <f>Dados_SA[[#This Row],[Acrescimo_Bamar]]/Dados_SA[[#This Row],[Valor da Fatura]]</f>
        <v>0</v>
      </c>
      <c r="AL105" s="41">
        <f>Dados_SA[[#This Row],[Acrescimo_Bverm1]]/Dados_SA[[#This Row],[Valor da Fatura]]</f>
        <v>0</v>
      </c>
      <c r="AM105" s="41">
        <f>Dados_SA[[#This Row],[Acrescimo_Bverm2]]/Dados_SA[[#This Row],[Valor da Fatura]]</f>
        <v>0</v>
      </c>
      <c r="AN105" s="36">
        <v>1.05</v>
      </c>
      <c r="AO105" s="36">
        <v>1</v>
      </c>
      <c r="AP105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05" s="65">
        <f>IF(Dados_SA[[#This Row],[Exced]]&lt;&gt;"",1,0)</f>
        <v>0</v>
      </c>
      <c r="AR105" s="65">
        <f>AVERAGEIFS(Dados_SA[DEMANDA_REGISTRADA_P],Dados_SA[ANO],2015,Dados_SA[UC],"SBC")</f>
        <v>410.04999999999995</v>
      </c>
      <c r="AS105" s="65">
        <f>AVERAGEIFS(Dados_SA[DEMANDA_REGISTRADA_FP],Dados_SA[ANO],2015,Dados_SA[UC],"SBC")</f>
        <v>410.82499999999999</v>
      </c>
      <c r="AT105" s="65">
        <v>157561.57999999999</v>
      </c>
    </row>
    <row r="106" spans="1:46" ht="15.75" customHeight="1" x14ac:dyDescent="0.2">
      <c r="A106" s="40" t="s">
        <v>67</v>
      </c>
      <c r="B106" s="15">
        <v>43105</v>
      </c>
      <c r="C106" s="5">
        <v>2018</v>
      </c>
      <c r="D106" s="5">
        <v>5</v>
      </c>
      <c r="E106" s="5">
        <v>32</v>
      </c>
      <c r="F106" s="5">
        <v>8.9999999999999993E-3</v>
      </c>
      <c r="G106" s="6">
        <v>4.1200000000000001E-2</v>
      </c>
      <c r="H106" s="5">
        <v>0.18</v>
      </c>
      <c r="I106" s="5">
        <v>500</v>
      </c>
      <c r="J106" s="5">
        <v>500</v>
      </c>
      <c r="K106" s="5">
        <v>415</v>
      </c>
      <c r="L106" s="7">
        <v>391.4</v>
      </c>
      <c r="M106" s="5"/>
      <c r="N106" s="9"/>
      <c r="O106" s="9">
        <v>10.77</v>
      </c>
      <c r="P106" s="5"/>
      <c r="Q106" s="5">
        <v>21035.200000000001</v>
      </c>
      <c r="R106" s="5">
        <v>155978.6</v>
      </c>
      <c r="S106" s="10">
        <v>0.43986999999999998</v>
      </c>
      <c r="T106" s="10">
        <v>3.6769999999999997E-2</v>
      </c>
      <c r="U106" s="10">
        <v>0.34899000000000002</v>
      </c>
      <c r="V106" s="10">
        <v>0.22885</v>
      </c>
      <c r="W106" s="5">
        <v>501.1</v>
      </c>
      <c r="X106" s="5">
        <v>5594.9</v>
      </c>
      <c r="Y106" s="5"/>
      <c r="Z106" s="5"/>
      <c r="AA106" s="35">
        <v>78515.88</v>
      </c>
      <c r="AB106" s="35">
        <v>177013.8</v>
      </c>
      <c r="AC106" s="33">
        <v>955.48</v>
      </c>
      <c r="AD106" s="33"/>
      <c r="AE106" s="35"/>
      <c r="AF106" s="17" t="s">
        <v>32</v>
      </c>
      <c r="AG106" s="41">
        <f>IFERROR(IF(Dados_SA[[#This Row],[DEMANDA_REGISTRADA_P]]/Dados_SA[[#This Row],[DEMANDA_CONTRATADA_P]]=0,"",Dados_SA[[#This Row],[DEMANDA_REGISTRADA_P]]/Dados_SA[[#This Row],[DEMANDA_CONTRATADA_P]]),"")</f>
        <v>0.83</v>
      </c>
      <c r="AH106" s="41">
        <f>IFERROR(IF(Dados_SA[[#This Row],[DEMANDA_REGISTRADA_FP]]/Dados_SA[[#This Row],[DEMANDA_CONTRATADA_FP]]=0,"",Dados_SA[[#This Row],[DEMANDA_REGISTRADA_FP]]/Dados_SA[[#This Row],[DEMANDA_CONTRATADA_FP]]),"")</f>
        <v>0.78279999999999994</v>
      </c>
      <c r="AI106" s="42">
        <f>IF(Dados_SA[[#This Row],[% Demanda contratada P]]&gt;105%,1,0)</f>
        <v>0</v>
      </c>
      <c r="AJ106" s="42">
        <f>IF(Dados_SA[[#This Row],[% Demanda contratada FP]]&gt;105%,1,0)</f>
        <v>0</v>
      </c>
      <c r="AK106" s="41">
        <f>Dados_SA[[#This Row],[Acrescimo_Bamar]]/Dados_SA[[#This Row],[Valor da Fatura]]</f>
        <v>1.2169257989593951E-2</v>
      </c>
      <c r="AL106" s="41">
        <f>Dados_SA[[#This Row],[Acrescimo_Bverm1]]/Dados_SA[[#This Row],[Valor da Fatura]]</f>
        <v>0</v>
      </c>
      <c r="AM106" s="41">
        <f>Dados_SA[[#This Row],[Acrescimo_Bverm2]]/Dados_SA[[#This Row],[Valor da Fatura]]</f>
        <v>0</v>
      </c>
      <c r="AN106" s="36">
        <v>1.05</v>
      </c>
      <c r="AO106" s="36">
        <v>1</v>
      </c>
      <c r="AP106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06" s="65">
        <f>IF(Dados_SA[[#This Row],[Exced]]&lt;&gt;"",1,0)</f>
        <v>0</v>
      </c>
      <c r="AR106" s="65">
        <f>AVERAGEIFS(Dados_SA[DEMANDA_REGISTRADA_P],Dados_SA[ANO],2015,Dados_SA[UC],"SBC")</f>
        <v>410.04999999999995</v>
      </c>
      <c r="AS106" s="65">
        <f>AVERAGEIFS(Dados_SA[DEMANDA_REGISTRADA_FP],Dados_SA[ANO],2015,Dados_SA[UC],"SBC")</f>
        <v>410.82499999999999</v>
      </c>
      <c r="AT106" s="65">
        <v>157561.57999999999</v>
      </c>
    </row>
    <row r="107" spans="1:46" ht="15.75" customHeight="1" x14ac:dyDescent="0.2">
      <c r="A107" s="40" t="s">
        <v>67</v>
      </c>
      <c r="B107" s="15">
        <v>43106</v>
      </c>
      <c r="C107" s="5">
        <v>2018</v>
      </c>
      <c r="D107" s="5">
        <v>6</v>
      </c>
      <c r="E107" s="5">
        <v>30</v>
      </c>
      <c r="F107" s="5">
        <v>5.7999999999999996E-3</v>
      </c>
      <c r="G107" s="6">
        <v>2.69E-2</v>
      </c>
      <c r="H107" s="5">
        <v>0.18</v>
      </c>
      <c r="I107" s="5">
        <v>500</v>
      </c>
      <c r="J107" s="5">
        <v>500</v>
      </c>
      <c r="K107" s="5">
        <v>423.4</v>
      </c>
      <c r="L107" s="7">
        <v>350.3</v>
      </c>
      <c r="M107" s="5"/>
      <c r="N107" s="9"/>
      <c r="O107" s="9">
        <v>10.77</v>
      </c>
      <c r="P107" s="5"/>
      <c r="Q107" s="5">
        <v>16911.099999999999</v>
      </c>
      <c r="R107" s="5">
        <v>120721.60000000001</v>
      </c>
      <c r="S107" s="10">
        <v>0.43986999999999998</v>
      </c>
      <c r="T107" s="10">
        <v>3.6769999999999997E-2</v>
      </c>
      <c r="U107" s="10">
        <v>0.34899000000000002</v>
      </c>
      <c r="V107" s="10">
        <v>0.22885</v>
      </c>
      <c r="W107" s="5">
        <v>337.1</v>
      </c>
      <c r="X107" s="5">
        <v>5492.6</v>
      </c>
      <c r="Y107" s="5"/>
      <c r="Z107" s="5"/>
      <c r="AA107" s="35">
        <v>65255.53</v>
      </c>
      <c r="AB107" s="35">
        <v>137632.70000000001</v>
      </c>
      <c r="AC107" s="33">
        <v>958.2</v>
      </c>
      <c r="AD107" s="33">
        <v>3663.82</v>
      </c>
      <c r="AE107" s="35"/>
      <c r="AF107" s="17" t="s">
        <v>32</v>
      </c>
      <c r="AG107" s="41">
        <f>IFERROR(IF(Dados_SA[[#This Row],[DEMANDA_REGISTRADA_P]]/Dados_SA[[#This Row],[DEMANDA_CONTRATADA_P]]=0,"",Dados_SA[[#This Row],[DEMANDA_REGISTRADA_P]]/Dados_SA[[#This Row],[DEMANDA_CONTRATADA_P]]),"")</f>
        <v>0.8468</v>
      </c>
      <c r="AH107" s="41">
        <f>IFERROR(IF(Dados_SA[[#This Row],[DEMANDA_REGISTRADA_FP]]/Dados_SA[[#This Row],[DEMANDA_CONTRATADA_FP]]=0,"",Dados_SA[[#This Row],[DEMANDA_REGISTRADA_FP]]/Dados_SA[[#This Row],[DEMANDA_CONTRATADA_FP]]),"")</f>
        <v>0.7006</v>
      </c>
      <c r="AI107" s="42">
        <f>IF(Dados_SA[[#This Row],[% Demanda contratada P]]&gt;105%,1,0)</f>
        <v>0</v>
      </c>
      <c r="AJ107" s="42">
        <f>IF(Dados_SA[[#This Row],[% Demanda contratada FP]]&gt;105%,1,0)</f>
        <v>0</v>
      </c>
      <c r="AK107" s="41">
        <f>Dados_SA[[#This Row],[Acrescimo_Bamar]]/Dados_SA[[#This Row],[Valor da Fatura]]</f>
        <v>1.468381300404732E-2</v>
      </c>
      <c r="AL107" s="41">
        <f>Dados_SA[[#This Row],[Acrescimo_Bverm1]]/Dados_SA[[#This Row],[Valor da Fatura]]</f>
        <v>5.6145739679073943E-2</v>
      </c>
      <c r="AM107" s="41">
        <f>Dados_SA[[#This Row],[Acrescimo_Bverm2]]/Dados_SA[[#This Row],[Valor da Fatura]]</f>
        <v>0</v>
      </c>
      <c r="AN107" s="36">
        <v>1.05</v>
      </c>
      <c r="AO107" s="36">
        <v>1</v>
      </c>
      <c r="AP107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07" s="65">
        <f>IF(Dados_SA[[#This Row],[Exced]]&lt;&gt;"",1,0)</f>
        <v>0</v>
      </c>
      <c r="AR107" s="65">
        <f>AVERAGEIFS(Dados_SA[DEMANDA_REGISTRADA_P],Dados_SA[ANO],2015,Dados_SA[UC],"SBC")</f>
        <v>410.04999999999995</v>
      </c>
      <c r="AS107" s="65">
        <f>AVERAGEIFS(Dados_SA[DEMANDA_REGISTRADA_FP],Dados_SA[ANO],2015,Dados_SA[UC],"SBC")</f>
        <v>410.82499999999999</v>
      </c>
      <c r="AT107" s="65">
        <v>157561.57999999999</v>
      </c>
    </row>
    <row r="108" spans="1:46" ht="15.75" customHeight="1" x14ac:dyDescent="0.2">
      <c r="A108" s="40" t="s">
        <v>67</v>
      </c>
      <c r="B108" s="15">
        <v>43107</v>
      </c>
      <c r="C108" s="5">
        <v>2018</v>
      </c>
      <c r="D108" s="5">
        <v>7</v>
      </c>
      <c r="E108" s="5">
        <v>33</v>
      </c>
      <c r="F108" s="5">
        <v>6.3E-3</v>
      </c>
      <c r="G108" s="6">
        <v>2.92E-2</v>
      </c>
      <c r="H108" s="5">
        <v>0.18</v>
      </c>
      <c r="I108" s="5">
        <v>500</v>
      </c>
      <c r="J108" s="5">
        <v>500</v>
      </c>
      <c r="K108" s="5">
        <v>304</v>
      </c>
      <c r="L108" s="7">
        <v>372.1</v>
      </c>
      <c r="M108" s="5"/>
      <c r="N108" s="9"/>
      <c r="O108" s="9">
        <v>10.93</v>
      </c>
      <c r="P108" s="5"/>
      <c r="Q108" s="5">
        <v>21105.5</v>
      </c>
      <c r="R108" s="5">
        <v>140514.4</v>
      </c>
      <c r="S108" s="10">
        <v>0.45372000000000001</v>
      </c>
      <c r="T108" s="10">
        <v>4.4850000000000001E-2</v>
      </c>
      <c r="U108" s="10">
        <v>0.34899000000000002</v>
      </c>
      <c r="V108" s="10">
        <v>0.22885</v>
      </c>
      <c r="W108" s="5">
        <v>554.79999999999995</v>
      </c>
      <c r="X108" s="5">
        <v>5388.4</v>
      </c>
      <c r="Y108" s="5"/>
      <c r="Z108" s="5"/>
      <c r="AA108" s="35">
        <v>85327.13</v>
      </c>
      <c r="AB108" s="35">
        <v>161619.9</v>
      </c>
      <c r="AC108" s="33"/>
      <c r="AD108" s="33">
        <v>9935.44</v>
      </c>
      <c r="AE108" s="35"/>
      <c r="AF108" s="17" t="s">
        <v>32</v>
      </c>
      <c r="AG108" s="41">
        <f>IFERROR(IF(Dados_SA[[#This Row],[DEMANDA_REGISTRADA_P]]/Dados_SA[[#This Row],[DEMANDA_CONTRATADA_P]]=0,"",Dados_SA[[#This Row],[DEMANDA_REGISTRADA_P]]/Dados_SA[[#This Row],[DEMANDA_CONTRATADA_P]]),"")</f>
        <v>0.60799999999999998</v>
      </c>
      <c r="AH108" s="41">
        <f>IFERROR(IF(Dados_SA[[#This Row],[DEMANDA_REGISTRADA_FP]]/Dados_SA[[#This Row],[DEMANDA_CONTRATADA_FP]]=0,"",Dados_SA[[#This Row],[DEMANDA_REGISTRADA_FP]]/Dados_SA[[#This Row],[DEMANDA_CONTRATADA_FP]]),"")</f>
        <v>0.74420000000000008</v>
      </c>
      <c r="AI108" s="42">
        <f>IF(Dados_SA[[#This Row],[% Demanda contratada P]]&gt;105%,1,0)</f>
        <v>0</v>
      </c>
      <c r="AJ108" s="42">
        <f>IF(Dados_SA[[#This Row],[% Demanda contratada FP]]&gt;105%,1,0)</f>
        <v>0</v>
      </c>
      <c r="AK108" s="41">
        <f>Dados_SA[[#This Row],[Acrescimo_Bamar]]/Dados_SA[[#This Row],[Valor da Fatura]]</f>
        <v>0</v>
      </c>
      <c r="AL108" s="41">
        <f>Dados_SA[[#This Row],[Acrescimo_Bverm1]]/Dados_SA[[#This Row],[Valor da Fatura]]</f>
        <v>0.11643940209872287</v>
      </c>
      <c r="AM108" s="41">
        <f>Dados_SA[[#This Row],[Acrescimo_Bverm2]]/Dados_SA[[#This Row],[Valor da Fatura]]</f>
        <v>0</v>
      </c>
      <c r="AN108" s="36">
        <v>1.05</v>
      </c>
      <c r="AO108" s="36">
        <v>1</v>
      </c>
      <c r="AP108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08" s="65">
        <f>IF(Dados_SA[[#This Row],[Exced]]&lt;&gt;"",1,0)</f>
        <v>0</v>
      </c>
      <c r="AR108" s="65">
        <f>AVERAGEIFS(Dados_SA[DEMANDA_REGISTRADA_P],Dados_SA[ANO],2015,Dados_SA[UC],"SBC")</f>
        <v>410.04999999999995</v>
      </c>
      <c r="AS108" s="65">
        <f>AVERAGEIFS(Dados_SA[DEMANDA_REGISTRADA_FP],Dados_SA[ANO],2015,Dados_SA[UC],"SBC")</f>
        <v>410.82499999999999</v>
      </c>
      <c r="AT108" s="65">
        <v>157561.57999999999</v>
      </c>
    </row>
    <row r="109" spans="1:46" ht="15.75" customHeight="1" x14ac:dyDescent="0.2">
      <c r="A109" s="40" t="s">
        <v>67</v>
      </c>
      <c r="B109" s="15">
        <v>43108</v>
      </c>
      <c r="C109" s="5">
        <v>2018</v>
      </c>
      <c r="D109" s="5">
        <v>8</v>
      </c>
      <c r="E109" s="5">
        <v>29</v>
      </c>
      <c r="F109" s="5">
        <v>5.8999999999999999E-3</v>
      </c>
      <c r="G109" s="6">
        <v>2.7199999999999998E-2</v>
      </c>
      <c r="H109" s="5">
        <v>0.18</v>
      </c>
      <c r="I109" s="5">
        <v>500</v>
      </c>
      <c r="J109" s="5">
        <v>500</v>
      </c>
      <c r="K109" s="5">
        <v>387.2</v>
      </c>
      <c r="L109" s="7">
        <v>352</v>
      </c>
      <c r="M109" s="5"/>
      <c r="N109" s="9"/>
      <c r="O109" s="9">
        <v>11.17</v>
      </c>
      <c r="P109" s="5"/>
      <c r="Q109" s="5">
        <v>19688.8</v>
      </c>
      <c r="R109" s="5">
        <v>120935.5</v>
      </c>
      <c r="S109" s="10">
        <v>0.47503000000000001</v>
      </c>
      <c r="T109" s="10">
        <v>5.7279999999999998E-2</v>
      </c>
      <c r="U109" s="10">
        <v>0.41154000000000002</v>
      </c>
      <c r="V109" s="10">
        <v>0.25807999999999998</v>
      </c>
      <c r="W109" s="5">
        <v>285</v>
      </c>
      <c r="X109" s="5">
        <v>4451.2</v>
      </c>
      <c r="Y109" s="5"/>
      <c r="Z109" s="5"/>
      <c r="AA109" s="35">
        <v>81628.13</v>
      </c>
      <c r="AB109" s="35">
        <v>140624.29999999999</v>
      </c>
      <c r="AC109" s="33"/>
      <c r="AD109" s="33">
        <v>8639.5499999999993</v>
      </c>
      <c r="AE109" s="35"/>
      <c r="AF109" s="17" t="s">
        <v>32</v>
      </c>
      <c r="AG109" s="41">
        <f>IFERROR(IF(Dados_SA[[#This Row],[DEMANDA_REGISTRADA_P]]/Dados_SA[[#This Row],[DEMANDA_CONTRATADA_P]]=0,"",Dados_SA[[#This Row],[DEMANDA_REGISTRADA_P]]/Dados_SA[[#This Row],[DEMANDA_CONTRATADA_P]]),"")</f>
        <v>0.77439999999999998</v>
      </c>
      <c r="AH109" s="41">
        <f>IFERROR(IF(Dados_SA[[#This Row],[DEMANDA_REGISTRADA_FP]]/Dados_SA[[#This Row],[DEMANDA_CONTRATADA_FP]]=0,"",Dados_SA[[#This Row],[DEMANDA_REGISTRADA_FP]]/Dados_SA[[#This Row],[DEMANDA_CONTRATADA_FP]]),"")</f>
        <v>0.70399999999999996</v>
      </c>
      <c r="AI109" s="42">
        <f>IF(Dados_SA[[#This Row],[% Demanda contratada P]]&gt;105%,1,0)</f>
        <v>0</v>
      </c>
      <c r="AJ109" s="42">
        <f>IF(Dados_SA[[#This Row],[% Demanda contratada FP]]&gt;105%,1,0)</f>
        <v>0</v>
      </c>
      <c r="AK109" s="41">
        <f>Dados_SA[[#This Row],[Acrescimo_Bamar]]/Dados_SA[[#This Row],[Valor da Fatura]]</f>
        <v>0</v>
      </c>
      <c r="AL109" s="41">
        <f>Dados_SA[[#This Row],[Acrescimo_Bverm1]]/Dados_SA[[#This Row],[Valor da Fatura]]</f>
        <v>0.10584035184929508</v>
      </c>
      <c r="AM109" s="41">
        <f>Dados_SA[[#This Row],[Acrescimo_Bverm2]]/Dados_SA[[#This Row],[Valor da Fatura]]</f>
        <v>0</v>
      </c>
      <c r="AN109" s="36">
        <v>1.05</v>
      </c>
      <c r="AO109" s="36">
        <v>1</v>
      </c>
      <c r="AP109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09" s="65">
        <f>IF(Dados_SA[[#This Row],[Exced]]&lt;&gt;"",1,0)</f>
        <v>0</v>
      </c>
      <c r="AR109" s="65">
        <f>AVERAGEIFS(Dados_SA[DEMANDA_REGISTRADA_P],Dados_SA[ANO],2015,Dados_SA[UC],"SBC")</f>
        <v>410.04999999999995</v>
      </c>
      <c r="AS109" s="65">
        <f>AVERAGEIFS(Dados_SA[DEMANDA_REGISTRADA_FP],Dados_SA[ANO],2015,Dados_SA[UC],"SBC")</f>
        <v>410.82499999999999</v>
      </c>
      <c r="AT109" s="65">
        <v>157561.57999999999</v>
      </c>
    </row>
    <row r="110" spans="1:46" ht="15.75" customHeight="1" x14ac:dyDescent="0.2">
      <c r="A110" s="40" t="s">
        <v>67</v>
      </c>
      <c r="B110" s="15">
        <v>43109</v>
      </c>
      <c r="C110" s="5">
        <v>2018</v>
      </c>
      <c r="D110" s="5">
        <v>9</v>
      </c>
      <c r="E110" s="5">
        <v>31</v>
      </c>
      <c r="F110" s="5">
        <v>8.9999999999999993E-3</v>
      </c>
      <c r="G110" s="6">
        <v>4.1399999999999999E-2</v>
      </c>
      <c r="H110" s="5">
        <v>0.18</v>
      </c>
      <c r="I110" s="5">
        <v>500</v>
      </c>
      <c r="J110" s="5">
        <v>500</v>
      </c>
      <c r="K110" s="5">
        <v>357</v>
      </c>
      <c r="L110" s="7">
        <v>350.3</v>
      </c>
      <c r="M110" s="5"/>
      <c r="N110" s="9"/>
      <c r="O110" s="9">
        <v>11.17</v>
      </c>
      <c r="P110" s="5"/>
      <c r="Q110" s="5">
        <v>16874.099999999999</v>
      </c>
      <c r="R110" s="5">
        <v>120235.9</v>
      </c>
      <c r="S110" s="10">
        <v>0.47503000000000001</v>
      </c>
      <c r="T110" s="10">
        <v>5.7279999999999998E-2</v>
      </c>
      <c r="U110" s="10">
        <v>0.41154000000000002</v>
      </c>
      <c r="V110" s="10">
        <v>0.25807999999999998</v>
      </c>
      <c r="W110" s="5">
        <v>312.3</v>
      </c>
      <c r="X110" s="5">
        <v>5014.6000000000004</v>
      </c>
      <c r="Y110" s="5"/>
      <c r="Z110" s="5"/>
      <c r="AA110" s="35">
        <v>80022.350000000006</v>
      </c>
      <c r="AB110" s="35">
        <v>137110</v>
      </c>
      <c r="AC110" s="33"/>
      <c r="AD110" s="33">
        <v>8458.7000000000007</v>
      </c>
      <c r="AE110" s="35"/>
      <c r="AF110" s="17" t="s">
        <v>32</v>
      </c>
      <c r="AG110" s="41">
        <f>IFERROR(IF(Dados_SA[[#This Row],[DEMANDA_REGISTRADA_P]]/Dados_SA[[#This Row],[DEMANDA_CONTRATADA_P]]=0,"",Dados_SA[[#This Row],[DEMANDA_REGISTRADA_P]]/Dados_SA[[#This Row],[DEMANDA_CONTRATADA_P]]),"")</f>
        <v>0.71399999999999997</v>
      </c>
      <c r="AH110" s="41">
        <f>IFERROR(IF(Dados_SA[[#This Row],[DEMANDA_REGISTRADA_FP]]/Dados_SA[[#This Row],[DEMANDA_CONTRATADA_FP]]=0,"",Dados_SA[[#This Row],[DEMANDA_REGISTRADA_FP]]/Dados_SA[[#This Row],[DEMANDA_CONTRATADA_FP]]),"")</f>
        <v>0.7006</v>
      </c>
      <c r="AI110" s="42">
        <f>IF(Dados_SA[[#This Row],[% Demanda contratada P]]&gt;105%,1,0)</f>
        <v>0</v>
      </c>
      <c r="AJ110" s="42">
        <f>IF(Dados_SA[[#This Row],[% Demanda contratada FP]]&gt;105%,1,0)</f>
        <v>0</v>
      </c>
      <c r="AK110" s="41">
        <f>Dados_SA[[#This Row],[Acrescimo_Bamar]]/Dados_SA[[#This Row],[Valor da Fatura]]</f>
        <v>0</v>
      </c>
      <c r="AL110" s="41">
        <f>Dados_SA[[#This Row],[Acrescimo_Bverm1]]/Dados_SA[[#This Row],[Valor da Fatura]]</f>
        <v>0.10570421888384933</v>
      </c>
      <c r="AM110" s="41">
        <f>Dados_SA[[#This Row],[Acrescimo_Bverm2]]/Dados_SA[[#This Row],[Valor da Fatura]]</f>
        <v>0</v>
      </c>
      <c r="AN110" s="36">
        <v>1.05</v>
      </c>
      <c r="AO110" s="36">
        <v>1</v>
      </c>
      <c r="AP110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10" s="65">
        <f>IF(Dados_SA[[#This Row],[Exced]]&lt;&gt;"",1,0)</f>
        <v>0</v>
      </c>
      <c r="AR110" s="65">
        <f>AVERAGEIFS(Dados_SA[DEMANDA_REGISTRADA_P],Dados_SA[ANO],2015,Dados_SA[UC],"SBC")</f>
        <v>410.04999999999995</v>
      </c>
      <c r="AS110" s="65">
        <f>AVERAGEIFS(Dados_SA[DEMANDA_REGISTRADA_FP],Dados_SA[ANO],2015,Dados_SA[UC],"SBC")</f>
        <v>410.82499999999999</v>
      </c>
      <c r="AT110" s="65">
        <v>157561.57999999999</v>
      </c>
    </row>
    <row r="111" spans="1:46" ht="15.75" customHeight="1" x14ac:dyDescent="0.2">
      <c r="A111" s="40" t="s">
        <v>67</v>
      </c>
      <c r="B111" s="15">
        <v>43110</v>
      </c>
      <c r="C111" s="5">
        <v>2018</v>
      </c>
      <c r="D111" s="5">
        <v>10</v>
      </c>
      <c r="E111" s="5">
        <v>32</v>
      </c>
      <c r="F111" s="5">
        <v>9.2999999999999992E-3</v>
      </c>
      <c r="G111" s="6">
        <v>4.2599999999999999E-2</v>
      </c>
      <c r="H111" s="5">
        <v>0.18</v>
      </c>
      <c r="I111" s="5">
        <v>500</v>
      </c>
      <c r="J111" s="5">
        <v>500</v>
      </c>
      <c r="K111" s="5">
        <v>409.1</v>
      </c>
      <c r="L111" s="7">
        <v>409.1</v>
      </c>
      <c r="M111" s="5"/>
      <c r="N111" s="9"/>
      <c r="O111" s="9">
        <v>11.17</v>
      </c>
      <c r="P111" s="5"/>
      <c r="Q111" s="5">
        <v>21337.5</v>
      </c>
      <c r="R111" s="5">
        <v>150298</v>
      </c>
      <c r="S111" s="10">
        <v>0.47503000000000001</v>
      </c>
      <c r="T111" s="10">
        <v>5.7279999999999998E-2</v>
      </c>
      <c r="U111" s="10">
        <v>0.41154000000000002</v>
      </c>
      <c r="V111" s="10">
        <v>0.25807999999999998</v>
      </c>
      <c r="W111" s="5">
        <v>1418.8</v>
      </c>
      <c r="X111" s="5">
        <v>6595.7</v>
      </c>
      <c r="Y111" s="5"/>
      <c r="Z111" s="5"/>
      <c r="AA111" s="35">
        <v>98668.11</v>
      </c>
      <c r="AB111" s="35">
        <v>171635.5</v>
      </c>
      <c r="AC111" s="33"/>
      <c r="AD111" s="33">
        <v>10592.85</v>
      </c>
      <c r="AE111" s="35"/>
      <c r="AF111" s="17" t="s">
        <v>32</v>
      </c>
      <c r="AG111" s="41">
        <f>IFERROR(IF(Dados_SA[[#This Row],[DEMANDA_REGISTRADA_P]]/Dados_SA[[#This Row],[DEMANDA_CONTRATADA_P]]=0,"",Dados_SA[[#This Row],[DEMANDA_REGISTRADA_P]]/Dados_SA[[#This Row],[DEMANDA_CONTRATADA_P]]),"")</f>
        <v>0.81820000000000004</v>
      </c>
      <c r="AH111" s="41">
        <f>IFERROR(IF(Dados_SA[[#This Row],[DEMANDA_REGISTRADA_FP]]/Dados_SA[[#This Row],[DEMANDA_CONTRATADA_FP]]=0,"",Dados_SA[[#This Row],[DEMANDA_REGISTRADA_FP]]/Dados_SA[[#This Row],[DEMANDA_CONTRATADA_FP]]),"")</f>
        <v>0.81820000000000004</v>
      </c>
      <c r="AI111" s="42">
        <f>IF(Dados_SA[[#This Row],[% Demanda contratada P]]&gt;105%,1,0)</f>
        <v>0</v>
      </c>
      <c r="AJ111" s="42">
        <f>IF(Dados_SA[[#This Row],[% Demanda contratada FP]]&gt;105%,1,0)</f>
        <v>0</v>
      </c>
      <c r="AK111" s="41">
        <f>Dados_SA[[#This Row],[Acrescimo_Bamar]]/Dados_SA[[#This Row],[Valor da Fatura]]</f>
        <v>0</v>
      </c>
      <c r="AL111" s="41">
        <f>Dados_SA[[#This Row],[Acrescimo_Bverm1]]/Dados_SA[[#This Row],[Valor da Fatura]]</f>
        <v>0.10735839573698128</v>
      </c>
      <c r="AM111" s="41">
        <f>Dados_SA[[#This Row],[Acrescimo_Bverm2]]/Dados_SA[[#This Row],[Valor da Fatura]]</f>
        <v>0</v>
      </c>
      <c r="AN111" s="36">
        <v>1.05</v>
      </c>
      <c r="AO111" s="36">
        <v>1</v>
      </c>
      <c r="AP111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11" s="65">
        <f>IF(Dados_SA[[#This Row],[Exced]]&lt;&gt;"",1,0)</f>
        <v>0</v>
      </c>
      <c r="AR111" s="65">
        <f>AVERAGEIFS(Dados_SA[DEMANDA_REGISTRADA_P],Dados_SA[ANO],2015,Dados_SA[UC],"SBC")</f>
        <v>410.04999999999995</v>
      </c>
      <c r="AS111" s="65">
        <f>AVERAGEIFS(Dados_SA[DEMANDA_REGISTRADA_FP],Dados_SA[ANO],2015,Dados_SA[UC],"SBC")</f>
        <v>410.82499999999999</v>
      </c>
      <c r="AT111" s="65">
        <v>157561.57999999999</v>
      </c>
    </row>
    <row r="112" spans="1:46" ht="15.75" customHeight="1" x14ac:dyDescent="0.2">
      <c r="A112" s="40" t="s">
        <v>67</v>
      </c>
      <c r="B112" s="15">
        <v>43111</v>
      </c>
      <c r="C112" s="5">
        <v>2018</v>
      </c>
      <c r="D112" s="5">
        <v>11</v>
      </c>
      <c r="E112" s="5">
        <v>29</v>
      </c>
      <c r="F112" s="5">
        <v>8.5000000000000006E-3</v>
      </c>
      <c r="G112" s="6">
        <v>3.9399999999999998E-2</v>
      </c>
      <c r="H112" s="5">
        <v>0.18</v>
      </c>
      <c r="I112" s="5">
        <v>500</v>
      </c>
      <c r="J112" s="5">
        <v>500</v>
      </c>
      <c r="K112" s="5">
        <v>456.1</v>
      </c>
      <c r="L112" s="7">
        <v>415</v>
      </c>
      <c r="M112" s="5"/>
      <c r="N112" s="9"/>
      <c r="O112" s="9">
        <v>11.17</v>
      </c>
      <c r="P112" s="5"/>
      <c r="Q112" s="5">
        <v>20078.099999999999</v>
      </c>
      <c r="R112" s="5">
        <v>136410.6</v>
      </c>
      <c r="S112" s="10">
        <v>0.47503000000000001</v>
      </c>
      <c r="T112" s="10">
        <v>5.7279999999999998E-2</v>
      </c>
      <c r="U112" s="10">
        <v>0.41154000000000002</v>
      </c>
      <c r="V112" s="10">
        <v>0.25807999999999998</v>
      </c>
      <c r="W112" s="5">
        <v>1466.9</v>
      </c>
      <c r="X112" s="5">
        <v>6342.4</v>
      </c>
      <c r="Y112" s="5"/>
      <c r="Z112" s="5"/>
      <c r="AA112" s="35">
        <v>87138.49</v>
      </c>
      <c r="AB112" s="35">
        <v>156488.70000000001</v>
      </c>
      <c r="AC112" s="33">
        <v>857.78</v>
      </c>
      <c r="AD112" s="33">
        <v>5359.51</v>
      </c>
      <c r="AE112" s="35"/>
      <c r="AF112" s="17" t="s">
        <v>32</v>
      </c>
      <c r="AG112" s="41">
        <f>IFERROR(IF(Dados_SA[[#This Row],[DEMANDA_REGISTRADA_P]]/Dados_SA[[#This Row],[DEMANDA_CONTRATADA_P]]=0,"",Dados_SA[[#This Row],[DEMANDA_REGISTRADA_P]]/Dados_SA[[#This Row],[DEMANDA_CONTRATADA_P]]),"")</f>
        <v>0.91220000000000001</v>
      </c>
      <c r="AH112" s="41">
        <f>IFERROR(IF(Dados_SA[[#This Row],[DEMANDA_REGISTRADA_FP]]/Dados_SA[[#This Row],[DEMANDA_CONTRATADA_FP]]=0,"",Dados_SA[[#This Row],[DEMANDA_REGISTRADA_FP]]/Dados_SA[[#This Row],[DEMANDA_CONTRATADA_FP]]),"")</f>
        <v>0.83</v>
      </c>
      <c r="AI112" s="42">
        <f>IF(Dados_SA[[#This Row],[% Demanda contratada P]]&gt;105%,1,0)</f>
        <v>0</v>
      </c>
      <c r="AJ112" s="42">
        <f>IF(Dados_SA[[#This Row],[% Demanda contratada FP]]&gt;105%,1,0)</f>
        <v>0</v>
      </c>
      <c r="AK112" s="41">
        <f>Dados_SA[[#This Row],[Acrescimo_Bamar]]/Dados_SA[[#This Row],[Valor da Fatura]]</f>
        <v>9.8438703723234128E-3</v>
      </c>
      <c r="AL112" s="41">
        <f>Dados_SA[[#This Row],[Acrescimo_Bverm1]]/Dados_SA[[#This Row],[Valor da Fatura]]</f>
        <v>6.1505656111323477E-2</v>
      </c>
      <c r="AM112" s="41">
        <f>Dados_SA[[#This Row],[Acrescimo_Bverm2]]/Dados_SA[[#This Row],[Valor da Fatura]]</f>
        <v>0</v>
      </c>
      <c r="AN112" s="36">
        <v>1.05</v>
      </c>
      <c r="AO112" s="36">
        <v>1</v>
      </c>
      <c r="AP112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12" s="65">
        <f>IF(Dados_SA[[#This Row],[Exced]]&lt;&gt;"",1,0)</f>
        <v>0</v>
      </c>
      <c r="AR112" s="65">
        <f>AVERAGEIFS(Dados_SA[DEMANDA_REGISTRADA_P],Dados_SA[ANO],2015,Dados_SA[UC],"SBC")</f>
        <v>410.04999999999995</v>
      </c>
      <c r="AS112" s="65">
        <f>AVERAGEIFS(Dados_SA[DEMANDA_REGISTRADA_FP],Dados_SA[ANO],2015,Dados_SA[UC],"SBC")</f>
        <v>410.82499999999999</v>
      </c>
      <c r="AT112" s="65">
        <v>157561.57999999999</v>
      </c>
    </row>
    <row r="113" spans="1:46" ht="15.75" customHeight="1" x14ac:dyDescent="0.2">
      <c r="A113" s="40" t="s">
        <v>67</v>
      </c>
      <c r="B113" s="15">
        <v>43112</v>
      </c>
      <c r="C113" s="5">
        <v>2018</v>
      </c>
      <c r="D113" s="5">
        <v>12</v>
      </c>
      <c r="E113" s="5">
        <v>29</v>
      </c>
      <c r="F113" s="5">
        <v>1.0800000000000001E-2</v>
      </c>
      <c r="G113" s="6">
        <v>4.9599999999999998E-2</v>
      </c>
      <c r="H113" s="5">
        <v>0.18</v>
      </c>
      <c r="I113" s="5">
        <v>500</v>
      </c>
      <c r="J113" s="5">
        <v>500</v>
      </c>
      <c r="K113" s="5">
        <v>487</v>
      </c>
      <c r="L113" s="7">
        <v>447.7</v>
      </c>
      <c r="M113" s="5"/>
      <c r="N113" s="9"/>
      <c r="O113" s="9">
        <v>11.17</v>
      </c>
      <c r="P113" s="5"/>
      <c r="Q113" s="5">
        <v>8301.9</v>
      </c>
      <c r="R113" s="5">
        <v>149056.5</v>
      </c>
      <c r="S113" s="10">
        <v>0.47503000000000001</v>
      </c>
      <c r="T113" s="10">
        <v>5.7279999999999998E-2</v>
      </c>
      <c r="U113" s="10">
        <v>0.41154000000000002</v>
      </c>
      <c r="V113" s="10">
        <v>0.25807999999999998</v>
      </c>
      <c r="W113" s="5">
        <v>1481.1</v>
      </c>
      <c r="X113" s="5">
        <v>6830.3</v>
      </c>
      <c r="Y113" s="5"/>
      <c r="Z113" s="5"/>
      <c r="AA113" s="35">
        <v>87179.91</v>
      </c>
      <c r="AB113" s="35">
        <v>157358.39999999999</v>
      </c>
      <c r="AC113" s="33">
        <v>1163.7</v>
      </c>
      <c r="AD113" s="33"/>
      <c r="AE113" s="35"/>
      <c r="AF113" s="17" t="s">
        <v>32</v>
      </c>
      <c r="AG113" s="41">
        <f>IFERROR(IF(Dados_SA[[#This Row],[DEMANDA_REGISTRADA_P]]/Dados_SA[[#This Row],[DEMANDA_CONTRATADA_P]]=0,"",Dados_SA[[#This Row],[DEMANDA_REGISTRADA_P]]/Dados_SA[[#This Row],[DEMANDA_CONTRATADA_P]]),"")</f>
        <v>0.97399999999999998</v>
      </c>
      <c r="AH113" s="41">
        <f>IFERROR(IF(Dados_SA[[#This Row],[DEMANDA_REGISTRADA_FP]]/Dados_SA[[#This Row],[DEMANDA_CONTRATADA_FP]]=0,"",Dados_SA[[#This Row],[DEMANDA_REGISTRADA_FP]]/Dados_SA[[#This Row],[DEMANDA_CONTRATADA_FP]]),"")</f>
        <v>0.89539999999999997</v>
      </c>
      <c r="AI113" s="42">
        <f>IF(Dados_SA[[#This Row],[% Demanda contratada P]]&gt;105%,1,0)</f>
        <v>0</v>
      </c>
      <c r="AJ113" s="42">
        <f>IF(Dados_SA[[#This Row],[% Demanda contratada FP]]&gt;105%,1,0)</f>
        <v>0</v>
      </c>
      <c r="AK113" s="41">
        <f>Dados_SA[[#This Row],[Acrescimo_Bamar]]/Dados_SA[[#This Row],[Valor da Fatura]]</f>
        <v>1.3348258790356631E-2</v>
      </c>
      <c r="AL113" s="41">
        <f>Dados_SA[[#This Row],[Acrescimo_Bverm1]]/Dados_SA[[#This Row],[Valor da Fatura]]</f>
        <v>0</v>
      </c>
      <c r="AM113" s="41">
        <f>Dados_SA[[#This Row],[Acrescimo_Bverm2]]/Dados_SA[[#This Row],[Valor da Fatura]]</f>
        <v>0</v>
      </c>
      <c r="AN113" s="36">
        <v>1.05</v>
      </c>
      <c r="AO113" s="36">
        <v>1</v>
      </c>
      <c r="AP113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13" s="65">
        <f>IF(Dados_SA[[#This Row],[Exced]]&lt;&gt;"",1,0)</f>
        <v>0</v>
      </c>
      <c r="AR113" s="65">
        <f>AVERAGEIFS(Dados_SA[DEMANDA_REGISTRADA_P],Dados_SA[ANO],2015,Dados_SA[UC],"SBC")</f>
        <v>410.04999999999995</v>
      </c>
      <c r="AS113" s="65">
        <f>AVERAGEIFS(Dados_SA[DEMANDA_REGISTRADA_FP],Dados_SA[ANO],2015,Dados_SA[UC],"SBC")</f>
        <v>410.82499999999999</v>
      </c>
      <c r="AT113" s="65">
        <v>157561.57999999999</v>
      </c>
    </row>
    <row r="114" spans="1:46" ht="15.75" customHeight="1" x14ac:dyDescent="0.2">
      <c r="A114" s="40" t="s">
        <v>67</v>
      </c>
      <c r="B114" s="15">
        <v>43466</v>
      </c>
      <c r="C114" s="5">
        <v>2019</v>
      </c>
      <c r="D114" s="5">
        <v>1</v>
      </c>
      <c r="E114" s="5">
        <v>32</v>
      </c>
      <c r="F114" s="5">
        <v>9.5999999999999992E-3</v>
      </c>
      <c r="G114" s="6">
        <v>4.3999999999999997E-2</v>
      </c>
      <c r="H114" s="5">
        <v>0.18</v>
      </c>
      <c r="I114" s="5">
        <v>500</v>
      </c>
      <c r="J114" s="5">
        <v>500</v>
      </c>
      <c r="K114" s="5">
        <v>462</v>
      </c>
      <c r="L114" s="7">
        <v>461.2</v>
      </c>
      <c r="M114" s="5"/>
      <c r="N114" s="9"/>
      <c r="O114" s="9">
        <v>11.17</v>
      </c>
      <c r="P114" s="5"/>
      <c r="Q114" s="5">
        <v>16075.9</v>
      </c>
      <c r="R114" s="5">
        <v>165868.9</v>
      </c>
      <c r="S114" s="10">
        <v>0.47503000000000001</v>
      </c>
      <c r="T114" s="10">
        <v>5.7279999999999998E-2</v>
      </c>
      <c r="U114" s="10">
        <v>0.41154000000000002</v>
      </c>
      <c r="V114" s="10">
        <v>0.25807999999999998</v>
      </c>
      <c r="W114" s="5">
        <v>2059.6999999999998</v>
      </c>
      <c r="X114" s="5">
        <f>9596.6+265.7</f>
        <v>9862.3000000000011</v>
      </c>
      <c r="Y114" s="5"/>
      <c r="Z114" s="5"/>
      <c r="AA114" s="35">
        <v>88653.99</v>
      </c>
      <c r="AB114" s="35">
        <f t="shared" ref="AB114:AB125" si="7">Q114+R114</f>
        <v>181944.8</v>
      </c>
      <c r="AC114" s="33">
        <v>0</v>
      </c>
      <c r="AD114" s="33">
        <v>0</v>
      </c>
      <c r="AE114" s="35">
        <v>0</v>
      </c>
      <c r="AF114" s="17" t="s">
        <v>32</v>
      </c>
      <c r="AG114" s="41">
        <f>IFERROR(IF(Dados_SA[[#This Row],[DEMANDA_REGISTRADA_P]]/Dados_SA[[#This Row],[DEMANDA_CONTRATADA_P]]=0,"",Dados_SA[[#This Row],[DEMANDA_REGISTRADA_P]]/Dados_SA[[#This Row],[DEMANDA_CONTRATADA_P]]),"")</f>
        <v>0.92400000000000004</v>
      </c>
      <c r="AH114" s="41">
        <f>IFERROR(IF(Dados_SA[[#This Row],[DEMANDA_REGISTRADA_FP]]/Dados_SA[[#This Row],[DEMANDA_CONTRATADA_FP]]=0,"",Dados_SA[[#This Row],[DEMANDA_REGISTRADA_FP]]/Dados_SA[[#This Row],[DEMANDA_CONTRATADA_FP]]),"")</f>
        <v>0.9224</v>
      </c>
      <c r="AI114" s="42">
        <f>IF(Dados_SA[[#This Row],[% Demanda contratada P]]&gt;105%,1,0)</f>
        <v>0</v>
      </c>
      <c r="AJ114" s="42">
        <f>IF(Dados_SA[[#This Row],[% Demanda contratada FP]]&gt;105%,1,0)</f>
        <v>0</v>
      </c>
      <c r="AK114" s="41">
        <f>Dados_SA[[#This Row],[Acrescimo_Bamar]]/Dados_SA[[#This Row],[Valor da Fatura]]</f>
        <v>0</v>
      </c>
      <c r="AL114" s="41">
        <f>Dados_SA[[#This Row],[Acrescimo_Bverm1]]/Dados_SA[[#This Row],[Valor da Fatura]]</f>
        <v>0</v>
      </c>
      <c r="AM114" s="41">
        <f>Dados_SA[[#This Row],[Acrescimo_Bverm2]]/Dados_SA[[#This Row],[Valor da Fatura]]</f>
        <v>0</v>
      </c>
      <c r="AN114" s="36">
        <v>1.05</v>
      </c>
      <c r="AO114" s="36">
        <v>1</v>
      </c>
      <c r="AP114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14" s="65">
        <f>IF(Dados_SA[[#This Row],[Exced]]&lt;&gt;"",1,0)</f>
        <v>0</v>
      </c>
      <c r="AR114" s="65">
        <f>AVERAGEIFS(Dados_SA[DEMANDA_REGISTRADA_P],Dados_SA[ANO],2015,Dados_SA[UC],"SBC")</f>
        <v>410.04999999999995</v>
      </c>
      <c r="AS114" s="65">
        <f>AVERAGEIFS(Dados_SA[DEMANDA_REGISTRADA_FP],Dados_SA[ANO],2015,Dados_SA[UC],"SBC")</f>
        <v>410.82499999999999</v>
      </c>
      <c r="AT114" s="65">
        <v>157561.57999999999</v>
      </c>
    </row>
    <row r="115" spans="1:46" ht="15.75" customHeight="1" x14ac:dyDescent="0.2">
      <c r="A115" s="40" t="s">
        <v>67</v>
      </c>
      <c r="B115" s="15">
        <v>43497</v>
      </c>
      <c r="C115" s="5">
        <v>2019</v>
      </c>
      <c r="D115" s="5">
        <v>2</v>
      </c>
      <c r="E115" s="5">
        <v>30</v>
      </c>
      <c r="F115" s="5">
        <v>1.11E-2</v>
      </c>
      <c r="G115" s="6">
        <v>5.0999999999999997E-2</v>
      </c>
      <c r="H115" s="5">
        <v>0.18</v>
      </c>
      <c r="I115" s="5">
        <v>500</v>
      </c>
      <c r="J115" s="5">
        <v>500</v>
      </c>
      <c r="K115" s="5">
        <v>485.5</v>
      </c>
      <c r="L115" s="7">
        <v>468.7</v>
      </c>
      <c r="M115" s="5"/>
      <c r="N115" s="9"/>
      <c r="O115" s="9">
        <v>11.17</v>
      </c>
      <c r="P115" s="5"/>
      <c r="Q115" s="5">
        <v>19174.5</v>
      </c>
      <c r="R115" s="5">
        <v>173086</v>
      </c>
      <c r="S115" s="10">
        <v>0.47503000000000001</v>
      </c>
      <c r="T115" s="10">
        <v>5.7279999999999998E-2</v>
      </c>
      <c r="U115" s="10">
        <v>0.41154000000000002</v>
      </c>
      <c r="V115" s="10">
        <v>0.25807999999999998</v>
      </c>
      <c r="W115" s="5">
        <v>2365.6999999999998</v>
      </c>
      <c r="X115" s="5">
        <f>9968.5+237.7</f>
        <v>10206.200000000001</v>
      </c>
      <c r="Y115" s="5"/>
      <c r="Z115" s="5"/>
      <c r="AA115" s="35">
        <v>96043.78</v>
      </c>
      <c r="AB115" s="35">
        <f t="shared" si="7"/>
        <v>192260.5</v>
      </c>
      <c r="AC115" s="33">
        <v>0</v>
      </c>
      <c r="AD115" s="33">
        <v>0</v>
      </c>
      <c r="AE115" s="35">
        <v>0</v>
      </c>
      <c r="AF115" s="17" t="s">
        <v>32</v>
      </c>
      <c r="AG115" s="41">
        <f>IFERROR(IF(Dados_SA[[#This Row],[DEMANDA_REGISTRADA_P]]/Dados_SA[[#This Row],[DEMANDA_CONTRATADA_P]]=0,"",Dados_SA[[#This Row],[DEMANDA_REGISTRADA_P]]/Dados_SA[[#This Row],[DEMANDA_CONTRATADA_P]]),"")</f>
        <v>0.97099999999999997</v>
      </c>
      <c r="AH115" s="41">
        <f>IFERROR(IF(Dados_SA[[#This Row],[DEMANDA_REGISTRADA_FP]]/Dados_SA[[#This Row],[DEMANDA_CONTRATADA_FP]]=0,"",Dados_SA[[#This Row],[DEMANDA_REGISTRADA_FP]]/Dados_SA[[#This Row],[DEMANDA_CONTRATADA_FP]]),"")</f>
        <v>0.93740000000000001</v>
      </c>
      <c r="AI115" s="42">
        <f>IF(Dados_SA[[#This Row],[% Demanda contratada P]]&gt;105%,1,0)</f>
        <v>0</v>
      </c>
      <c r="AJ115" s="42">
        <f>IF(Dados_SA[[#This Row],[% Demanda contratada FP]]&gt;105%,1,0)</f>
        <v>0</v>
      </c>
      <c r="AK115" s="41">
        <f>Dados_SA[[#This Row],[Acrescimo_Bamar]]/Dados_SA[[#This Row],[Valor da Fatura]]</f>
        <v>0</v>
      </c>
      <c r="AL115" s="41">
        <f>Dados_SA[[#This Row],[Acrescimo_Bverm1]]/Dados_SA[[#This Row],[Valor da Fatura]]</f>
        <v>0</v>
      </c>
      <c r="AM115" s="41">
        <f>Dados_SA[[#This Row],[Acrescimo_Bverm2]]/Dados_SA[[#This Row],[Valor da Fatura]]</f>
        <v>0</v>
      </c>
      <c r="AN115" s="36">
        <v>1.05</v>
      </c>
      <c r="AO115" s="36">
        <v>1</v>
      </c>
      <c r="AP115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15" s="65">
        <f>IF(Dados_SA[[#This Row],[Exced]]&lt;&gt;"",1,0)</f>
        <v>0</v>
      </c>
      <c r="AR115" s="65">
        <f>AVERAGEIFS(Dados_SA[DEMANDA_REGISTRADA_P],Dados_SA[ANO],2015,Dados_SA[UC],"SBC")</f>
        <v>410.04999999999995</v>
      </c>
      <c r="AS115" s="65">
        <f>AVERAGEIFS(Dados_SA[DEMANDA_REGISTRADA_FP],Dados_SA[ANO],2015,Dados_SA[UC],"SBC")</f>
        <v>410.82499999999999</v>
      </c>
      <c r="AT115" s="65">
        <v>157561.57999999999</v>
      </c>
    </row>
    <row r="116" spans="1:46" ht="15.75" customHeight="1" x14ac:dyDescent="0.2">
      <c r="A116" s="40" t="s">
        <v>67</v>
      </c>
      <c r="B116" s="15">
        <v>43525</v>
      </c>
      <c r="C116" s="5">
        <v>2019</v>
      </c>
      <c r="D116" s="5">
        <v>3</v>
      </c>
      <c r="E116" s="5">
        <v>30</v>
      </c>
      <c r="F116" s="5">
        <v>1.0200000000000001E-2</v>
      </c>
      <c r="G116" s="6">
        <v>4.7199999999999999E-2</v>
      </c>
      <c r="H116" s="5">
        <v>0.18</v>
      </c>
      <c r="I116" s="5">
        <v>500</v>
      </c>
      <c r="J116" s="5">
        <v>500</v>
      </c>
      <c r="K116" s="5">
        <v>508.2</v>
      </c>
      <c r="L116" s="7">
        <v>526.70000000000005</v>
      </c>
      <c r="M116" s="5"/>
      <c r="N116" s="9"/>
      <c r="O116" s="9">
        <v>11.17</v>
      </c>
      <c r="P116" s="5"/>
      <c r="Q116" s="5">
        <v>22883.9</v>
      </c>
      <c r="R116" s="5">
        <v>173576.5</v>
      </c>
      <c r="S116" s="10">
        <v>0.47503000000000001</v>
      </c>
      <c r="T116" s="10">
        <v>5.7279999999999998E-2</v>
      </c>
      <c r="U116" s="10">
        <v>0.41154000000000002</v>
      </c>
      <c r="V116" s="10">
        <v>0.25807999999999998</v>
      </c>
      <c r="W116" s="5">
        <v>2057</v>
      </c>
      <c r="X116" s="5">
        <f>9460.5+139.9</f>
        <v>9600.4</v>
      </c>
      <c r="Y116" s="5"/>
      <c r="Z116" s="5"/>
      <c r="AA116" s="35">
        <v>100846.46</v>
      </c>
      <c r="AB116" s="35">
        <f t="shared" si="7"/>
        <v>196460.4</v>
      </c>
      <c r="AC116" s="33">
        <v>0</v>
      </c>
      <c r="AD116" s="33">
        <v>0</v>
      </c>
      <c r="AE116" s="35">
        <v>0</v>
      </c>
      <c r="AF116" s="17" t="s">
        <v>32</v>
      </c>
      <c r="AG116" s="41">
        <f>IFERROR(IF(Dados_SA[[#This Row],[DEMANDA_REGISTRADA_P]]/Dados_SA[[#This Row],[DEMANDA_CONTRATADA_P]]=0,"",Dados_SA[[#This Row],[DEMANDA_REGISTRADA_P]]/Dados_SA[[#This Row],[DEMANDA_CONTRATADA_P]]),"")</f>
        <v>1.0164</v>
      </c>
      <c r="AH116" s="41">
        <f>IFERROR(IF(Dados_SA[[#This Row],[DEMANDA_REGISTRADA_FP]]/Dados_SA[[#This Row],[DEMANDA_CONTRATADA_FP]]=0,"",Dados_SA[[#This Row],[DEMANDA_REGISTRADA_FP]]/Dados_SA[[#This Row],[DEMANDA_CONTRATADA_FP]]),"")</f>
        <v>1.0534000000000001</v>
      </c>
      <c r="AI116" s="42">
        <f>IF(Dados_SA[[#This Row],[% Demanda contratada P]]&gt;105%,1,0)</f>
        <v>0</v>
      </c>
      <c r="AJ116" s="42">
        <f>IF(Dados_SA[[#This Row],[% Demanda contratada FP]]&gt;105%,1,0)</f>
        <v>1</v>
      </c>
      <c r="AK116" s="41">
        <f>Dados_SA[[#This Row],[Acrescimo_Bamar]]/Dados_SA[[#This Row],[Valor da Fatura]]</f>
        <v>0</v>
      </c>
      <c r="AL116" s="41">
        <f>Dados_SA[[#This Row],[Acrescimo_Bverm1]]/Dados_SA[[#This Row],[Valor da Fatura]]</f>
        <v>0</v>
      </c>
      <c r="AM116" s="41">
        <f>Dados_SA[[#This Row],[Acrescimo_Bverm2]]/Dados_SA[[#This Row],[Valor da Fatura]]</f>
        <v>0</v>
      </c>
      <c r="AN116" s="36">
        <v>1.05</v>
      </c>
      <c r="AO116" s="36">
        <v>1</v>
      </c>
      <c r="AP116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>FP</v>
      </c>
      <c r="AQ116" s="65">
        <f>IF(Dados_SA[[#This Row],[Exced]]&lt;&gt;"",1,0)</f>
        <v>1</v>
      </c>
      <c r="AR116" s="65">
        <f>AVERAGEIFS(Dados_SA[DEMANDA_REGISTRADA_P],Dados_SA[ANO],2015,Dados_SA[UC],"SBC")</f>
        <v>410.04999999999995</v>
      </c>
      <c r="AS116" s="65">
        <f>AVERAGEIFS(Dados_SA[DEMANDA_REGISTRADA_FP],Dados_SA[ANO],2015,Dados_SA[UC],"SBC")</f>
        <v>410.82499999999999</v>
      </c>
      <c r="AT116" s="65">
        <v>157561.57999999999</v>
      </c>
    </row>
    <row r="117" spans="1:46" ht="15.75" customHeight="1" x14ac:dyDescent="0.2">
      <c r="A117" s="40" t="s">
        <v>67</v>
      </c>
      <c r="B117" s="15">
        <v>43556</v>
      </c>
      <c r="C117" s="5">
        <v>2019</v>
      </c>
      <c r="D117" s="5">
        <v>4</v>
      </c>
      <c r="E117" s="5">
        <v>31</v>
      </c>
      <c r="F117" s="5">
        <v>7.3000000000000001E-3</v>
      </c>
      <c r="G117" s="6">
        <v>3.3399999999999999E-2</v>
      </c>
      <c r="H117" s="5">
        <v>0.18</v>
      </c>
      <c r="I117" s="5">
        <v>500</v>
      </c>
      <c r="J117" s="5">
        <v>500</v>
      </c>
      <c r="K117" s="5">
        <v>513.20000000000005</v>
      </c>
      <c r="L117" s="7">
        <v>514.1</v>
      </c>
      <c r="M117" s="5"/>
      <c r="N117" s="9"/>
      <c r="O117" s="9">
        <v>11.17</v>
      </c>
      <c r="P117" s="5"/>
      <c r="Q117" s="5">
        <v>23540.400000000001</v>
      </c>
      <c r="R117" s="5">
        <v>177302.6</v>
      </c>
      <c r="S117" s="10">
        <v>0.47503000000000001</v>
      </c>
      <c r="T117" s="10">
        <v>5.7279999999999998E-2</v>
      </c>
      <c r="U117" s="10">
        <v>0.41154000000000002</v>
      </c>
      <c r="V117" s="10">
        <v>0.25807999999999998</v>
      </c>
      <c r="W117" s="5">
        <v>1793.8</v>
      </c>
      <c r="X117" s="5">
        <f>7693.4+117.4</f>
        <v>7810.7999999999993</v>
      </c>
      <c r="Y117" s="5"/>
      <c r="Z117" s="5"/>
      <c r="AA117" s="35">
        <v>99728.18</v>
      </c>
      <c r="AB117" s="35">
        <f t="shared" si="7"/>
        <v>200843</v>
      </c>
      <c r="AC117" s="33">
        <v>0</v>
      </c>
      <c r="AD117" s="33">
        <v>0</v>
      </c>
      <c r="AE117" s="35">
        <v>0</v>
      </c>
      <c r="AF117" s="17" t="s">
        <v>32</v>
      </c>
      <c r="AG117" s="41">
        <f>IFERROR(IF(Dados_SA[[#This Row],[DEMANDA_REGISTRADA_P]]/Dados_SA[[#This Row],[DEMANDA_CONTRATADA_P]]=0,"",Dados_SA[[#This Row],[DEMANDA_REGISTRADA_P]]/Dados_SA[[#This Row],[DEMANDA_CONTRATADA_P]]),"")</f>
        <v>1.0264000000000002</v>
      </c>
      <c r="AH117" s="41">
        <f>IFERROR(IF(Dados_SA[[#This Row],[DEMANDA_REGISTRADA_FP]]/Dados_SA[[#This Row],[DEMANDA_CONTRATADA_FP]]=0,"",Dados_SA[[#This Row],[DEMANDA_REGISTRADA_FP]]/Dados_SA[[#This Row],[DEMANDA_CONTRATADA_FP]]),"")</f>
        <v>1.0282</v>
      </c>
      <c r="AI117" s="42">
        <f>IF(Dados_SA[[#This Row],[% Demanda contratada P]]&gt;105%,1,0)</f>
        <v>0</v>
      </c>
      <c r="AJ117" s="42">
        <f>IF(Dados_SA[[#This Row],[% Demanda contratada FP]]&gt;105%,1,0)</f>
        <v>0</v>
      </c>
      <c r="AK117" s="41">
        <f>Dados_SA[[#This Row],[Acrescimo_Bamar]]/Dados_SA[[#This Row],[Valor da Fatura]]</f>
        <v>0</v>
      </c>
      <c r="AL117" s="41">
        <f>Dados_SA[[#This Row],[Acrescimo_Bverm1]]/Dados_SA[[#This Row],[Valor da Fatura]]</f>
        <v>0</v>
      </c>
      <c r="AM117" s="41">
        <f>Dados_SA[[#This Row],[Acrescimo_Bverm2]]/Dados_SA[[#This Row],[Valor da Fatura]]</f>
        <v>0</v>
      </c>
      <c r="AN117" s="36">
        <v>1.05</v>
      </c>
      <c r="AO117" s="36">
        <v>1</v>
      </c>
      <c r="AP117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17" s="65">
        <f>IF(Dados_SA[[#This Row],[Exced]]&lt;&gt;"",1,0)</f>
        <v>0</v>
      </c>
      <c r="AR117" s="65">
        <f>AVERAGEIFS(Dados_SA[DEMANDA_REGISTRADA_P],Dados_SA[ANO],2015,Dados_SA[UC],"SBC")</f>
        <v>410.04999999999995</v>
      </c>
      <c r="AS117" s="65">
        <f>AVERAGEIFS(Dados_SA[DEMANDA_REGISTRADA_FP],Dados_SA[ANO],2015,Dados_SA[UC],"SBC")</f>
        <v>410.82499999999999</v>
      </c>
      <c r="AT117" s="65">
        <v>157561.57999999999</v>
      </c>
    </row>
    <row r="118" spans="1:46" ht="15.75" customHeight="1" x14ac:dyDescent="0.2">
      <c r="A118" s="40" t="s">
        <v>67</v>
      </c>
      <c r="B118" s="15">
        <v>43586</v>
      </c>
      <c r="C118" s="5">
        <v>2019</v>
      </c>
      <c r="D118" s="5">
        <v>5</v>
      </c>
      <c r="E118" s="5">
        <v>30</v>
      </c>
      <c r="F118" s="5">
        <v>8.5000000000000006E-3</v>
      </c>
      <c r="G118" s="6">
        <v>3.9100000000000003E-2</v>
      </c>
      <c r="H118" s="5">
        <v>0.18</v>
      </c>
      <c r="I118" s="5">
        <v>500</v>
      </c>
      <c r="J118" s="5">
        <v>500</v>
      </c>
      <c r="K118" s="5">
        <v>462.8</v>
      </c>
      <c r="L118" s="7">
        <v>436</v>
      </c>
      <c r="M118" s="5"/>
      <c r="N118" s="9"/>
      <c r="O118" s="9">
        <v>11.17</v>
      </c>
      <c r="P118" s="5"/>
      <c r="Q118" s="5">
        <v>21307</v>
      </c>
      <c r="R118" s="5">
        <v>164498.70000000001</v>
      </c>
      <c r="S118" s="10">
        <v>0.47503000000000001</v>
      </c>
      <c r="T118" s="10">
        <v>5.7279999999999998E-2</v>
      </c>
      <c r="U118" s="10">
        <v>0.41154000000000002</v>
      </c>
      <c r="V118" s="10">
        <v>0.25807999999999998</v>
      </c>
      <c r="W118" s="5">
        <v>1674.1</v>
      </c>
      <c r="X118" s="5">
        <f>6116.5+129.2</f>
        <v>6245.7</v>
      </c>
      <c r="Y118" s="5"/>
      <c r="Z118" s="5"/>
      <c r="AA118" s="35">
        <v>93999.25</v>
      </c>
      <c r="AB118" s="35">
        <f t="shared" si="7"/>
        <v>185805.7</v>
      </c>
      <c r="AC118" s="33">
        <f>907.69+106.97</f>
        <v>1014.6600000000001</v>
      </c>
      <c r="AD118" s="33">
        <v>0</v>
      </c>
      <c r="AE118" s="35">
        <v>0</v>
      </c>
      <c r="AF118" s="17" t="s">
        <v>32</v>
      </c>
      <c r="AG118" s="41">
        <f>IFERROR(IF(Dados_SA[[#This Row],[DEMANDA_REGISTRADA_P]]/Dados_SA[[#This Row],[DEMANDA_CONTRATADA_P]]=0,"",Dados_SA[[#This Row],[DEMANDA_REGISTRADA_P]]/Dados_SA[[#This Row],[DEMANDA_CONTRATADA_P]]),"")</f>
        <v>0.92559999999999998</v>
      </c>
      <c r="AH118" s="41">
        <f>IFERROR(IF(Dados_SA[[#This Row],[DEMANDA_REGISTRADA_FP]]/Dados_SA[[#This Row],[DEMANDA_CONTRATADA_FP]]=0,"",Dados_SA[[#This Row],[DEMANDA_REGISTRADA_FP]]/Dados_SA[[#This Row],[DEMANDA_CONTRATADA_FP]]),"")</f>
        <v>0.872</v>
      </c>
      <c r="AI118" s="42">
        <f>IF(Dados_SA[[#This Row],[% Demanda contratada P]]&gt;105%,1,0)</f>
        <v>0</v>
      </c>
      <c r="AJ118" s="42">
        <f>IF(Dados_SA[[#This Row],[% Demanda contratada FP]]&gt;105%,1,0)</f>
        <v>0</v>
      </c>
      <c r="AK118" s="41">
        <f>Dados_SA[[#This Row],[Acrescimo_Bamar]]/Dados_SA[[#This Row],[Valor da Fatura]]</f>
        <v>1.0794341444213651E-2</v>
      </c>
      <c r="AL118" s="41">
        <f>Dados_SA[[#This Row],[Acrescimo_Bverm1]]/Dados_SA[[#This Row],[Valor da Fatura]]</f>
        <v>0</v>
      </c>
      <c r="AM118" s="41">
        <f>Dados_SA[[#This Row],[Acrescimo_Bverm2]]/Dados_SA[[#This Row],[Valor da Fatura]]</f>
        <v>0</v>
      </c>
      <c r="AN118" s="36">
        <v>1.05</v>
      </c>
      <c r="AO118" s="36">
        <v>1</v>
      </c>
      <c r="AP118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18" s="65">
        <f>IF(Dados_SA[[#This Row],[Exced]]&lt;&gt;"",1,0)</f>
        <v>0</v>
      </c>
      <c r="AR118" s="65">
        <f>AVERAGEIFS(Dados_SA[DEMANDA_REGISTRADA_P],Dados_SA[ANO],2015,Dados_SA[UC],"SBC")</f>
        <v>410.04999999999995</v>
      </c>
      <c r="AS118" s="65">
        <f>AVERAGEIFS(Dados_SA[DEMANDA_REGISTRADA_FP],Dados_SA[ANO],2015,Dados_SA[UC],"SBC")</f>
        <v>410.82499999999999</v>
      </c>
      <c r="AT118" s="65">
        <v>157561.57999999999</v>
      </c>
    </row>
    <row r="119" spans="1:46" ht="15.75" customHeight="1" x14ac:dyDescent="0.2">
      <c r="A119" s="40" t="s">
        <v>67</v>
      </c>
      <c r="B119" s="15">
        <v>43617</v>
      </c>
      <c r="C119" s="5">
        <v>2019</v>
      </c>
      <c r="D119" s="5">
        <v>6</v>
      </c>
      <c r="E119" s="5">
        <v>29</v>
      </c>
      <c r="F119" s="5">
        <v>9.1999999999999998E-3</v>
      </c>
      <c r="G119" s="6">
        <v>4.24E-2</v>
      </c>
      <c r="H119" s="5">
        <v>0.18</v>
      </c>
      <c r="I119" s="5">
        <v>500</v>
      </c>
      <c r="J119" s="5">
        <v>500</v>
      </c>
      <c r="K119" s="5">
        <v>363.7</v>
      </c>
      <c r="L119" s="7">
        <v>318.39999999999998</v>
      </c>
      <c r="M119" s="5"/>
      <c r="N119" s="9"/>
      <c r="O119" s="9">
        <v>11.17</v>
      </c>
      <c r="P119" s="5"/>
      <c r="Q119" s="5">
        <v>16746.7</v>
      </c>
      <c r="R119" s="5">
        <v>123970.1</v>
      </c>
      <c r="S119" s="10">
        <v>0.47503000000000001</v>
      </c>
      <c r="T119" s="10">
        <v>5.7279999999999998E-2</v>
      </c>
      <c r="U119" s="10">
        <v>0.41154000000000002</v>
      </c>
      <c r="V119" s="10">
        <v>0.25807999999999998</v>
      </c>
      <c r="W119" s="5">
        <v>455.3</v>
      </c>
      <c r="X119" s="5">
        <f>1766.3+350.7</f>
        <v>2117</v>
      </c>
      <c r="Y119" s="5"/>
      <c r="Z119" s="5"/>
      <c r="AA119" s="35">
        <v>73589.73</v>
      </c>
      <c r="AB119" s="35">
        <f t="shared" si="7"/>
        <v>140716.80000000002</v>
      </c>
      <c r="AC119" s="33">
        <f>875.76+113.07</f>
        <v>988.82999999999993</v>
      </c>
      <c r="AD119" s="33">
        <v>0</v>
      </c>
      <c r="AE119" s="35">
        <v>0</v>
      </c>
      <c r="AF119" s="17" t="s">
        <v>32</v>
      </c>
      <c r="AG119" s="41">
        <f>IFERROR(IF(Dados_SA[[#This Row],[DEMANDA_REGISTRADA_P]]/Dados_SA[[#This Row],[DEMANDA_CONTRATADA_P]]=0,"",Dados_SA[[#This Row],[DEMANDA_REGISTRADA_P]]/Dados_SA[[#This Row],[DEMANDA_CONTRATADA_P]]),"")</f>
        <v>0.72739999999999994</v>
      </c>
      <c r="AH119" s="41">
        <f>IFERROR(IF(Dados_SA[[#This Row],[DEMANDA_REGISTRADA_FP]]/Dados_SA[[#This Row],[DEMANDA_CONTRATADA_FP]]=0,"",Dados_SA[[#This Row],[DEMANDA_REGISTRADA_FP]]/Dados_SA[[#This Row],[DEMANDA_CONTRATADA_FP]]),"")</f>
        <v>0.63679999999999992</v>
      </c>
      <c r="AI119" s="42">
        <f>IF(Dados_SA[[#This Row],[% Demanda contratada P]]&gt;105%,1,0)</f>
        <v>0</v>
      </c>
      <c r="AJ119" s="42">
        <f>IF(Dados_SA[[#This Row],[% Demanda contratada FP]]&gt;105%,1,0)</f>
        <v>0</v>
      </c>
      <c r="AK119" s="41">
        <f>Dados_SA[[#This Row],[Acrescimo_Bamar]]/Dados_SA[[#This Row],[Valor da Fatura]]</f>
        <v>1.3437065199179287E-2</v>
      </c>
      <c r="AL119" s="41">
        <f>Dados_SA[[#This Row],[Acrescimo_Bverm1]]/Dados_SA[[#This Row],[Valor da Fatura]]</f>
        <v>0</v>
      </c>
      <c r="AM119" s="41">
        <f>Dados_SA[[#This Row],[Acrescimo_Bverm2]]/Dados_SA[[#This Row],[Valor da Fatura]]</f>
        <v>0</v>
      </c>
      <c r="AN119" s="36">
        <v>1.05</v>
      </c>
      <c r="AO119" s="36">
        <v>1</v>
      </c>
      <c r="AP119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19" s="65">
        <f>IF(Dados_SA[[#This Row],[Exced]]&lt;&gt;"",1,0)</f>
        <v>0</v>
      </c>
      <c r="AR119" s="65">
        <f>AVERAGEIFS(Dados_SA[DEMANDA_REGISTRADA_P],Dados_SA[ANO],2015,Dados_SA[UC],"SBC")</f>
        <v>410.04999999999995</v>
      </c>
      <c r="AS119" s="65">
        <f>AVERAGEIFS(Dados_SA[DEMANDA_REGISTRADA_FP],Dados_SA[ANO],2015,Dados_SA[UC],"SBC")</f>
        <v>410.82499999999999</v>
      </c>
      <c r="AT119" s="65">
        <v>157561.57999999999</v>
      </c>
    </row>
    <row r="120" spans="1:46" ht="15.75" customHeight="1" x14ac:dyDescent="0.2">
      <c r="A120" s="40" t="s">
        <v>67</v>
      </c>
      <c r="B120" s="15">
        <v>43647</v>
      </c>
      <c r="C120" s="5">
        <v>2019</v>
      </c>
      <c r="D120" s="5">
        <v>7</v>
      </c>
      <c r="E120" s="5">
        <v>32</v>
      </c>
      <c r="F120" s="5">
        <v>9.9000000000000008E-3</v>
      </c>
      <c r="G120" s="6">
        <v>4.5400000000000003E-2</v>
      </c>
      <c r="H120" s="5">
        <v>0.18</v>
      </c>
      <c r="I120" s="5">
        <v>500</v>
      </c>
      <c r="J120" s="5">
        <v>500</v>
      </c>
      <c r="K120" s="5">
        <v>446.9</v>
      </c>
      <c r="L120" s="7">
        <v>422.5</v>
      </c>
      <c r="M120" s="5"/>
      <c r="N120" s="9"/>
      <c r="O120" s="9">
        <v>11.84125</v>
      </c>
      <c r="P120" s="5"/>
      <c r="Q120" s="5">
        <v>19346.5</v>
      </c>
      <c r="R120" s="5">
        <v>143328.1</v>
      </c>
      <c r="S120" s="10">
        <v>0.50771999999999995</v>
      </c>
      <c r="T120" s="10">
        <v>6.4159999999999995E-2</v>
      </c>
      <c r="U120" s="10">
        <v>0.40905999999999998</v>
      </c>
      <c r="V120" s="10">
        <v>0.25217000000000001</v>
      </c>
      <c r="W120" s="5">
        <v>671.6</v>
      </c>
      <c r="X120" s="5">
        <f>2668.3+446.5</f>
        <v>3114.8</v>
      </c>
      <c r="Y120" s="5"/>
      <c r="Z120" s="5"/>
      <c r="AA120" s="35">
        <v>86234.33</v>
      </c>
      <c r="AB120" s="35">
        <f t="shared" si="7"/>
        <v>162674.6</v>
      </c>
      <c r="AC120" s="33">
        <f>1244.98+168.04</f>
        <v>1413.02</v>
      </c>
      <c r="AD120" s="33">
        <v>0</v>
      </c>
      <c r="AE120" s="35">
        <v>0</v>
      </c>
      <c r="AF120" s="17" t="s">
        <v>32</v>
      </c>
      <c r="AG120" s="41">
        <f>IFERROR(IF(Dados_SA[[#This Row],[DEMANDA_REGISTRADA_P]]/Dados_SA[[#This Row],[DEMANDA_CONTRATADA_P]]=0,"",Dados_SA[[#This Row],[DEMANDA_REGISTRADA_P]]/Dados_SA[[#This Row],[DEMANDA_CONTRATADA_P]]),"")</f>
        <v>0.89379999999999993</v>
      </c>
      <c r="AH120" s="41">
        <f>IFERROR(IF(Dados_SA[[#This Row],[DEMANDA_REGISTRADA_FP]]/Dados_SA[[#This Row],[DEMANDA_CONTRATADA_FP]]=0,"",Dados_SA[[#This Row],[DEMANDA_REGISTRADA_FP]]/Dados_SA[[#This Row],[DEMANDA_CONTRATADA_FP]]),"")</f>
        <v>0.84499999999999997</v>
      </c>
      <c r="AI120" s="42">
        <f>IF(Dados_SA[[#This Row],[% Demanda contratada P]]&gt;105%,1,0)</f>
        <v>0</v>
      </c>
      <c r="AJ120" s="42">
        <f>IF(Dados_SA[[#This Row],[% Demanda contratada FP]]&gt;105%,1,0)</f>
        <v>0</v>
      </c>
      <c r="AK120" s="41">
        <f>Dados_SA[[#This Row],[Acrescimo_Bamar]]/Dados_SA[[#This Row],[Valor da Fatura]]</f>
        <v>1.6385817574045045E-2</v>
      </c>
      <c r="AL120" s="41">
        <f>Dados_SA[[#This Row],[Acrescimo_Bverm1]]/Dados_SA[[#This Row],[Valor da Fatura]]</f>
        <v>0</v>
      </c>
      <c r="AM120" s="41">
        <f>Dados_SA[[#This Row],[Acrescimo_Bverm2]]/Dados_SA[[#This Row],[Valor da Fatura]]</f>
        <v>0</v>
      </c>
      <c r="AN120" s="36">
        <v>1.05</v>
      </c>
      <c r="AO120" s="36">
        <v>1</v>
      </c>
      <c r="AP120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20" s="65">
        <f>IF(Dados_SA[[#This Row],[Exced]]&lt;&gt;"",1,0)</f>
        <v>0</v>
      </c>
      <c r="AR120" s="65">
        <f>AVERAGEIFS(Dados_SA[DEMANDA_REGISTRADA_P],Dados_SA[ANO],2015,Dados_SA[UC],"SBC")</f>
        <v>410.04999999999995</v>
      </c>
      <c r="AS120" s="65">
        <f>AVERAGEIFS(Dados_SA[DEMANDA_REGISTRADA_FP],Dados_SA[ANO],2015,Dados_SA[UC],"SBC")</f>
        <v>410.82499999999999</v>
      </c>
      <c r="AT120" s="65">
        <v>157561.57999999999</v>
      </c>
    </row>
    <row r="121" spans="1:46" ht="15.75" customHeight="1" x14ac:dyDescent="0.2">
      <c r="A121" s="40" t="s">
        <v>67</v>
      </c>
      <c r="B121" s="15">
        <v>43678</v>
      </c>
      <c r="C121" s="5">
        <v>2019</v>
      </c>
      <c r="D121" s="5">
        <v>8</v>
      </c>
      <c r="E121" s="5">
        <v>29</v>
      </c>
      <c r="F121" s="5">
        <v>9.7999999999999997E-3</v>
      </c>
      <c r="G121" s="6">
        <v>4.4999999999999998E-2</v>
      </c>
      <c r="H121" s="5">
        <v>0.18</v>
      </c>
      <c r="I121" s="5">
        <v>500</v>
      </c>
      <c r="J121" s="5">
        <v>500</v>
      </c>
      <c r="K121" s="5">
        <v>395.6</v>
      </c>
      <c r="L121" s="7">
        <v>342.7</v>
      </c>
      <c r="M121" s="5"/>
      <c r="N121" s="9"/>
      <c r="O121" s="9">
        <v>12.96</v>
      </c>
      <c r="P121" s="5"/>
      <c r="Q121" s="5">
        <v>20194.2</v>
      </c>
      <c r="R121" s="5">
        <v>129578.6</v>
      </c>
      <c r="S121" s="10">
        <v>0.56227000000000005</v>
      </c>
      <c r="T121" s="10">
        <v>7.5620000000000007E-2</v>
      </c>
      <c r="U121" s="10">
        <v>0.40493000000000001</v>
      </c>
      <c r="V121" s="10">
        <v>0.24232999999999999</v>
      </c>
      <c r="W121" s="5">
        <v>680.6</v>
      </c>
      <c r="X121" s="5">
        <f>1474.4+469.4</f>
        <v>1943.8000000000002</v>
      </c>
      <c r="Y121" s="5"/>
      <c r="Z121" s="5"/>
      <c r="AA121" s="35">
        <v>87094.94</v>
      </c>
      <c r="AB121" s="35">
        <f t="shared" si="7"/>
        <v>149772.80000000002</v>
      </c>
      <c r="AC121" s="33">
        <f>1387.73+227.08</f>
        <v>1614.81</v>
      </c>
      <c r="AD121" s="33">
        <f>2701.7+392.22</f>
        <v>3093.92</v>
      </c>
      <c r="AE121" s="35">
        <v>0</v>
      </c>
      <c r="AF121" s="17" t="s">
        <v>32</v>
      </c>
      <c r="AG121" s="41">
        <f>IFERROR(IF(Dados_SA[[#This Row],[DEMANDA_REGISTRADA_P]]/Dados_SA[[#This Row],[DEMANDA_CONTRATADA_P]]=0,"",Dados_SA[[#This Row],[DEMANDA_REGISTRADA_P]]/Dados_SA[[#This Row],[DEMANDA_CONTRATADA_P]]),"")</f>
        <v>0.79120000000000001</v>
      </c>
      <c r="AH121" s="41">
        <f>IFERROR(IF(Dados_SA[[#This Row],[DEMANDA_REGISTRADA_FP]]/Dados_SA[[#This Row],[DEMANDA_CONTRATADA_FP]]=0,"",Dados_SA[[#This Row],[DEMANDA_REGISTRADA_FP]]/Dados_SA[[#This Row],[DEMANDA_CONTRATADA_FP]]),"")</f>
        <v>0.68540000000000001</v>
      </c>
      <c r="AI121" s="42">
        <f>IF(Dados_SA[[#This Row],[% Demanda contratada P]]&gt;105%,1,0)</f>
        <v>0</v>
      </c>
      <c r="AJ121" s="42">
        <f>IF(Dados_SA[[#This Row],[% Demanda contratada FP]]&gt;105%,1,0)</f>
        <v>0</v>
      </c>
      <c r="AK121" s="41">
        <f>Dados_SA[[#This Row],[Acrescimo_Bamar]]/Dados_SA[[#This Row],[Valor da Fatura]]</f>
        <v>1.8540801566658178E-2</v>
      </c>
      <c r="AL121" s="41">
        <f>Dados_SA[[#This Row],[Acrescimo_Bverm1]]/Dados_SA[[#This Row],[Valor da Fatura]]</f>
        <v>3.5523533284482427E-2</v>
      </c>
      <c r="AM121" s="41">
        <f>Dados_SA[[#This Row],[Acrescimo_Bverm2]]/Dados_SA[[#This Row],[Valor da Fatura]]</f>
        <v>0</v>
      </c>
      <c r="AN121" s="36">
        <v>1.05</v>
      </c>
      <c r="AO121" s="36">
        <v>1</v>
      </c>
      <c r="AP121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21" s="65">
        <f>IF(Dados_SA[[#This Row],[Exced]]&lt;&gt;"",1,0)</f>
        <v>0</v>
      </c>
      <c r="AR121" s="65">
        <f>AVERAGEIFS(Dados_SA[DEMANDA_REGISTRADA_P],Dados_SA[ANO],2015,Dados_SA[UC],"SBC")</f>
        <v>410.04999999999995</v>
      </c>
      <c r="AS121" s="65">
        <f>AVERAGEIFS(Dados_SA[DEMANDA_REGISTRADA_FP],Dados_SA[ANO],2015,Dados_SA[UC],"SBC")</f>
        <v>410.82499999999999</v>
      </c>
      <c r="AT121" s="65">
        <v>157561.57999999999</v>
      </c>
    </row>
    <row r="122" spans="1:46" ht="15.75" customHeight="1" x14ac:dyDescent="0.2">
      <c r="A122" s="40" t="s">
        <v>67</v>
      </c>
      <c r="B122" s="15">
        <v>43709</v>
      </c>
      <c r="C122" s="5">
        <v>2019</v>
      </c>
      <c r="D122" s="5">
        <v>9</v>
      </c>
      <c r="E122" s="5">
        <v>30</v>
      </c>
      <c r="F122" s="5">
        <v>9.7000000000000003E-3</v>
      </c>
      <c r="G122" s="6">
        <v>4.4699999999999997E-2</v>
      </c>
      <c r="H122" s="5">
        <v>0.18</v>
      </c>
      <c r="I122" s="5">
        <v>500</v>
      </c>
      <c r="J122" s="5">
        <v>500</v>
      </c>
      <c r="K122" s="5">
        <v>362</v>
      </c>
      <c r="L122" s="7">
        <v>359.5</v>
      </c>
      <c r="M122" s="5"/>
      <c r="N122" s="9"/>
      <c r="O122" s="9">
        <v>12.96</v>
      </c>
      <c r="P122" s="5"/>
      <c r="Q122" s="5">
        <v>17633.5</v>
      </c>
      <c r="R122" s="5">
        <v>126955.1</v>
      </c>
      <c r="S122" s="10">
        <v>0.56227000000000005</v>
      </c>
      <c r="T122" s="10">
        <v>7.5620000000000007E-2</v>
      </c>
      <c r="U122" s="10">
        <v>0.40493000000000001</v>
      </c>
      <c r="V122" s="10">
        <v>0.24232999999999999</v>
      </c>
      <c r="W122" s="5">
        <v>677.5</v>
      </c>
      <c r="X122" s="5">
        <f>2394.4+365</f>
        <v>2759.4</v>
      </c>
      <c r="Y122" s="5"/>
      <c r="Z122" s="5"/>
      <c r="AA122" s="35">
        <v>85300.57</v>
      </c>
      <c r="AB122" s="35">
        <f t="shared" si="7"/>
        <v>144588.6</v>
      </c>
      <c r="AC122" s="33">
        <v>0</v>
      </c>
      <c r="AD122" s="33">
        <f>6272.13+871.19</f>
        <v>7143.32</v>
      </c>
      <c r="AE122" s="35">
        <v>0</v>
      </c>
      <c r="AF122" s="17" t="s">
        <v>32</v>
      </c>
      <c r="AG122" s="41">
        <f>IFERROR(IF(Dados_SA[[#This Row],[DEMANDA_REGISTRADA_P]]/Dados_SA[[#This Row],[DEMANDA_CONTRATADA_P]]=0,"",Dados_SA[[#This Row],[DEMANDA_REGISTRADA_P]]/Dados_SA[[#This Row],[DEMANDA_CONTRATADA_P]]),"")</f>
        <v>0.72399999999999998</v>
      </c>
      <c r="AH122" s="41">
        <f>IFERROR(IF(Dados_SA[[#This Row],[DEMANDA_REGISTRADA_FP]]/Dados_SA[[#This Row],[DEMANDA_CONTRATADA_FP]]=0,"",Dados_SA[[#This Row],[DEMANDA_REGISTRADA_FP]]/Dados_SA[[#This Row],[DEMANDA_CONTRATADA_FP]]),"")</f>
        <v>0.71899999999999997</v>
      </c>
      <c r="AI122" s="42">
        <f>IF(Dados_SA[[#This Row],[% Demanda contratada P]]&gt;105%,1,0)</f>
        <v>0</v>
      </c>
      <c r="AJ122" s="42">
        <f>IF(Dados_SA[[#This Row],[% Demanda contratada FP]]&gt;105%,1,0)</f>
        <v>0</v>
      </c>
      <c r="AK122" s="41">
        <f>Dados_SA[[#This Row],[Acrescimo_Bamar]]/Dados_SA[[#This Row],[Valor da Fatura]]</f>
        <v>0</v>
      </c>
      <c r="AL122" s="41">
        <f>Dados_SA[[#This Row],[Acrescimo_Bverm1]]/Dados_SA[[#This Row],[Valor da Fatura]]</f>
        <v>8.3742933956947763E-2</v>
      </c>
      <c r="AM122" s="41">
        <f>Dados_SA[[#This Row],[Acrescimo_Bverm2]]/Dados_SA[[#This Row],[Valor da Fatura]]</f>
        <v>0</v>
      </c>
      <c r="AN122" s="36">
        <v>1.05</v>
      </c>
      <c r="AO122" s="36">
        <v>1</v>
      </c>
      <c r="AP122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22" s="65">
        <f>IF(Dados_SA[[#This Row],[Exced]]&lt;&gt;"",1,0)</f>
        <v>0</v>
      </c>
      <c r="AR122" s="65">
        <f>AVERAGEIFS(Dados_SA[DEMANDA_REGISTRADA_P],Dados_SA[ANO],2015,Dados_SA[UC],"SBC")</f>
        <v>410.04999999999995</v>
      </c>
      <c r="AS122" s="65">
        <f>AVERAGEIFS(Dados_SA[DEMANDA_REGISTRADA_FP],Dados_SA[ANO],2015,Dados_SA[UC],"SBC")</f>
        <v>410.82499999999999</v>
      </c>
      <c r="AT122" s="65">
        <v>157561.57999999999</v>
      </c>
    </row>
    <row r="123" spans="1:46" ht="15.75" customHeight="1" x14ac:dyDescent="0.2">
      <c r="A123" s="40" t="s">
        <v>67</v>
      </c>
      <c r="B123" s="15">
        <v>43739</v>
      </c>
      <c r="C123" s="5">
        <v>2019</v>
      </c>
      <c r="D123" s="5">
        <v>10</v>
      </c>
      <c r="E123" s="5">
        <v>29</v>
      </c>
      <c r="F123" s="5">
        <v>8.6E-3</v>
      </c>
      <c r="G123" s="6">
        <v>3.9699999999999999E-2</v>
      </c>
      <c r="H123" s="5">
        <v>0.18</v>
      </c>
      <c r="I123" s="5">
        <v>500</v>
      </c>
      <c r="J123" s="5">
        <v>500</v>
      </c>
      <c r="K123" s="5">
        <v>403.2</v>
      </c>
      <c r="L123" s="7">
        <v>365.4</v>
      </c>
      <c r="M123" s="5"/>
      <c r="N123" s="9"/>
      <c r="O123" s="9">
        <v>12.96</v>
      </c>
      <c r="P123" s="5"/>
      <c r="Q123" s="5">
        <v>19237.900000000001</v>
      </c>
      <c r="R123" s="5">
        <v>140004.9</v>
      </c>
      <c r="S123" s="10">
        <v>0.56227000000000005</v>
      </c>
      <c r="T123" s="10">
        <v>7.5620000000000007E-2</v>
      </c>
      <c r="U123" s="10">
        <v>0.40493000000000001</v>
      </c>
      <c r="V123" s="10">
        <v>0.24232999999999999</v>
      </c>
      <c r="W123" s="5">
        <v>802.2</v>
      </c>
      <c r="X123" s="5">
        <f>2445.2+353.9</f>
        <v>2799.1</v>
      </c>
      <c r="Y123" s="5"/>
      <c r="Z123" s="5"/>
      <c r="AA123" s="35">
        <v>90562.1</v>
      </c>
      <c r="AB123" s="35">
        <f t="shared" si="7"/>
        <v>159242.79999999999</v>
      </c>
      <c r="AC123" s="33">
        <f>980.9+147.54</f>
        <v>1128.44</v>
      </c>
      <c r="AD123" s="33">
        <f>4290.67+555.52</f>
        <v>4846.1900000000005</v>
      </c>
      <c r="AE123" s="35">
        <v>0</v>
      </c>
      <c r="AF123" s="17" t="s">
        <v>32</v>
      </c>
      <c r="AG123" s="41">
        <f>IFERROR(IF(Dados_SA[[#This Row],[DEMANDA_REGISTRADA_P]]/Dados_SA[[#This Row],[DEMANDA_CONTRATADA_P]]=0,"",Dados_SA[[#This Row],[DEMANDA_REGISTRADA_P]]/Dados_SA[[#This Row],[DEMANDA_CONTRATADA_P]]),"")</f>
        <v>0.80640000000000001</v>
      </c>
      <c r="AH123" s="41">
        <f>IFERROR(IF(Dados_SA[[#This Row],[DEMANDA_REGISTRADA_FP]]/Dados_SA[[#This Row],[DEMANDA_CONTRATADA_FP]]=0,"",Dados_SA[[#This Row],[DEMANDA_REGISTRADA_FP]]/Dados_SA[[#This Row],[DEMANDA_CONTRATADA_FP]]),"")</f>
        <v>0.73080000000000001</v>
      </c>
      <c r="AI123" s="42">
        <f>IF(Dados_SA[[#This Row],[% Demanda contratada P]]&gt;105%,1,0)</f>
        <v>0</v>
      </c>
      <c r="AJ123" s="42">
        <f>IF(Dados_SA[[#This Row],[% Demanda contratada FP]]&gt;105%,1,0)</f>
        <v>0</v>
      </c>
      <c r="AK123" s="41">
        <f>Dados_SA[[#This Row],[Acrescimo_Bamar]]/Dados_SA[[#This Row],[Valor da Fatura]]</f>
        <v>1.2460400101146064E-2</v>
      </c>
      <c r="AL123" s="41">
        <f>Dados_SA[[#This Row],[Acrescimo_Bverm1]]/Dados_SA[[#This Row],[Valor da Fatura]]</f>
        <v>5.3512341255337499E-2</v>
      </c>
      <c r="AM123" s="41">
        <f>Dados_SA[[#This Row],[Acrescimo_Bverm2]]/Dados_SA[[#This Row],[Valor da Fatura]]</f>
        <v>0</v>
      </c>
      <c r="AN123" s="36">
        <v>1.05</v>
      </c>
      <c r="AO123" s="36">
        <v>1</v>
      </c>
      <c r="AP123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23" s="65">
        <f>IF(Dados_SA[[#This Row],[Exced]]&lt;&gt;"",1,0)</f>
        <v>0</v>
      </c>
      <c r="AR123" s="65">
        <f>AVERAGEIFS(Dados_SA[DEMANDA_REGISTRADA_P],Dados_SA[ANO],2015,Dados_SA[UC],"SBC")</f>
        <v>410.04999999999995</v>
      </c>
      <c r="AS123" s="65">
        <f>AVERAGEIFS(Dados_SA[DEMANDA_REGISTRADA_FP],Dados_SA[ANO],2015,Dados_SA[UC],"SBC")</f>
        <v>410.82499999999999</v>
      </c>
      <c r="AT123" s="65">
        <v>157561.57999999999</v>
      </c>
    </row>
    <row r="124" spans="1:46" ht="15.75" customHeight="1" x14ac:dyDescent="0.2">
      <c r="A124" s="40" t="s">
        <v>67</v>
      </c>
      <c r="B124" s="15">
        <v>43770</v>
      </c>
      <c r="C124" s="5">
        <v>2019</v>
      </c>
      <c r="D124" s="5">
        <v>11</v>
      </c>
      <c r="E124" s="5">
        <v>33</v>
      </c>
      <c r="F124" s="5">
        <v>8.8999999999999999E-3</v>
      </c>
      <c r="G124" s="6">
        <v>4.0899999999999999E-2</v>
      </c>
      <c r="H124" s="5">
        <v>0.18</v>
      </c>
      <c r="I124" s="5">
        <v>500</v>
      </c>
      <c r="J124" s="5">
        <v>500</v>
      </c>
      <c r="K124" s="5">
        <v>517.4</v>
      </c>
      <c r="L124" s="7">
        <v>521.6</v>
      </c>
      <c r="M124" s="5"/>
      <c r="N124" s="9"/>
      <c r="O124" s="9">
        <v>12.96</v>
      </c>
      <c r="P124" s="5"/>
      <c r="Q124" s="5">
        <v>25125.5</v>
      </c>
      <c r="R124" s="5">
        <v>188592</v>
      </c>
      <c r="S124" s="10">
        <v>0.56227000000000005</v>
      </c>
      <c r="T124" s="10">
        <v>7.5620000000000007E-2</v>
      </c>
      <c r="U124" s="10">
        <v>0.40493000000000001</v>
      </c>
      <c r="V124" s="10">
        <v>0.24232999999999999</v>
      </c>
      <c r="W124" s="5">
        <v>1266.7</v>
      </c>
      <c r="X124" s="5">
        <f>4196.4+456.3</f>
        <v>4652.7</v>
      </c>
      <c r="Y124" s="5"/>
      <c r="Z124" s="5"/>
      <c r="AA124" s="35">
        <v>117959.76</v>
      </c>
      <c r="AB124" s="35">
        <f t="shared" si="7"/>
        <v>213717.5</v>
      </c>
      <c r="AC124" s="33">
        <f>2115.13+281.79</f>
        <v>2396.92</v>
      </c>
      <c r="AD124" s="33">
        <f>3821.16+509.08</f>
        <v>4330.24</v>
      </c>
      <c r="AE124" s="35">
        <v>0</v>
      </c>
      <c r="AF124" s="17" t="s">
        <v>32</v>
      </c>
      <c r="AG124" s="41">
        <f>IFERROR(IF(Dados_SA[[#This Row],[DEMANDA_REGISTRADA_P]]/Dados_SA[[#This Row],[DEMANDA_CONTRATADA_P]]=0,"",Dados_SA[[#This Row],[DEMANDA_REGISTRADA_P]]/Dados_SA[[#This Row],[DEMANDA_CONTRATADA_P]]),"")</f>
        <v>1.0347999999999999</v>
      </c>
      <c r="AH124" s="41">
        <f>IFERROR(IF(Dados_SA[[#This Row],[DEMANDA_REGISTRADA_FP]]/Dados_SA[[#This Row],[DEMANDA_CONTRATADA_FP]]=0,"",Dados_SA[[#This Row],[DEMANDA_REGISTRADA_FP]]/Dados_SA[[#This Row],[DEMANDA_CONTRATADA_FP]]),"")</f>
        <v>1.0432000000000001</v>
      </c>
      <c r="AI124" s="42">
        <f>IF(Dados_SA[[#This Row],[% Demanda contratada P]]&gt;105%,1,0)</f>
        <v>0</v>
      </c>
      <c r="AJ124" s="42">
        <f>IF(Dados_SA[[#This Row],[% Demanda contratada FP]]&gt;105%,1,0)</f>
        <v>0</v>
      </c>
      <c r="AK124" s="41">
        <f>Dados_SA[[#This Row],[Acrescimo_Bamar]]/Dados_SA[[#This Row],[Valor da Fatura]]</f>
        <v>2.0319810755803507E-2</v>
      </c>
      <c r="AL124" s="41">
        <f>Dados_SA[[#This Row],[Acrescimo_Bverm1]]/Dados_SA[[#This Row],[Valor da Fatura]]</f>
        <v>3.6709467703223538E-2</v>
      </c>
      <c r="AM124" s="41">
        <f>Dados_SA[[#This Row],[Acrescimo_Bverm2]]/Dados_SA[[#This Row],[Valor da Fatura]]</f>
        <v>0</v>
      </c>
      <c r="AN124" s="36">
        <v>1.05</v>
      </c>
      <c r="AO124" s="36">
        <v>1</v>
      </c>
      <c r="AP124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24" s="65">
        <f>IF(Dados_SA[[#This Row],[Exced]]&lt;&gt;"",1,0)</f>
        <v>0</v>
      </c>
      <c r="AR124" s="65">
        <f>AVERAGEIFS(Dados_SA[DEMANDA_REGISTRADA_P],Dados_SA[ANO],2015,Dados_SA[UC],"SBC")</f>
        <v>410.04999999999995</v>
      </c>
      <c r="AS124" s="65">
        <f>AVERAGEIFS(Dados_SA[DEMANDA_REGISTRADA_FP],Dados_SA[ANO],2015,Dados_SA[UC],"SBC")</f>
        <v>410.82499999999999</v>
      </c>
      <c r="AT124" s="65">
        <v>157561.57999999999</v>
      </c>
    </row>
    <row r="125" spans="1:46" ht="15.75" customHeight="1" x14ac:dyDescent="0.2">
      <c r="A125" s="40" t="s">
        <v>67</v>
      </c>
      <c r="B125" s="15">
        <v>43800</v>
      </c>
      <c r="C125" s="5">
        <v>2019</v>
      </c>
      <c r="D125" s="5">
        <v>12</v>
      </c>
      <c r="E125" s="5">
        <v>33</v>
      </c>
      <c r="F125" s="5">
        <v>9.4000000000000004E-3</v>
      </c>
      <c r="G125" s="6">
        <v>4.3299999999999998E-2</v>
      </c>
      <c r="H125" s="5">
        <v>0.18</v>
      </c>
      <c r="I125" s="5">
        <v>500</v>
      </c>
      <c r="J125" s="5">
        <v>500</v>
      </c>
      <c r="K125" s="5">
        <v>402.4</v>
      </c>
      <c r="L125" s="7">
        <v>392.3</v>
      </c>
      <c r="M125" s="5"/>
      <c r="N125" s="9"/>
      <c r="O125" s="9">
        <v>12.96</v>
      </c>
      <c r="P125" s="5"/>
      <c r="Q125" s="5">
        <v>20911.2</v>
      </c>
      <c r="R125" s="5">
        <v>159482</v>
      </c>
      <c r="S125" s="10">
        <v>0.56227000000000005</v>
      </c>
      <c r="T125" s="10">
        <v>7.5620000000000007E-2</v>
      </c>
      <c r="U125" s="10">
        <v>0.40493000000000001</v>
      </c>
      <c r="V125" s="10">
        <v>0.24232999999999999</v>
      </c>
      <c r="W125" s="5">
        <v>1398.4</v>
      </c>
      <c r="X125" s="5">
        <f>4766.8+265.4</f>
        <v>5032.2</v>
      </c>
      <c r="Y125" s="5"/>
      <c r="Z125" s="5"/>
      <c r="AA125" s="35">
        <v>100912.46</v>
      </c>
      <c r="AB125" s="35">
        <f t="shared" si="7"/>
        <v>180393.2</v>
      </c>
      <c r="AC125" s="33">
        <f>1282.08+168.1</f>
        <v>1450.1799999999998</v>
      </c>
      <c r="AD125" s="33">
        <f>4228.63+554.45</f>
        <v>4783.08</v>
      </c>
      <c r="AE125" s="35">
        <v>0</v>
      </c>
      <c r="AF125" s="17" t="s">
        <v>32</v>
      </c>
      <c r="AG125" s="41">
        <f>IFERROR(IF(Dados_SA[[#This Row],[DEMANDA_REGISTRADA_P]]/Dados_SA[[#This Row],[DEMANDA_CONTRATADA_P]]=0,"",Dados_SA[[#This Row],[DEMANDA_REGISTRADA_P]]/Dados_SA[[#This Row],[DEMANDA_CONTRATADA_P]]),"")</f>
        <v>0.80479999999999996</v>
      </c>
      <c r="AH125" s="41">
        <f>IFERROR(IF(Dados_SA[[#This Row],[DEMANDA_REGISTRADA_FP]]/Dados_SA[[#This Row],[DEMANDA_CONTRATADA_FP]]=0,"",Dados_SA[[#This Row],[DEMANDA_REGISTRADA_FP]]/Dados_SA[[#This Row],[DEMANDA_CONTRATADA_FP]]),"")</f>
        <v>0.78460000000000008</v>
      </c>
      <c r="AI125" s="42">
        <f>IF(Dados_SA[[#This Row],[% Demanda contratada P]]&gt;105%,1,0)</f>
        <v>0</v>
      </c>
      <c r="AJ125" s="42">
        <f>IF(Dados_SA[[#This Row],[% Demanda contratada FP]]&gt;105%,1,0)</f>
        <v>0</v>
      </c>
      <c r="AK125" s="41">
        <f>Dados_SA[[#This Row],[Acrescimo_Bamar]]/Dados_SA[[#This Row],[Valor da Fatura]]</f>
        <v>1.4370673353914867E-2</v>
      </c>
      <c r="AL125" s="41">
        <f>Dados_SA[[#This Row],[Acrescimo_Bverm1]]/Dados_SA[[#This Row],[Valor da Fatura]]</f>
        <v>4.7398309386174904E-2</v>
      </c>
      <c r="AM125" s="41">
        <f>Dados_SA[[#This Row],[Acrescimo_Bverm2]]/Dados_SA[[#This Row],[Valor da Fatura]]</f>
        <v>0</v>
      </c>
      <c r="AN125" s="36">
        <v>1.05</v>
      </c>
      <c r="AO125" s="36">
        <v>1</v>
      </c>
      <c r="AP125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25" s="65">
        <f>IF(Dados_SA[[#This Row],[Exced]]&lt;&gt;"",1,0)</f>
        <v>0</v>
      </c>
      <c r="AR125" s="65">
        <f>AVERAGEIFS(Dados_SA[DEMANDA_REGISTRADA_P],Dados_SA[ANO],2015,Dados_SA[UC],"SBC")</f>
        <v>410.04999999999995</v>
      </c>
      <c r="AS125" s="65">
        <f>AVERAGEIFS(Dados_SA[DEMANDA_REGISTRADA_FP],Dados_SA[ANO],2015,Dados_SA[UC],"SBC")</f>
        <v>410.82499999999999</v>
      </c>
      <c r="AT125" s="65">
        <v>157561.57999999999</v>
      </c>
    </row>
    <row r="126" spans="1:46" ht="15.75" customHeight="1" x14ac:dyDescent="0.2">
      <c r="A126" s="40" t="s">
        <v>67</v>
      </c>
      <c r="B126" s="15">
        <v>43831</v>
      </c>
      <c r="C126" s="5">
        <v>2020</v>
      </c>
      <c r="D126" s="5">
        <v>1</v>
      </c>
      <c r="E126" s="5">
        <v>29</v>
      </c>
      <c r="F126" s="5">
        <v>8.6E-3</v>
      </c>
      <c r="G126" s="6">
        <v>3.9699999999999999E-2</v>
      </c>
      <c r="H126" s="5">
        <v>0.18</v>
      </c>
      <c r="I126" s="5">
        <v>500</v>
      </c>
      <c r="J126" s="5">
        <v>500</v>
      </c>
      <c r="K126" s="5">
        <v>406.6</v>
      </c>
      <c r="L126" s="7">
        <v>410.8</v>
      </c>
      <c r="M126" s="5"/>
      <c r="N126" s="9"/>
      <c r="O126" s="9">
        <v>12.96</v>
      </c>
      <c r="P126" s="5"/>
      <c r="Q126" s="5">
        <v>14449.3</v>
      </c>
      <c r="R126" s="5">
        <v>132347.70000000001</v>
      </c>
      <c r="S126" s="10">
        <v>0.56227000000000005</v>
      </c>
      <c r="T126" s="10">
        <v>7.5620000000000007E-2</v>
      </c>
      <c r="U126" s="10">
        <v>0.40493000000000001</v>
      </c>
      <c r="V126" s="10">
        <v>0.24232999999999999</v>
      </c>
      <c r="W126" s="5">
        <v>1700.6</v>
      </c>
      <c r="X126" s="5">
        <v>5552.4</v>
      </c>
      <c r="Y126" s="5"/>
      <c r="Z126" s="5"/>
      <c r="AA126" s="35">
        <v>78458.39</v>
      </c>
      <c r="AB126" s="35">
        <v>146796.9</v>
      </c>
      <c r="AC126" s="33">
        <v>2192.31</v>
      </c>
      <c r="AD126" s="33">
        <v>239.31</v>
      </c>
      <c r="AE126" s="35">
        <v>0</v>
      </c>
      <c r="AF126" s="17" t="s">
        <v>32</v>
      </c>
      <c r="AG126" s="41">
        <f>IFERROR(IF(Dados_SA[[#This Row],[DEMANDA_REGISTRADA_P]]/Dados_SA[[#This Row],[DEMANDA_CONTRATADA_P]]=0,"",Dados_SA[[#This Row],[DEMANDA_REGISTRADA_P]]/Dados_SA[[#This Row],[DEMANDA_CONTRATADA_P]]),"")</f>
        <v>0.81320000000000003</v>
      </c>
      <c r="AH126" s="41">
        <f>IFERROR(IF(Dados_SA[[#This Row],[DEMANDA_REGISTRADA_FP]]/Dados_SA[[#This Row],[DEMANDA_CONTRATADA_FP]]=0,"",Dados_SA[[#This Row],[DEMANDA_REGISTRADA_FP]]/Dados_SA[[#This Row],[DEMANDA_CONTRATADA_FP]]),"")</f>
        <v>0.8216</v>
      </c>
      <c r="AI126" s="42">
        <f>IF(Dados_SA[[#This Row],[% Demanda contratada P]]&gt;105%,1,0)</f>
        <v>0</v>
      </c>
      <c r="AJ126" s="42">
        <f>IF(Dados_SA[[#This Row],[% Demanda contratada FP]]&gt;105%,1,0)</f>
        <v>0</v>
      </c>
      <c r="AK126" s="41">
        <f>Dados_SA[[#This Row],[Acrescimo_Bamar]]/Dados_SA[[#This Row],[Valor da Fatura]]</f>
        <v>2.7942327136715399E-2</v>
      </c>
      <c r="AL126" s="41">
        <f>Dados_SA[[#This Row],[Acrescimo_Bverm1]]/Dados_SA[[#This Row],[Valor da Fatura]]</f>
        <v>3.0501518065818075E-3</v>
      </c>
      <c r="AM126" s="41">
        <f>Dados_SA[[#This Row],[Acrescimo_Bverm2]]/Dados_SA[[#This Row],[Valor da Fatura]]</f>
        <v>0</v>
      </c>
      <c r="AN126" s="36">
        <v>1.05</v>
      </c>
      <c r="AO126" s="36">
        <v>1</v>
      </c>
      <c r="AP126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26" s="65">
        <f>IF(Dados_SA[[#This Row],[Exced]]&lt;&gt;"",1,0)</f>
        <v>0</v>
      </c>
      <c r="AR126" s="65">
        <f>AVERAGEIFS(Dados_SA[DEMANDA_REGISTRADA_P],Dados_SA[ANO],2015,Dados_SA[UC],"SBC")</f>
        <v>410.04999999999995</v>
      </c>
      <c r="AS126" s="65">
        <f>AVERAGEIFS(Dados_SA[DEMANDA_REGISTRADA_FP],Dados_SA[ANO],2015,Dados_SA[UC],"SBC")</f>
        <v>410.82499999999999</v>
      </c>
      <c r="AT126" s="65">
        <v>157561.57999999999</v>
      </c>
    </row>
    <row r="127" spans="1:46" ht="15.75" customHeight="1" x14ac:dyDescent="0.2">
      <c r="A127" s="40" t="s">
        <v>67</v>
      </c>
      <c r="B127" s="15">
        <v>43862</v>
      </c>
      <c r="C127" s="5">
        <v>2020</v>
      </c>
      <c r="D127" s="5">
        <v>2</v>
      </c>
      <c r="E127" s="5">
        <v>30</v>
      </c>
      <c r="F127" s="5">
        <v>9.5999999999999992E-3</v>
      </c>
      <c r="G127" s="6">
        <v>4.41E-2</v>
      </c>
      <c r="H127" s="5">
        <v>0.18</v>
      </c>
      <c r="I127" s="5">
        <v>500</v>
      </c>
      <c r="J127" s="5">
        <v>500</v>
      </c>
      <c r="K127" s="5">
        <v>357.8</v>
      </c>
      <c r="L127" s="7">
        <v>402.4</v>
      </c>
      <c r="M127" s="5"/>
      <c r="N127" s="9"/>
      <c r="O127" s="9">
        <v>12.96</v>
      </c>
      <c r="P127" s="5"/>
      <c r="Q127" s="5">
        <v>17830.900000000001</v>
      </c>
      <c r="R127" s="5">
        <v>151330.6</v>
      </c>
      <c r="S127" s="10">
        <v>0.56227000000000005</v>
      </c>
      <c r="T127" s="10">
        <v>7.5620000000000007E-2</v>
      </c>
      <c r="U127" s="10">
        <v>0.40493000000000001</v>
      </c>
      <c r="V127" s="10">
        <v>0.24232999999999999</v>
      </c>
      <c r="W127" s="5">
        <v>918.1</v>
      </c>
      <c r="X127" s="5">
        <v>4652.6000000000004</v>
      </c>
      <c r="Y127" s="5"/>
      <c r="Z127" s="5"/>
      <c r="AA127" s="35">
        <v>89982.48</v>
      </c>
      <c r="AB127" s="35">
        <v>169161.5</v>
      </c>
      <c r="AC127" s="33">
        <v>1422.19</v>
      </c>
      <c r="AD127" s="33">
        <v>167.56</v>
      </c>
      <c r="AE127" s="35">
        <v>0</v>
      </c>
      <c r="AF127" s="17" t="s">
        <v>32</v>
      </c>
      <c r="AG127" s="41">
        <f>IFERROR(IF(Dados_SA[[#This Row],[DEMANDA_REGISTRADA_P]]/Dados_SA[[#This Row],[DEMANDA_CONTRATADA_P]]=0,"",Dados_SA[[#This Row],[DEMANDA_REGISTRADA_P]]/Dados_SA[[#This Row],[DEMANDA_CONTRATADA_P]]),"")</f>
        <v>0.71560000000000001</v>
      </c>
      <c r="AH127" s="41">
        <f>IFERROR(IF(Dados_SA[[#This Row],[DEMANDA_REGISTRADA_FP]]/Dados_SA[[#This Row],[DEMANDA_CONTRATADA_FP]]=0,"",Dados_SA[[#This Row],[DEMANDA_REGISTRADA_FP]]/Dados_SA[[#This Row],[DEMANDA_CONTRATADA_FP]]),"")</f>
        <v>0.80479999999999996</v>
      </c>
      <c r="AI127" s="42">
        <f>IF(Dados_SA[[#This Row],[% Demanda contratada P]]&gt;105%,1,0)</f>
        <v>0</v>
      </c>
      <c r="AJ127" s="42">
        <f>IF(Dados_SA[[#This Row],[% Demanda contratada FP]]&gt;105%,1,0)</f>
        <v>0</v>
      </c>
      <c r="AK127" s="41">
        <f>Dados_SA[[#This Row],[Acrescimo_Bamar]]/Dados_SA[[#This Row],[Valor da Fatura]]</f>
        <v>1.5805187854346758E-2</v>
      </c>
      <c r="AL127" s="41">
        <f>Dados_SA[[#This Row],[Acrescimo_Bverm1]]/Dados_SA[[#This Row],[Valor da Fatura]]</f>
        <v>1.8621402744178645E-3</v>
      </c>
      <c r="AM127" s="41">
        <f>Dados_SA[[#This Row],[Acrescimo_Bverm2]]/Dados_SA[[#This Row],[Valor da Fatura]]</f>
        <v>0</v>
      </c>
      <c r="AN127" s="36">
        <v>1.05</v>
      </c>
      <c r="AO127" s="36">
        <v>1</v>
      </c>
      <c r="AP127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27" s="65">
        <f>IF(Dados_SA[[#This Row],[Exced]]&lt;&gt;"",1,0)</f>
        <v>0</v>
      </c>
      <c r="AR127" s="65">
        <f>AVERAGEIFS(Dados_SA[DEMANDA_REGISTRADA_P],Dados_SA[ANO],2015,Dados_SA[UC],"SBC")</f>
        <v>410.04999999999995</v>
      </c>
      <c r="AS127" s="65">
        <f>AVERAGEIFS(Dados_SA[DEMANDA_REGISTRADA_FP],Dados_SA[ANO],2015,Dados_SA[UC],"SBC")</f>
        <v>410.82499999999999</v>
      </c>
      <c r="AT127" s="65">
        <v>157561.57999999999</v>
      </c>
    </row>
    <row r="128" spans="1:46" ht="15.75" customHeight="1" x14ac:dyDescent="0.2">
      <c r="A128" s="40" t="s">
        <v>67</v>
      </c>
      <c r="B128" s="15">
        <v>43891</v>
      </c>
      <c r="C128" s="5">
        <v>2020</v>
      </c>
      <c r="D128" s="5">
        <v>3</v>
      </c>
      <c r="E128" s="5">
        <v>32</v>
      </c>
      <c r="F128" s="5">
        <v>9.4999999999999998E-3</v>
      </c>
      <c r="G128" s="6">
        <v>4.3900000000000002E-2</v>
      </c>
      <c r="H128" s="5">
        <v>0.18</v>
      </c>
      <c r="I128" s="5">
        <v>500</v>
      </c>
      <c r="J128" s="5">
        <v>500</v>
      </c>
      <c r="K128" s="5">
        <v>492.2</v>
      </c>
      <c r="L128" s="7">
        <v>483.8</v>
      </c>
      <c r="M128" s="5"/>
      <c r="N128" s="9"/>
      <c r="O128" s="9">
        <v>12.96</v>
      </c>
      <c r="P128" s="5"/>
      <c r="Q128" s="5">
        <v>20282.8</v>
      </c>
      <c r="R128" s="5">
        <v>165251.9</v>
      </c>
      <c r="S128" s="10">
        <v>0.56227000000000005</v>
      </c>
      <c r="T128" s="10">
        <v>7.5620000000000007E-2</v>
      </c>
      <c r="U128" s="10">
        <v>0.40493000000000001</v>
      </c>
      <c r="V128" s="10">
        <v>0.24232999999999999</v>
      </c>
      <c r="W128" s="5">
        <v>1004.6</v>
      </c>
      <c r="X128" s="5">
        <v>5201.1000000000004</v>
      </c>
      <c r="Y128" s="5"/>
      <c r="Z128" s="5"/>
      <c r="AA128" s="35">
        <v>96582.44</v>
      </c>
      <c r="AB128" s="35">
        <v>185534.8</v>
      </c>
      <c r="AC128" s="33">
        <v>0</v>
      </c>
      <c r="AD128" s="33">
        <v>0</v>
      </c>
      <c r="AE128" s="35">
        <v>0</v>
      </c>
      <c r="AF128" s="17" t="s">
        <v>32</v>
      </c>
      <c r="AG128" s="41">
        <f>IFERROR(IF(Dados_SA[[#This Row],[DEMANDA_REGISTRADA_P]]/Dados_SA[[#This Row],[DEMANDA_CONTRATADA_P]]=0,"",Dados_SA[[#This Row],[DEMANDA_REGISTRADA_P]]/Dados_SA[[#This Row],[DEMANDA_CONTRATADA_P]]),"")</f>
        <v>0.98439999999999994</v>
      </c>
      <c r="AH128" s="41">
        <f>IFERROR(IF(Dados_SA[[#This Row],[DEMANDA_REGISTRADA_FP]]/Dados_SA[[#This Row],[DEMANDA_CONTRATADA_FP]]=0,"",Dados_SA[[#This Row],[DEMANDA_REGISTRADA_FP]]/Dados_SA[[#This Row],[DEMANDA_CONTRATADA_FP]]),"")</f>
        <v>0.96760000000000002</v>
      </c>
      <c r="AI128" s="42">
        <f>IF(Dados_SA[[#This Row],[% Demanda contratada P]]&gt;105%,1,0)</f>
        <v>0</v>
      </c>
      <c r="AJ128" s="42">
        <f>IF(Dados_SA[[#This Row],[% Demanda contratada FP]]&gt;105%,1,0)</f>
        <v>0</v>
      </c>
      <c r="AK128" s="41">
        <f>Dados_SA[[#This Row],[Acrescimo_Bamar]]/Dados_SA[[#This Row],[Valor da Fatura]]</f>
        <v>0</v>
      </c>
      <c r="AL128" s="41">
        <f>Dados_SA[[#This Row],[Acrescimo_Bverm1]]/Dados_SA[[#This Row],[Valor da Fatura]]</f>
        <v>0</v>
      </c>
      <c r="AM128" s="41">
        <f>Dados_SA[[#This Row],[Acrescimo_Bverm2]]/Dados_SA[[#This Row],[Valor da Fatura]]</f>
        <v>0</v>
      </c>
      <c r="AN128" s="36">
        <v>1.05</v>
      </c>
      <c r="AO128" s="36">
        <v>1</v>
      </c>
      <c r="AP128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28" s="65">
        <f>IF(Dados_SA[[#This Row],[Exced]]&lt;&gt;"",1,0)</f>
        <v>0</v>
      </c>
      <c r="AR128" s="65">
        <f>AVERAGEIFS(Dados_SA[DEMANDA_REGISTRADA_P],Dados_SA[ANO],2015,Dados_SA[UC],"SBC")</f>
        <v>410.04999999999995</v>
      </c>
      <c r="AS128" s="65">
        <f>AVERAGEIFS(Dados_SA[DEMANDA_REGISTRADA_FP],Dados_SA[ANO],2015,Dados_SA[UC],"SBC")</f>
        <v>410.82499999999999</v>
      </c>
      <c r="AT128" s="65">
        <v>157561.57999999999</v>
      </c>
    </row>
    <row r="129" spans="1:46" ht="15.75" customHeight="1" x14ac:dyDescent="0.2">
      <c r="A129" s="40" t="s">
        <v>67</v>
      </c>
      <c r="B129" s="15">
        <v>43922</v>
      </c>
      <c r="C129" s="5">
        <v>2020</v>
      </c>
      <c r="D129" s="5">
        <v>4</v>
      </c>
      <c r="E129" s="5">
        <v>29</v>
      </c>
      <c r="F129" s="5">
        <v>2.3E-3</v>
      </c>
      <c r="G129" s="6">
        <v>1.06E-2</v>
      </c>
      <c r="H129" s="5">
        <v>0.18</v>
      </c>
      <c r="I129" s="5">
        <v>500</v>
      </c>
      <c r="J129" s="5">
        <v>500</v>
      </c>
      <c r="K129" s="5">
        <v>291.5</v>
      </c>
      <c r="L129" s="7">
        <v>304.10000000000002</v>
      </c>
      <c r="M129" s="5"/>
      <c r="N129" s="9"/>
      <c r="O129" s="9">
        <v>12.96</v>
      </c>
      <c r="P129" s="5"/>
      <c r="Q129" s="5">
        <v>11591</v>
      </c>
      <c r="R129" s="5">
        <v>113500.8</v>
      </c>
      <c r="S129" s="10">
        <v>0.56227000000000005</v>
      </c>
      <c r="T129" s="10">
        <v>7.5620000000000007E-2</v>
      </c>
      <c r="U129" s="10">
        <v>0.40493000000000001</v>
      </c>
      <c r="V129" s="10">
        <v>0.24232999999999999</v>
      </c>
      <c r="W129" s="5">
        <v>1002.8</v>
      </c>
      <c r="X129" s="5">
        <v>3206.7</v>
      </c>
      <c r="Y129" s="5"/>
      <c r="Z129" s="5"/>
      <c r="AA129" s="35">
        <v>62218.45</v>
      </c>
      <c r="AB129" s="35">
        <v>125091.8</v>
      </c>
      <c r="AC129" s="33">
        <v>0</v>
      </c>
      <c r="AD129" s="33">
        <v>0</v>
      </c>
      <c r="AE129" s="35">
        <v>0</v>
      </c>
      <c r="AF129" s="17" t="s">
        <v>32</v>
      </c>
      <c r="AG129" s="41">
        <f>IFERROR(IF(Dados_SA[[#This Row],[DEMANDA_REGISTRADA_P]]/Dados_SA[[#This Row],[DEMANDA_CONTRATADA_P]]=0,"",Dados_SA[[#This Row],[DEMANDA_REGISTRADA_P]]/Dados_SA[[#This Row],[DEMANDA_CONTRATADA_P]]),"")</f>
        <v>0.58299999999999996</v>
      </c>
      <c r="AH129" s="41">
        <f>IFERROR(IF(Dados_SA[[#This Row],[DEMANDA_REGISTRADA_FP]]/Dados_SA[[#This Row],[DEMANDA_CONTRATADA_FP]]=0,"",Dados_SA[[#This Row],[DEMANDA_REGISTRADA_FP]]/Dados_SA[[#This Row],[DEMANDA_CONTRATADA_FP]]),"")</f>
        <v>0.60820000000000007</v>
      </c>
      <c r="AI129" s="42">
        <f>IF(Dados_SA[[#This Row],[% Demanda contratada P]]&gt;105%,1,0)</f>
        <v>0</v>
      </c>
      <c r="AJ129" s="42">
        <f>IF(Dados_SA[[#This Row],[% Demanda contratada FP]]&gt;105%,1,0)</f>
        <v>0</v>
      </c>
      <c r="AK129" s="41">
        <f>Dados_SA[[#This Row],[Acrescimo_Bamar]]/Dados_SA[[#This Row],[Valor da Fatura]]</f>
        <v>0</v>
      </c>
      <c r="AL129" s="41">
        <f>Dados_SA[[#This Row],[Acrescimo_Bverm1]]/Dados_SA[[#This Row],[Valor da Fatura]]</f>
        <v>0</v>
      </c>
      <c r="AM129" s="41">
        <f>Dados_SA[[#This Row],[Acrescimo_Bverm2]]/Dados_SA[[#This Row],[Valor da Fatura]]</f>
        <v>0</v>
      </c>
      <c r="AN129" s="36">
        <v>1.05</v>
      </c>
      <c r="AO129" s="36">
        <v>1</v>
      </c>
      <c r="AP129" s="36" t="str">
        <f>IF(AND(Dados_SA[[#This Row],[% Demanda contratada P]]&lt;&gt;"",Dados_SA[[#This Row],[% Demanda contratada FP]]&lt;&gt;""),IF(AND(Dados_SA[[#This Row],[% Demanda contratada P]]&gt;1.05,Dados_SA[[#This Row],[% Demanda contratada FP]]&gt;1.05),"P&amp;FP",IF(Dados_SA[[#This Row],[% Demanda contratada P]]&gt;1.05,"P",IF(Dados_SA[[#This Row],[% Demanda contratada FP]]&gt;1.05,"FP",""))),"")</f>
        <v/>
      </c>
      <c r="AQ129" s="65">
        <f>IF(Dados_SA[[#This Row],[Exced]]&lt;&gt;"",1,0)</f>
        <v>0</v>
      </c>
      <c r="AR129" s="65">
        <f>AVERAGEIFS(Dados_SA[DEMANDA_REGISTRADA_P],Dados_SA[ANO],2015,Dados_SA[UC],"SBC")</f>
        <v>410.04999999999995</v>
      </c>
      <c r="AS129" s="65">
        <f>AVERAGEIFS(Dados_SA[DEMANDA_REGISTRADA_FP],Dados_SA[ANO],2015,Dados_SA[UC],"SBC")</f>
        <v>410.82499999999999</v>
      </c>
      <c r="AT129" s="65">
        <v>157561.57999999999</v>
      </c>
    </row>
    <row r="130" spans="1:46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3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46" ht="15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3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46" ht="15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3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46" ht="15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3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46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3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46" ht="15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3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46" ht="15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3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46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3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46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3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46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3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46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3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1:46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3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1:46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3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1:46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3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1:46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3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spans="1:31" ht="15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3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spans="1:31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3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spans="1:31" ht="15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3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spans="1:31" ht="15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3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spans="1:31" ht="15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3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spans="1:31" ht="15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3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spans="1:31" ht="15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3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spans="1:31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3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1:31" ht="15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3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spans="1:31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3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spans="1:31" ht="15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3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spans="1:31" ht="15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3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spans="1:31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3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spans="1:31" ht="15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3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spans="1:31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3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 spans="1:31" ht="15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3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spans="1:31" ht="15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3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 spans="1:31" ht="15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3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 spans="1:31" ht="15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3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spans="1:31" ht="15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3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spans="1:31" ht="15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3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 spans="1:31" ht="15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3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 spans="1:31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3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 spans="1:31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3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 spans="1:31" ht="15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3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 spans="1:31" ht="15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3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 spans="1:31" ht="15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3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 spans="1:31" ht="15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3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 spans="1:31" ht="15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3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 spans="1:31" ht="15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3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 spans="1:31" ht="15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3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 spans="1:31" ht="15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3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 spans="1:31" ht="15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3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 spans="1:31" ht="15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3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 spans="1:31" ht="15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3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 spans="1:31" ht="15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3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 spans="1:31" ht="15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3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 spans="1:31" ht="15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3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 spans="1:31" ht="15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3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 spans="1:31" ht="15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3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 spans="1:31" ht="15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3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 spans="1:31" ht="15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3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 spans="1:31" ht="15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3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 spans="1:31" ht="15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3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 spans="1:31" ht="15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3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 spans="1:31" ht="15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3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 spans="1:31" ht="15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3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 spans="1:31" ht="15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3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 spans="1:31" ht="15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3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 spans="1:31" ht="15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3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 spans="1:31" ht="15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3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 spans="1:31" ht="15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3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 spans="1:31" ht="15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3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 spans="1:31" ht="15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3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 spans="1:31" ht="15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3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 spans="1:31" ht="15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3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 spans="1:31" ht="15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3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 spans="1:31" ht="15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3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 spans="1:31" ht="15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3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 spans="1:31" ht="15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3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 spans="1:31" ht="15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3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 spans="1:31" ht="15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3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 spans="1:31" ht="15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3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 spans="1:31" ht="15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3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 spans="1:31" ht="15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3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 spans="1:31" ht="15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3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 spans="1:31" ht="15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3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 spans="1:31" ht="15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3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 spans="1:31" ht="15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3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 spans="1:31" ht="15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3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 spans="1:31" ht="15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3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 spans="1:31" ht="15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3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 spans="1:31" ht="15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3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 spans="1:31" ht="15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3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 spans="1:31" ht="15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3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 spans="1:31" ht="15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3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 spans="1:31" ht="15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3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 spans="1:31" ht="15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3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 spans="1:31" ht="15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3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 spans="1:31" ht="15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3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 spans="1:31" ht="15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3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 spans="1:31" ht="15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3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 spans="1:31" ht="15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3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 spans="1:31" ht="15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3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 spans="1:31" ht="15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3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 spans="1:31" ht="15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3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 spans="1:31" ht="15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3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 spans="1:31" ht="15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3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 spans="1:31" ht="15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3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 spans="1:31" ht="15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3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 spans="1:31" ht="15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3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 spans="1:31" ht="15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3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 spans="1:31" ht="15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3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 spans="1:31" ht="15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3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 spans="1:31" ht="15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3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 spans="1:31" ht="15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3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 spans="1:31" ht="15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3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 spans="1:31" ht="15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3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 spans="1:31" ht="15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3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 spans="1:31" ht="15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3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 spans="1:31" ht="15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3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 spans="1:31" ht="15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3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 spans="1:31" ht="15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3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 spans="1:31" ht="15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3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 spans="1:31" ht="15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3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 spans="1:31" ht="15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3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 spans="1:31" ht="15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3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 spans="1:31" ht="15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3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 spans="1:31" ht="15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3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 spans="1:31" ht="15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3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 spans="1:31" ht="15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3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 spans="1:31" ht="15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3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 spans="1:31" ht="15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3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 spans="1:31" ht="15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3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 spans="1:31" ht="15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3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 spans="1:31" ht="15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3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 spans="1:31" ht="15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3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 spans="1:31" ht="15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3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 spans="1:31" ht="15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3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 spans="1:31" ht="15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3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 spans="1:31" ht="15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3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 spans="1:31" ht="15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3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 spans="1:31" ht="15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3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 spans="1:31" ht="15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3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 spans="1:31" ht="15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3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 spans="1:31" ht="15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3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 spans="1:31" ht="15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3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 spans="1:31" ht="15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3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 spans="1:31" ht="15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3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 spans="1:31" ht="15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3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 spans="1:31" ht="15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3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 spans="1:31" ht="15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3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 spans="1:31" ht="15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3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 spans="1:31" ht="15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3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 spans="1:31" ht="15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3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 spans="1:31" ht="15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3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 spans="1:31" ht="15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3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 spans="1:31" ht="15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3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 spans="1:31" ht="15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3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 spans="1:31" ht="15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3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 spans="1:31" ht="15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3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 spans="1:31" ht="15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3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 spans="1:31" ht="15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3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 spans="1:31" ht="15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3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 spans="1:31" ht="15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3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 spans="1:31" ht="15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3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 spans="1:31" ht="15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3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 spans="1:31" ht="15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3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 spans="1:31" ht="15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3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 spans="1:31" ht="15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3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 spans="1:31" ht="15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3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 spans="1:31" ht="15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3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 spans="1:31" ht="15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3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 spans="1:31" ht="15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3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 spans="1:31" ht="15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3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 spans="1:31" ht="15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3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 spans="1:31" ht="15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3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 spans="1:31" ht="15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3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 spans="1:31" ht="15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3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 spans="1:31" ht="15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3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 spans="1:31" ht="15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3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 spans="1:31" ht="15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3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 spans="1:31" ht="15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3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 spans="1:31" ht="15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3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 spans="1:31" ht="15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3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 spans="1:31" ht="15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3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 spans="1:31" ht="15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3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 spans="1:31" ht="15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3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 spans="1:31" ht="15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3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 spans="1:31" ht="15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3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 spans="1:31" ht="15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3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 spans="1:31" ht="15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3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 spans="1:31" ht="15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3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 spans="1:31" ht="15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3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 spans="1:31" ht="15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3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 spans="1:31" ht="15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3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 spans="1:31" ht="15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3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 spans="1:31" ht="15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3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 spans="1:31" ht="15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3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 spans="1:31" ht="15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3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 spans="1:31" ht="15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3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 spans="1:31" ht="15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3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 spans="1:31" ht="15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3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 spans="1:31" ht="15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3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 spans="1:31" ht="15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3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 spans="1:31" ht="15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3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 spans="1:31" ht="15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3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 spans="1:31" ht="15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3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 spans="1:31" ht="15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3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 spans="1:31" ht="15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3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 spans="1:31" ht="15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3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 spans="1:31" ht="15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3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 spans="1:31" ht="15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3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 spans="1:31" ht="15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3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 spans="1:31" ht="15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3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 spans="1:31" ht="15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3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 spans="1:31" ht="15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3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 spans="1:31" ht="15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3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 spans="1:31" ht="15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3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 spans="1:31" ht="15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3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 spans="1:31" ht="15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3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 spans="1:31" ht="15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3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 spans="1:31" ht="15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3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 spans="1:31" ht="15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3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 spans="1:31" ht="15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3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 spans="1:31" ht="15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3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 spans="1:31" ht="15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3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 spans="1:31" ht="15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3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 spans="1:31" ht="15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3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 spans="1:31" ht="15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3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 spans="1:31" ht="15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3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 spans="1:31" ht="15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3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 spans="1:31" ht="15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3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 spans="1:31" ht="15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3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 spans="1:31" ht="15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3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 spans="1:31" ht="15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3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 spans="1:31" ht="15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3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 spans="1:31" ht="15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3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 spans="1:31" ht="15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3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 spans="1:31" ht="15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3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 spans="1:31" ht="15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3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 spans="1:31" ht="15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3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 spans="1:31" ht="15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3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 spans="1:31" ht="15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3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 spans="1:31" ht="15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3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 spans="1:31" ht="15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3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 spans="1:31" ht="15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3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 spans="1:31" ht="15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3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 spans="1:31" ht="15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3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 spans="1:31" ht="15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3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 spans="1:31" ht="15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3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 spans="1:31" ht="15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3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 spans="1:31" ht="15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3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 spans="1:31" ht="15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3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 spans="1:31" ht="15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3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 spans="1:31" ht="15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3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 spans="1:31" ht="15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3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 spans="1:31" ht="15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3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 spans="1:31" ht="15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3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 spans="1:31" ht="15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3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 spans="1:31" ht="15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3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 spans="1:31" ht="15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3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 spans="1:31" ht="15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3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 spans="1:31" ht="15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3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 spans="1:31" ht="15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3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 spans="1:31" ht="15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3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 spans="1:31" ht="15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3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 spans="1:31" ht="15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3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 spans="1:31" ht="15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3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 spans="1:31" ht="15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3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 spans="1:31" ht="15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3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 spans="1:31" ht="15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3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 spans="1:31" ht="15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3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 spans="1:31" ht="15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3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 spans="1:31" ht="15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3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 spans="1:31" ht="15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3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 spans="1:31" ht="15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3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 spans="1:31" ht="15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3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 spans="1:31" ht="15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3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 spans="1:31" ht="15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3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 spans="1:31" ht="15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3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 spans="1:31" ht="15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3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 spans="1:31" ht="15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3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 spans="1:31" ht="15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3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 spans="1:31" ht="15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3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 spans="1:31" ht="15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3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 spans="1:31" ht="15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3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 spans="1:31" ht="15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3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 spans="1:31" ht="15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3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 spans="1:31" ht="15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3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 spans="1:31" ht="15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3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 spans="1:31" ht="15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3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 spans="1:31" ht="15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3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 spans="1:31" ht="15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3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 spans="1:31" ht="15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3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 spans="1:31" ht="15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3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 spans="1:31" ht="15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3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 spans="1:31" ht="15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3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 spans="1:31" ht="15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3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 spans="1:31" ht="15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3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 spans="1:31" ht="15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3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 spans="1:31" ht="15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3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 spans="1:31" ht="15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3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 spans="1:31" ht="15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3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 spans="1:31" ht="15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3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 spans="1:31" ht="15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3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 spans="1:31" ht="15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3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 spans="1:31" ht="15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3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 spans="1:31" ht="15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3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 spans="1:31" ht="15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3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 spans="1:31" ht="15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3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 spans="1:31" ht="15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3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 spans="1:31" ht="15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3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 spans="1:31" ht="15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3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 spans="1:31" ht="15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3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 spans="1:31" ht="15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3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 spans="1:31" ht="15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3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 spans="1:31" ht="15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3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 spans="1:31" ht="15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3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 spans="1:31" ht="15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3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 spans="1:31" ht="15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3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 spans="1:31" ht="15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3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 spans="1:31" ht="15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3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 spans="1:31" ht="15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3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 spans="1:31" ht="15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3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 spans="1:31" ht="15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3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 spans="1:31" ht="15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3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 spans="1:31" ht="15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3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 spans="1:31" ht="15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3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 spans="1:31" ht="15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3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 spans="1:31" ht="15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3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 spans="1:31" ht="15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3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 spans="1:31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3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 spans="1:31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3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 spans="1:31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3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 spans="1:31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3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 spans="1:31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3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 spans="1:31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3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 spans="1:31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3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 spans="1:31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3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 spans="1:31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3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 spans="1:31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3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 spans="1:31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3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 spans="1:31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3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 spans="1:31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3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 spans="1:31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3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 spans="1:31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3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 spans="1:31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3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 spans="1:31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3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 spans="1:31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3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 spans="1:31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3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 spans="1:31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3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 spans="1:31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3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 spans="1:31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3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 spans="1:31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3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 spans="1:31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3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 spans="1:31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3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 spans="1:31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3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 spans="1:31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3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 spans="1:31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3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 spans="1:31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3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 spans="1:31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3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 spans="1:31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3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 spans="1:31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3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 spans="1:31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3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 spans="1:31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3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 spans="1:31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3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 spans="1:31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3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 spans="1:31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3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 spans="1:31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3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 spans="1:31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3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 spans="1:31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3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 spans="1:31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3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 spans="1:31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3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 spans="1:31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3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 spans="1:31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3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 spans="1:31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3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 spans="1:31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3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 spans="1:31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3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 spans="1:31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3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 spans="1:31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3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 spans="1:31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3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 spans="1:31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3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 spans="1:31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3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 spans="1:31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3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 spans="1:31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3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 spans="1:31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3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 spans="1:31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3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 spans="1:31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3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 spans="1:31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3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 spans="1:31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3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 spans="1:31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3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 spans="1:31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3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 spans="1:31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3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 spans="1:31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3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 spans="1:31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3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 spans="1:31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3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 spans="1:31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3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 spans="1:31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3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 spans="1:31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3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 spans="1:31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3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 spans="1:31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3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 spans="1:31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3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 spans="1:31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3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 spans="1:31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3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 spans="1:31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3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 spans="1:31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3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 spans="1:31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3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 spans="1:31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3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 spans="1:31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3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 spans="1:31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3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 spans="1:31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3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 spans="1:31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3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 spans="1:31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3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 spans="1:31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3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 spans="1:31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3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 spans="1:31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3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 spans="1:31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3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 spans="1:31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3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 spans="1:31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3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 spans="1:31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3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 spans="1:31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3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 spans="1:31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3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 spans="1:31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3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 spans="1:31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3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 spans="1:31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3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 spans="1:31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3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 spans="1:31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3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 spans="1:31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3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 spans="1:31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3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 spans="1:31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3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 spans="1:31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3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 spans="1:31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3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 spans="1:31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3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 spans="1:31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3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 spans="1:31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3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 spans="1:31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3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 spans="1:31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3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 spans="1:31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3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 spans="1:31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3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 spans="1:31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3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 spans="1:31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3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 spans="1:31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3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 spans="1:31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3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 spans="1:31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3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 spans="1:31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3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 spans="1:31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3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 spans="1:31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3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 spans="1:31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3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 spans="1:31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3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 spans="1:31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3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 spans="1:31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3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 spans="1:31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3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 spans="1:31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3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 spans="1:31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3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 spans="1:31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3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 spans="1:31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3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 spans="1:31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3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 spans="1:31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3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 spans="1:31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3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 spans="1:31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3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 spans="1:31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3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 spans="1:31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3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 spans="1:31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3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 spans="1:31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3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 spans="1:31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3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 spans="1:31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3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 spans="1:31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3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 spans="1:31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3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 spans="1:31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3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 spans="1:31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3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 spans="1:31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3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 spans="1:31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3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 spans="1:31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3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 spans="1:31" ht="15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3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 spans="1:31" ht="15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3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 spans="1:31" ht="15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3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 spans="1:31" ht="15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3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 spans="1:31" ht="15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3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 spans="1:31" ht="15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3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 spans="1:31" ht="15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3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 spans="1:31" ht="15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3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 spans="1:31" ht="15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3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 spans="1:31" ht="15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3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 spans="1:31" ht="15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3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 spans="1:31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3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 spans="1:31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3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 spans="1:31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3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 spans="1:31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3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 spans="1:31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3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 spans="1:31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3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 spans="1:31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3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 spans="1:31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3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 spans="1:31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3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 spans="1:31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3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 spans="1:31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3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 spans="1:31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3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 spans="1:31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3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 spans="1:31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3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 spans="1:31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3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 spans="1:31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3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 spans="1:31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3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 spans="1:31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3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 spans="1:31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3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 spans="1:31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3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 spans="1:31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3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 spans="1:31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3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 spans="1:31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3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 spans="1:31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3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 spans="1:31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3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 spans="1:31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3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 spans="1:31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3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 spans="1:31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3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 spans="1:31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3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 spans="1:31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3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 spans="1:31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3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 spans="1:31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3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 spans="1:31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3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 spans="1:31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3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 spans="1:31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3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 spans="1:31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3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 spans="1:31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3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 spans="1:31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3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 spans="1:31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3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 spans="1:31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3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 spans="1:31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3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 spans="1:31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3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 spans="1:31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3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 spans="1:31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3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 spans="1:31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3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 spans="1:31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3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 spans="1:31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3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 spans="1:31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3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 spans="1:31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3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 spans="1:31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3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 spans="1:31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3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 spans="1:31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3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 spans="1:31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3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 spans="1:31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3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 spans="1:31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3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 spans="1:31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3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 spans="1:31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3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 spans="1:31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3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 spans="1:31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3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 spans="1:31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3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 spans="1:31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3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 spans="1:31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3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 spans="1:31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3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 spans="1:31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3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 spans="1:31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3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 spans="1:31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3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 spans="1:31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3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 spans="1:31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3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 spans="1:31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3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 spans="1:31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3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 spans="1:31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3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 spans="1:31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3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 spans="1:31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3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 spans="1:31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3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 spans="1:31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3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 spans="1:31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3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 spans="1:31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3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 spans="1:31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3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 spans="1:31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3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 spans="1:31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3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 spans="1:31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3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 spans="1:31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3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 spans="1:31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3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 spans="1:31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3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 spans="1:31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3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 spans="1:31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3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 spans="1:31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3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 spans="1:31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3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 spans="1:31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3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 spans="1:31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3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 spans="1:31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3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 spans="1:31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3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 spans="1:31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3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 spans="1:31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3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 spans="1:31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3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 spans="1:31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3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 spans="1:31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3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 spans="1:31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3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 spans="1:31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3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 spans="1:31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3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 spans="1:31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3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 spans="1:31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3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 spans="1:31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3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 spans="1:31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3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 spans="1:31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3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 spans="1:31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3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 spans="1:31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3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 spans="1:31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3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 spans="1:31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3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 spans="1:31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3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 spans="1:31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3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 spans="1:31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3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 spans="1:31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3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 spans="1:31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3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 spans="1:31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3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 spans="1:31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3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 spans="1:31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3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 spans="1:31" ht="15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3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 spans="1:31" ht="15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3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 spans="1:31" ht="15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3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 spans="1:31" ht="15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3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 spans="1:31" ht="15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3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 spans="1:31" ht="15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3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 spans="1:31" ht="15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3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 spans="1:31" ht="15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3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 spans="1:31" ht="15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3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 spans="1:31" ht="15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3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 spans="1:31" ht="15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3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 spans="1:31" ht="15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3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 spans="1:31" ht="15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3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 spans="1:31" ht="15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3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 spans="1:31" ht="15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3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 spans="1:31" ht="15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3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 spans="1:31" ht="15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3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 spans="1:31" ht="15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3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 spans="1:31" ht="15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3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 spans="1:31" ht="15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3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 spans="1:31" ht="15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3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 spans="1:31" ht="15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3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 spans="1:31" ht="15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3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 spans="1:31" ht="15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3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 spans="1:31" ht="15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3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 spans="1:31" ht="15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3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 spans="1:31" ht="15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3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 spans="1:31" ht="15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3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 spans="1:31" ht="15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3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 spans="1:31" ht="15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3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 spans="1:31" ht="15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3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 spans="1:31" ht="15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3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 spans="1:31" ht="15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3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 spans="1:31" ht="15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3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 spans="1:31" ht="15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3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 spans="1:31" ht="15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3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 spans="1:31" ht="15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3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 spans="1:31" ht="15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3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 spans="1:31" ht="15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3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 spans="1:31" ht="15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3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 spans="1:31" ht="15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3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 spans="1:31" ht="15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3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 spans="1:31" ht="15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3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 spans="1:31" ht="15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3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 spans="1:31" ht="15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3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 spans="1:31" ht="15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3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 spans="1:31" ht="15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3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 spans="1:31" ht="15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3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 spans="1:31" ht="15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3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 spans="1:31" ht="15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3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 spans="1:31" ht="15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3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 spans="1:31" ht="15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3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 spans="1:31" ht="15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3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 spans="1:31" ht="15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3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 spans="1:31" ht="15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3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 spans="1:31" ht="15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3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 spans="1:31" ht="15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3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 spans="1:31" ht="15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3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 spans="1:31" ht="15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3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 spans="1:31" ht="15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3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 spans="1:31" ht="15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3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 spans="1:31" ht="15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3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 spans="1:31" ht="15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3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 spans="1:31" ht="15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3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 spans="1:31" ht="15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3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 spans="1:31" ht="15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3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 spans="1:31" ht="15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3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 spans="1:31" ht="15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3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 spans="1:31" ht="15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3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 spans="1:31" ht="15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3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 spans="1:31" ht="15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3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 spans="1:31" ht="15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3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 spans="1:31" ht="15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3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 spans="1:31" ht="15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3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 spans="1:31" ht="15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3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 spans="1:31" ht="15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3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 spans="1:31" ht="15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3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 spans="1:31" ht="15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3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 spans="1:31" ht="15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3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 spans="1:31" ht="15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3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 spans="1:31" ht="15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3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 spans="1:31" ht="15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3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 spans="1:31" ht="15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3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 spans="1:31" ht="15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3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 spans="1:31" ht="15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3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 spans="1:31" ht="15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3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 spans="1:31" ht="15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3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 spans="1:31" ht="15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3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 spans="1:31" ht="15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3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 spans="1:31" ht="15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3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 spans="1:31" ht="15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3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 spans="1:31" ht="15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3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 spans="1:31" ht="15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3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 spans="1:31" ht="15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3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 spans="1:31" ht="15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3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 spans="1:31" ht="15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3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 spans="1:31" ht="15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3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 spans="1:31" ht="15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3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 spans="1:31" ht="15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3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 spans="1:31" ht="15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3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 spans="1:31" ht="15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3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 spans="1:31" ht="15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3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 spans="1:31" ht="15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3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 spans="1:31" ht="15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3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 spans="1:31" ht="15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3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 spans="1:31" ht="15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3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 spans="1:31" ht="15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3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 spans="1:31" ht="15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3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 spans="1:31" ht="15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3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 spans="1:31" ht="15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3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 spans="1:31" ht="15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3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 spans="1:31" ht="15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3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 spans="1:31" ht="15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3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 spans="1:31" ht="15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3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 spans="1:31" ht="15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3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 spans="1:31" ht="15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3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 spans="1:31" ht="15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3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 spans="1:31" ht="15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3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 spans="1:31" ht="15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3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 spans="1:31" ht="15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3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 spans="1:31" ht="15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3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 spans="1:31" ht="15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3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 spans="1:31" ht="15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3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 spans="1:31" ht="15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3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 spans="1:31" ht="15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3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 spans="1:31" ht="15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3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 spans="1:31" ht="15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3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 spans="1:31" ht="15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3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 spans="1:31" ht="15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3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 spans="1:31" ht="15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3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 spans="1:31" ht="15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3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 spans="1:31" ht="15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3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 spans="1:31" ht="15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3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 spans="1:31" ht="15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3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 spans="1:31" ht="15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3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 spans="1:31" ht="15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3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 spans="1:31" ht="15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3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 spans="1:31" ht="15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3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 spans="1:31" ht="15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3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 spans="1:31" ht="15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3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 spans="1:31" ht="15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3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 spans="1:31" ht="15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3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 spans="1:31" ht="15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3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 spans="1:31" ht="15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3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 spans="1:31" ht="15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3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 spans="1:31" ht="15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3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 spans="1:31" ht="15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3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 spans="1:31" ht="15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3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 spans="1:31" ht="15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3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 spans="1:31" ht="15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3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 spans="1:31" ht="15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3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 spans="1:31" ht="15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3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 spans="1:31" ht="15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3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 spans="1:31" ht="15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3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 spans="1:31" ht="15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3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 spans="1:31" ht="15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3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 spans="1:31" ht="15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3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 spans="1:31" ht="15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3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 spans="1:31" ht="15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3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 spans="1:31" ht="15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3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 spans="1:31" ht="15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3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 spans="1:31" ht="15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3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 spans="1:31" ht="15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3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 spans="1:31" ht="15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3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 spans="1:31" ht="15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3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 spans="1:31" ht="15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3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 spans="1:31" ht="15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3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 spans="1:31" ht="15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3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 spans="1:31" ht="15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3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 spans="1:31" ht="15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3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 spans="1:31" ht="15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3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 spans="1:31" ht="15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3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 spans="1:31" ht="15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3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 spans="1:31" ht="15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3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 spans="1:31" ht="15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3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 spans="1:31" ht="15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3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 spans="1:31" ht="15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3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 spans="1:31" ht="15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3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 spans="1:31" ht="15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3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 spans="1:31" ht="15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3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 spans="1:31" ht="15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3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 spans="1:31" ht="15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3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 spans="1:31" ht="15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3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 spans="1:31" ht="15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3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 spans="1:31" ht="15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3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 spans="1:31" ht="15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3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 spans="1:31" ht="15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3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 spans="1:31" ht="15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3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 spans="1:31" ht="15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3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 spans="1:31" ht="15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3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 spans="1:31" ht="15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3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 spans="1:31" ht="15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3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 spans="1:31" ht="15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3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 spans="1:31" ht="15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3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 spans="1:31" ht="15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3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 spans="1:31" ht="15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3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 spans="1:31" ht="15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3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 spans="1:31" ht="15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3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 spans="1:31" ht="15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3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 spans="1:31" ht="15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3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 spans="1:31" ht="15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3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 spans="1:31" ht="15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3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 spans="1:31" ht="15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3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 spans="1:31" ht="15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3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 spans="1:31" ht="15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3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 spans="1:31" ht="15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3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 spans="1:31" ht="15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3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 spans="1:31" ht="15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3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 spans="1:31" ht="15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3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 spans="1:31" ht="15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3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 spans="1:31" ht="15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3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 spans="1:31" ht="15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3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 spans="1:31" ht="15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3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 spans="1:31" ht="15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3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 spans="1:31" ht="15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3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 spans="1:31" ht="15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3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 spans="1:31" ht="15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3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 spans="1:31" ht="15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3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 spans="1:31" ht="15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3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 spans="1:31" ht="15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3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 spans="1:31" ht="15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3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 spans="1:31" ht="15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3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 spans="1:31" ht="15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3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 spans="1:31" ht="15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3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 spans="1:31" ht="15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3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 spans="1:31" ht="15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3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 spans="1:31" ht="15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3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 spans="1:31" ht="15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3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 spans="1:31" ht="15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3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 spans="1:31" ht="15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3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 spans="1:31" ht="15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3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 spans="1:31" ht="15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3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 spans="1:31" ht="15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3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 spans="1:31" ht="15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3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 spans="1:31" ht="15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3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 spans="1:31" ht="15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3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 spans="1:31" ht="15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3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 spans="1:31" ht="15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3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 spans="1:31" ht="15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3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 spans="1:31" ht="15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3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 spans="1:31" ht="15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3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 spans="1:31" ht="15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3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 spans="1:31" ht="15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3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 spans="1:31" ht="15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3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 spans="1:31" ht="15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3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 spans="1:31" ht="15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3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 spans="1:31" ht="15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3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 spans="1:31" ht="15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3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 spans="1:31" ht="15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3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 spans="1:31" ht="15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3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 spans="1:31" ht="15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3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 spans="1:31" ht="15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3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 spans="1:31" ht="15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3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 spans="1:31" ht="15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3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 spans="1:31" ht="15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3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 spans="1:31" ht="15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3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 spans="1:31" ht="15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3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 spans="1:31" ht="15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3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 spans="1:31" ht="15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3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 spans="1:31" ht="15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3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 spans="1:31" ht="15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3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 spans="1:31" ht="15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3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 spans="1:31" ht="15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3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 spans="1:31" ht="15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3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 spans="1:31" ht="15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3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 spans="1:31" ht="15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3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 spans="1:31" ht="15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3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 spans="1:31" ht="15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3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 spans="1:31" ht="15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3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 spans="1:31" ht="15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3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 spans="1:31" ht="15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3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 spans="1:31" ht="15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3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 spans="1:31" ht="15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3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 spans="1:31" ht="15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3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</sheetData>
  <phoneticPr fontId="8" type="noConversion"/>
  <conditionalFormatting sqref="K33">
    <cfRule type="notContainsBlanks" dxfId="68" priority="5">
      <formula>LEN(TRIM(K33))&gt;0</formula>
    </cfRule>
  </conditionalFormatting>
  <conditionalFormatting sqref="BC4:BC15 BC17:BC28">
    <cfRule type="cellIs" dxfId="67" priority="4" operator="lessThan">
      <formula>0</formula>
    </cfRule>
  </conditionalFormatting>
  <conditionalFormatting sqref="BL4:BL15">
    <cfRule type="cellIs" dxfId="66" priority="3" operator="lessThan">
      <formula>0</formula>
    </cfRule>
  </conditionalFormatting>
  <conditionalFormatting sqref="BL17:BL28">
    <cfRule type="cellIs" dxfId="65" priority="2" operator="lessThan">
      <formula>0</formula>
    </cfRule>
  </conditionalFormatting>
  <conditionalFormatting pivot="1" sqref="BG4:BK15 BG17:BK28">
    <cfRule type="cellIs" dxfId="64" priority="1" operator="lessThan">
      <formula>0</formula>
    </cfRule>
  </conditionalFormatting>
  <pageMargins left="0.511811024" right="0.511811024" top="0.78740157499999996" bottom="0.78740157499999996" header="0" footer="0"/>
  <pageSetup orientation="landscape"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FC29-92FA-4320-919A-4F83AF129C51}">
  <dimension ref="M1:S17"/>
  <sheetViews>
    <sheetView tabSelected="1" workbookViewId="0">
      <selection activeCell="M20" sqref="M20"/>
    </sheetView>
  </sheetViews>
  <sheetFormatPr baseColWidth="10" defaultColWidth="8.83203125" defaultRowHeight="14" x14ac:dyDescent="0.15"/>
  <cols>
    <col min="13" max="13" width="31.6640625" bestFit="1" customWidth="1"/>
    <col min="14" max="14" width="19.5" bestFit="1" customWidth="1"/>
    <col min="15" max="19" width="11.83203125" bestFit="1" customWidth="1"/>
    <col min="20" max="20" width="31.6640625" bestFit="1" customWidth="1"/>
    <col min="21" max="21" width="32.6640625" bestFit="1" customWidth="1"/>
    <col min="22" max="22" width="31.6640625" bestFit="1" customWidth="1"/>
    <col min="23" max="23" width="32.6640625" bestFit="1" customWidth="1"/>
    <col min="24" max="24" width="36.6640625" bestFit="1" customWidth="1"/>
    <col min="25" max="25" width="38" bestFit="1" customWidth="1"/>
    <col min="26" max="26" width="9.83203125" bestFit="1" customWidth="1"/>
    <col min="27" max="27" width="6.6640625" bestFit="1" customWidth="1"/>
    <col min="28" max="28" width="4.83203125" bestFit="1" customWidth="1"/>
    <col min="29" max="29" width="9.83203125" bestFit="1" customWidth="1"/>
    <col min="30" max="30" width="6.6640625" bestFit="1" customWidth="1"/>
    <col min="31" max="31" width="4.83203125" bestFit="1" customWidth="1"/>
    <col min="32" max="32" width="9.83203125" bestFit="1" customWidth="1"/>
    <col min="33" max="33" width="10.6640625" bestFit="1" customWidth="1"/>
  </cols>
  <sheetData>
    <row r="1" spans="13:19" x14ac:dyDescent="0.15">
      <c r="M1" s="25" t="s">
        <v>0</v>
      </c>
      <c r="N1" t="s">
        <v>66</v>
      </c>
    </row>
    <row r="3" spans="13:19" x14ac:dyDescent="0.15">
      <c r="M3" s="25" t="s">
        <v>186</v>
      </c>
      <c r="N3" s="25" t="s">
        <v>181</v>
      </c>
    </row>
    <row r="4" spans="13:19" x14ac:dyDescent="0.15">
      <c r="M4" s="25" t="s">
        <v>57</v>
      </c>
      <c r="N4">
        <v>2015</v>
      </c>
      <c r="O4">
        <v>2016</v>
      </c>
      <c r="P4">
        <v>2017</v>
      </c>
      <c r="Q4">
        <v>2018</v>
      </c>
      <c r="R4">
        <v>2019</v>
      </c>
      <c r="S4" t="s">
        <v>58</v>
      </c>
    </row>
    <row r="5" spans="13:19" x14ac:dyDescent="0.15">
      <c r="M5" s="26">
        <v>1</v>
      </c>
      <c r="N5" s="24">
        <v>0.7212142857142857</v>
      </c>
      <c r="O5" s="24">
        <v>0.73921428571428582</v>
      </c>
      <c r="P5" s="24">
        <v>0.83399999999999996</v>
      </c>
      <c r="Q5" s="24">
        <v>0.79021428571428565</v>
      </c>
      <c r="R5" s="24">
        <v>0.8987857142857143</v>
      </c>
      <c r="S5" s="24">
        <v>3.9834285714285715</v>
      </c>
    </row>
    <row r="6" spans="13:19" x14ac:dyDescent="0.15">
      <c r="M6" s="26">
        <v>2</v>
      </c>
      <c r="N6" s="24">
        <v>0.93300000000000005</v>
      </c>
      <c r="O6" s="24">
        <v>0.85857142857142854</v>
      </c>
      <c r="P6" s="24">
        <v>0.67442857142857149</v>
      </c>
      <c r="Q6" s="24">
        <v>0.67078571428571432</v>
      </c>
      <c r="R6" s="24">
        <v>0.86379761904761887</v>
      </c>
      <c r="S6" s="24">
        <v>4.0005833333333332</v>
      </c>
    </row>
    <row r="7" spans="13:19" x14ac:dyDescent="0.15">
      <c r="M7" s="26">
        <v>3</v>
      </c>
      <c r="N7" s="24">
        <v>0.95578571428571424</v>
      </c>
      <c r="O7" s="24">
        <v>0.94321428571428567</v>
      </c>
      <c r="P7" s="24">
        <v>0.99057142857142855</v>
      </c>
      <c r="Q7" s="24">
        <v>1.0272142857142856</v>
      </c>
      <c r="R7" s="24">
        <v>0.87988194444444434</v>
      </c>
      <c r="S7" s="24">
        <v>4.7966676587301587</v>
      </c>
    </row>
    <row r="8" spans="13:19" x14ac:dyDescent="0.15">
      <c r="M8" s="26">
        <v>4</v>
      </c>
      <c r="N8" s="24">
        <v>0.8927857142857144</v>
      </c>
      <c r="O8" s="24">
        <v>0.96957142857142864</v>
      </c>
      <c r="P8" s="24">
        <v>0.98699999999999999</v>
      </c>
      <c r="Q8" s="24">
        <v>0.91321428571428576</v>
      </c>
      <c r="R8" s="24">
        <v>1.0457857142857143</v>
      </c>
      <c r="S8" s="24">
        <v>4.808357142857143</v>
      </c>
    </row>
    <row r="9" spans="13:19" x14ac:dyDescent="0.15">
      <c r="M9" s="26">
        <v>5</v>
      </c>
      <c r="N9" s="24">
        <v>0.83399999999999996</v>
      </c>
      <c r="O9" s="24">
        <v>1.0277857142857143</v>
      </c>
      <c r="P9" s="24">
        <v>0.92278571428571432</v>
      </c>
      <c r="Q9" s="24">
        <v>0.97857142857142854</v>
      </c>
      <c r="R9" s="24">
        <v>1.008</v>
      </c>
      <c r="S9" s="24">
        <v>4.7711428571428574</v>
      </c>
    </row>
    <row r="10" spans="13:19" x14ac:dyDescent="0.15">
      <c r="M10" s="26">
        <v>6</v>
      </c>
      <c r="N10" s="24">
        <v>0.86578571428571427</v>
      </c>
      <c r="O10" s="24">
        <v>0.68878571428571422</v>
      </c>
      <c r="P10" s="24">
        <v>0.8304285714285714</v>
      </c>
      <c r="Q10" s="24">
        <v>0.85678571428571426</v>
      </c>
      <c r="R10" s="24">
        <v>0.84357142857142853</v>
      </c>
      <c r="S10" s="24">
        <v>4.0853571428571431</v>
      </c>
    </row>
    <row r="11" spans="13:19" x14ac:dyDescent="0.15">
      <c r="M11" s="26">
        <v>7</v>
      </c>
      <c r="N11" s="24">
        <v>0.76742857142857146</v>
      </c>
      <c r="O11" s="24">
        <v>0.68878571428571422</v>
      </c>
      <c r="P11" s="24">
        <v>0.76442857142857146</v>
      </c>
      <c r="Q11" s="24">
        <v>0.84300000000000008</v>
      </c>
      <c r="R11" s="24">
        <v>0.8105714285714285</v>
      </c>
      <c r="S11" s="24">
        <v>3.8742142857142854</v>
      </c>
    </row>
    <row r="12" spans="13:19" x14ac:dyDescent="0.15">
      <c r="M12" s="26">
        <v>8</v>
      </c>
      <c r="N12" s="24">
        <v>0.82678571428571423</v>
      </c>
      <c r="O12" s="24">
        <v>0.70742857142857141</v>
      </c>
      <c r="P12" s="24">
        <v>0.76442857142857146</v>
      </c>
      <c r="Q12" s="24">
        <v>0.82921428571428579</v>
      </c>
      <c r="R12" s="24">
        <v>0.8105714285714285</v>
      </c>
      <c r="S12" s="24">
        <v>3.9384285714285716</v>
      </c>
    </row>
    <row r="13" spans="13:19" x14ac:dyDescent="0.15">
      <c r="M13" s="26">
        <v>9</v>
      </c>
      <c r="N13" s="24">
        <v>0.67978571428571433</v>
      </c>
      <c r="O13" s="24">
        <v>0.70742857142857141</v>
      </c>
      <c r="P13" s="24">
        <v>0.76442857142857146</v>
      </c>
      <c r="Q13" s="24">
        <v>0.77699999999999991</v>
      </c>
      <c r="R13" s="24">
        <v>0.72242857142857142</v>
      </c>
      <c r="S13" s="24">
        <v>3.6510714285714285</v>
      </c>
    </row>
    <row r="14" spans="13:19" x14ac:dyDescent="0.15">
      <c r="M14" s="26">
        <v>10</v>
      </c>
      <c r="N14" s="24">
        <v>1.008</v>
      </c>
      <c r="O14" s="24">
        <v>0.84735119047619023</v>
      </c>
      <c r="P14" s="24">
        <v>0.90600000000000003</v>
      </c>
      <c r="Q14" s="24">
        <v>0.93600000000000005</v>
      </c>
      <c r="R14" s="24">
        <v>0.80521428571428566</v>
      </c>
      <c r="S14" s="24">
        <v>4.5025654761904761</v>
      </c>
    </row>
    <row r="15" spans="13:19" x14ac:dyDescent="0.15">
      <c r="M15" s="26">
        <v>11</v>
      </c>
      <c r="N15" s="24">
        <v>0.93</v>
      </c>
      <c r="O15" s="24">
        <v>0.98100000000000009</v>
      </c>
      <c r="P15" s="24">
        <v>0.97257142857142853</v>
      </c>
      <c r="Q15" s="24">
        <v>0.71821428571428569</v>
      </c>
      <c r="R15" s="24">
        <v>1.0457857142857143</v>
      </c>
      <c r="S15" s="24">
        <v>4.6475714285714282</v>
      </c>
    </row>
    <row r="16" spans="13:19" x14ac:dyDescent="0.15">
      <c r="M16" s="26">
        <v>12</v>
      </c>
      <c r="N16" s="24">
        <v>0.89942857142857147</v>
      </c>
      <c r="O16" s="24">
        <v>0.83399999999999996</v>
      </c>
      <c r="P16" s="24">
        <v>0.86278571428571438</v>
      </c>
      <c r="Q16" s="24">
        <v>0.91678571428571431</v>
      </c>
      <c r="R16" s="24">
        <v>0.82078571428571423</v>
      </c>
      <c r="S16" s="24">
        <v>4.3337857142857139</v>
      </c>
    </row>
    <row r="17" spans="13:19" x14ac:dyDescent="0.15">
      <c r="M17" s="26" t="s">
        <v>58</v>
      </c>
      <c r="N17" s="24">
        <v>10.314</v>
      </c>
      <c r="O17" s="24">
        <v>9.9931369047619043</v>
      </c>
      <c r="P17" s="24">
        <v>10.273857142857144</v>
      </c>
      <c r="Q17" s="24">
        <v>10.257</v>
      </c>
      <c r="R17" s="24">
        <v>10.555179563492063</v>
      </c>
      <c r="S17" s="24">
        <v>51.393173611111109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5A9B-3D6A-48AE-BEAE-911BAFAD0C57}">
  <dimension ref="A1:V76"/>
  <sheetViews>
    <sheetView workbookViewId="0"/>
  </sheetViews>
  <sheetFormatPr baseColWidth="10" defaultColWidth="9" defaultRowHeight="15" x14ac:dyDescent="0.2"/>
  <cols>
    <col min="1" max="1" width="18.5" style="59" customWidth="1"/>
    <col min="2" max="2" width="6.1640625" style="59" bestFit="1" customWidth="1"/>
    <col min="3" max="3" width="6.5" style="59" bestFit="1" customWidth="1"/>
    <col min="4" max="4" width="31.6640625" style="59" bestFit="1" customWidth="1"/>
    <col min="5" max="5" width="39.83203125" style="59" bestFit="1" customWidth="1"/>
    <col min="6" max="6" width="44.1640625" style="59" bestFit="1" customWidth="1"/>
    <col min="7" max="7" width="39.5" style="59" bestFit="1" customWidth="1"/>
    <col min="8" max="17" width="9" style="59"/>
    <col min="18" max="18" width="15.6640625" style="59" bestFit="1" customWidth="1"/>
    <col min="19" max="19" width="18" style="59" bestFit="1" customWidth="1"/>
    <col min="20" max="20" width="16.6640625" style="59" bestFit="1" customWidth="1"/>
    <col min="21" max="21" width="22.1640625" style="59" bestFit="1" customWidth="1"/>
    <col min="22" max="22" width="16" style="59" bestFit="1" customWidth="1"/>
    <col min="23" max="16384" width="9" style="59"/>
  </cols>
  <sheetData>
    <row r="1" spans="1:22" x14ac:dyDescent="0.2">
      <c r="A1" s="59" t="s">
        <v>146</v>
      </c>
      <c r="S1" s="23" t="s">
        <v>57</v>
      </c>
      <c r="T1" s="23" t="s">
        <v>154</v>
      </c>
      <c r="U1" s="23" t="s">
        <v>156</v>
      </c>
      <c r="V1"/>
    </row>
    <row r="2" spans="1:22" x14ac:dyDescent="0.2">
      <c r="A2" s="59" t="s">
        <v>145</v>
      </c>
      <c r="S2" s="67">
        <v>2015</v>
      </c>
      <c r="T2" s="60">
        <v>159.30000000000001</v>
      </c>
      <c r="U2" s="60">
        <v>21.067820833333332</v>
      </c>
      <c r="V2"/>
    </row>
    <row r="3" spans="1:22" x14ac:dyDescent="0.2">
      <c r="A3" s="59" t="s">
        <v>144</v>
      </c>
      <c r="R3" s="23"/>
      <c r="S3" s="67">
        <v>2016</v>
      </c>
      <c r="T3" s="60">
        <v>91.216666666666683</v>
      </c>
      <c r="U3" s="60">
        <v>19.812118333333334</v>
      </c>
      <c r="V3"/>
    </row>
    <row r="4" spans="1:22" x14ac:dyDescent="0.2">
      <c r="A4" s="59" t="s">
        <v>143</v>
      </c>
      <c r="R4" s="23"/>
      <c r="S4" s="67">
        <v>2017</v>
      </c>
      <c r="T4" s="60">
        <v>88.816666666666663</v>
      </c>
      <c r="U4" s="60">
        <v>20.229562666666666</v>
      </c>
      <c r="V4"/>
    </row>
    <row r="5" spans="1:22" x14ac:dyDescent="0.2">
      <c r="A5" s="59" t="s">
        <v>142</v>
      </c>
      <c r="R5" s="23"/>
      <c r="S5" s="67">
        <v>2018</v>
      </c>
      <c r="T5" s="60">
        <v>93.266666666666666</v>
      </c>
      <c r="U5" s="60">
        <v>19.972337</v>
      </c>
      <c r="V5"/>
    </row>
    <row r="6" spans="1:22" x14ac:dyDescent="0.2">
      <c r="A6" s="59" t="s">
        <v>141</v>
      </c>
      <c r="R6" s="23"/>
      <c r="S6" s="67">
        <v>2019</v>
      </c>
      <c r="T6" s="60">
        <v>110.28333333333335</v>
      </c>
      <c r="U6" s="60">
        <v>20.330627</v>
      </c>
      <c r="V6"/>
    </row>
    <row r="7" spans="1:22" x14ac:dyDescent="0.2">
      <c r="A7" s="59" t="s">
        <v>140</v>
      </c>
      <c r="R7" s="23"/>
      <c r="S7" s="67" t="s">
        <v>58</v>
      </c>
      <c r="T7" s="60">
        <v>108.57666666666665</v>
      </c>
      <c r="U7" s="60">
        <v>20.282493166666661</v>
      </c>
      <c r="V7"/>
    </row>
    <row r="8" spans="1:22" x14ac:dyDescent="0.2">
      <c r="A8" s="59" t="s">
        <v>139</v>
      </c>
      <c r="R8" s="23"/>
      <c r="S8"/>
      <c r="T8"/>
      <c r="U8"/>
      <c r="V8"/>
    </row>
    <row r="9" spans="1:22" x14ac:dyDescent="0.2">
      <c r="A9" s="59" t="s">
        <v>138</v>
      </c>
      <c r="R9" s="23"/>
      <c r="S9" s="23"/>
      <c r="T9" s="23"/>
      <c r="U9" s="23"/>
    </row>
    <row r="10" spans="1:22" x14ac:dyDescent="0.2">
      <c r="A10" s="82" t="s">
        <v>151</v>
      </c>
      <c r="R10" s="23"/>
      <c r="S10" s="23"/>
      <c r="T10" s="23"/>
      <c r="U10" s="23"/>
    </row>
    <row r="11" spans="1:22" x14ac:dyDescent="0.2">
      <c r="R11" s="23"/>
      <c r="S11" s="23"/>
      <c r="T11" s="23"/>
      <c r="U11" s="23"/>
    </row>
    <row r="12" spans="1:22" x14ac:dyDescent="0.2">
      <c r="R12" s="23"/>
      <c r="S12" s="23"/>
      <c r="T12" s="23"/>
      <c r="U12" s="23"/>
    </row>
    <row r="13" spans="1:22" x14ac:dyDescent="0.2">
      <c r="A13" s="59" t="s">
        <v>137</v>
      </c>
      <c r="B13" s="59" t="s">
        <v>3</v>
      </c>
      <c r="C13" s="59" t="s">
        <v>2</v>
      </c>
      <c r="D13" s="59" t="s">
        <v>136</v>
      </c>
      <c r="E13" s="59" t="s">
        <v>135</v>
      </c>
      <c r="F13" s="59" t="s">
        <v>134</v>
      </c>
      <c r="G13" s="59" t="s">
        <v>133</v>
      </c>
      <c r="S13" s="23"/>
      <c r="T13" s="23"/>
      <c r="U13" s="23"/>
    </row>
    <row r="14" spans="1:22" x14ac:dyDescent="0.2">
      <c r="A14" s="61">
        <v>42035</v>
      </c>
      <c r="B14" s="59">
        <f>MONTH(Tabela1[[#This Row],[Data Medicao]])</f>
        <v>1</v>
      </c>
      <c r="C14" s="59">
        <f>YEAR(Tabela1[[#This Row],[Data Medicao]])</f>
        <v>2015</v>
      </c>
      <c r="D14" s="59">
        <v>156.19999999999999</v>
      </c>
      <c r="E14" s="59">
        <v>31.490323</v>
      </c>
      <c r="F14" s="59">
        <v>25.218064999999999</v>
      </c>
      <c r="G14" s="59">
        <v>21.148387</v>
      </c>
    </row>
    <row r="15" spans="1:22" x14ac:dyDescent="0.2">
      <c r="A15" s="61">
        <v>42063</v>
      </c>
      <c r="B15" s="59">
        <f>MONTH(Tabela1[[#This Row],[Data Medicao]])</f>
        <v>2</v>
      </c>
      <c r="C15" s="59">
        <f>YEAR(Tabela1[[#This Row],[Data Medicao]])</f>
        <v>2015</v>
      </c>
      <c r="D15" s="59">
        <v>273</v>
      </c>
      <c r="E15" s="59">
        <v>29.007142999999999</v>
      </c>
      <c r="F15" s="59">
        <v>23.555</v>
      </c>
      <c r="G15" s="59">
        <v>19.935714000000001</v>
      </c>
    </row>
    <row r="16" spans="1:22" x14ac:dyDescent="0.2">
      <c r="A16" s="61">
        <v>42094</v>
      </c>
      <c r="B16" s="59">
        <f>MONTH(Tabela1[[#This Row],[Data Medicao]])</f>
        <v>3</v>
      </c>
      <c r="C16" s="59">
        <f>YEAR(Tabela1[[#This Row],[Data Medicao]])</f>
        <v>2015</v>
      </c>
      <c r="D16" s="59">
        <v>332.7</v>
      </c>
      <c r="E16" s="59">
        <v>27.248387000000001</v>
      </c>
      <c r="F16" s="59">
        <v>22.167096999999998</v>
      </c>
      <c r="G16" s="59">
        <v>19.012903000000001</v>
      </c>
    </row>
    <row r="17" spans="1:7" x14ac:dyDescent="0.2">
      <c r="A17" s="61">
        <v>42124</v>
      </c>
      <c r="B17" s="59">
        <f>MONTH(Tabela1[[#This Row],[Data Medicao]])</f>
        <v>4</v>
      </c>
      <c r="C17" s="59">
        <f>YEAR(Tabela1[[#This Row],[Data Medicao]])</f>
        <v>2015</v>
      </c>
      <c r="D17" s="59">
        <v>108.1</v>
      </c>
      <c r="E17" s="59">
        <v>25.966667000000001</v>
      </c>
      <c r="F17" s="59">
        <v>20.837333000000001</v>
      </c>
      <c r="G17" s="59">
        <v>17.783332999999999</v>
      </c>
    </row>
    <row r="18" spans="1:7" x14ac:dyDescent="0.2">
      <c r="A18" s="61">
        <v>42155</v>
      </c>
      <c r="B18" s="59">
        <f>MONTH(Tabela1[[#This Row],[Data Medicao]])</f>
        <v>5</v>
      </c>
      <c r="C18" s="59">
        <f>YEAR(Tabela1[[#This Row],[Data Medicao]])</f>
        <v>2015</v>
      </c>
      <c r="D18" s="59">
        <v>50.7</v>
      </c>
      <c r="E18" s="59">
        <v>22.867742</v>
      </c>
      <c r="F18" s="59">
        <v>18.596774</v>
      </c>
      <c r="G18" s="59">
        <v>15.612902999999999</v>
      </c>
    </row>
    <row r="19" spans="1:7" x14ac:dyDescent="0.2">
      <c r="A19" s="61">
        <v>42185</v>
      </c>
      <c r="B19" s="59">
        <f>MONTH(Tabela1[[#This Row],[Data Medicao]])</f>
        <v>6</v>
      </c>
      <c r="C19" s="59">
        <f>YEAR(Tabela1[[#This Row],[Data Medicao]])</f>
        <v>2015</v>
      </c>
      <c r="D19" s="59">
        <v>20.3</v>
      </c>
      <c r="E19" s="59">
        <v>23.22</v>
      </c>
      <c r="F19" s="59">
        <v>18.07</v>
      </c>
      <c r="G19" s="59">
        <v>14.073333</v>
      </c>
    </row>
    <row r="20" spans="1:7" x14ac:dyDescent="0.2">
      <c r="A20" s="61">
        <v>42216</v>
      </c>
      <c r="B20" s="59">
        <f>MONTH(Tabela1[[#This Row],[Data Medicao]])</f>
        <v>7</v>
      </c>
      <c r="C20" s="59">
        <f>YEAR(Tabela1[[#This Row],[Data Medicao]])</f>
        <v>2015</v>
      </c>
      <c r="D20" s="59">
        <v>65.099999999999994</v>
      </c>
      <c r="E20" s="59">
        <v>22.832257999999999</v>
      </c>
      <c r="F20" s="59">
        <v>17.887097000000001</v>
      </c>
      <c r="G20" s="59">
        <v>14.209676999999999</v>
      </c>
    </row>
    <row r="21" spans="1:7" x14ac:dyDescent="0.2">
      <c r="A21" s="61">
        <v>42247</v>
      </c>
      <c r="B21" s="59">
        <f>MONTH(Tabela1[[#This Row],[Data Medicao]])</f>
        <v>8</v>
      </c>
      <c r="C21" s="59">
        <f>YEAR(Tabela1[[#This Row],[Data Medicao]])</f>
        <v>2015</v>
      </c>
      <c r="D21" s="59">
        <v>31.6</v>
      </c>
      <c r="E21" s="59">
        <v>26.316129</v>
      </c>
      <c r="F21" s="59">
        <v>19.899999999999999</v>
      </c>
      <c r="G21" s="59">
        <v>14.887097000000001</v>
      </c>
    </row>
    <row r="22" spans="1:7" x14ac:dyDescent="0.2">
      <c r="A22" s="61">
        <v>42277</v>
      </c>
      <c r="B22" s="59">
        <f>MONTH(Tabela1[[#This Row],[Data Medicao]])</f>
        <v>9</v>
      </c>
      <c r="C22" s="59">
        <f>YEAR(Tabela1[[#This Row],[Data Medicao]])</f>
        <v>2015</v>
      </c>
      <c r="D22" s="59">
        <v>201.7</v>
      </c>
      <c r="E22" s="59">
        <v>26.673333</v>
      </c>
      <c r="F22" s="59">
        <v>21.000667</v>
      </c>
      <c r="G22" s="59">
        <v>16.62</v>
      </c>
    </row>
    <row r="23" spans="1:7" x14ac:dyDescent="0.2">
      <c r="A23" s="61">
        <v>42308</v>
      </c>
      <c r="B23" s="59">
        <f>MONTH(Tabela1[[#This Row],[Data Medicao]])</f>
        <v>10</v>
      </c>
      <c r="C23" s="59">
        <f>YEAR(Tabela1[[#This Row],[Data Medicao]])</f>
        <v>2015</v>
      </c>
      <c r="D23" s="59">
        <v>92.1</v>
      </c>
      <c r="E23" s="59">
        <v>27.832257999999999</v>
      </c>
      <c r="F23" s="59">
        <v>21.905805999999998</v>
      </c>
      <c r="G23" s="59">
        <v>17.819355000000002</v>
      </c>
    </row>
    <row r="24" spans="1:7" x14ac:dyDescent="0.2">
      <c r="A24" s="61">
        <v>42338</v>
      </c>
      <c r="B24" s="59">
        <f>MONTH(Tabela1[[#This Row],[Data Medicao]])</f>
        <v>11</v>
      </c>
      <c r="C24" s="59">
        <f>YEAR(Tabela1[[#This Row],[Data Medicao]])</f>
        <v>2015</v>
      </c>
      <c r="D24" s="59">
        <v>247.2</v>
      </c>
      <c r="E24" s="59">
        <v>27.04</v>
      </c>
      <c r="F24" s="59">
        <v>22.193999999999999</v>
      </c>
      <c r="G24" s="59">
        <v>18.850000000000001</v>
      </c>
    </row>
    <row r="25" spans="1:7" x14ac:dyDescent="0.2">
      <c r="A25" s="61">
        <v>42369</v>
      </c>
      <c r="B25" s="59">
        <f>MONTH(Tabela1[[#This Row],[Data Medicao]])</f>
        <v>12</v>
      </c>
      <c r="C25" s="59">
        <f>YEAR(Tabela1[[#This Row],[Data Medicao]])</f>
        <v>2015</v>
      </c>
      <c r="D25" s="59">
        <v>318.10000000000002</v>
      </c>
      <c r="E25" s="59">
        <v>28.961290000000002</v>
      </c>
      <c r="F25" s="59">
        <v>23.519355000000001</v>
      </c>
      <c r="G25" s="59">
        <v>19.741935000000002</v>
      </c>
    </row>
    <row r="26" spans="1:7" x14ac:dyDescent="0.2">
      <c r="A26" s="61">
        <v>42400</v>
      </c>
      <c r="B26" s="59">
        <f>MONTH(Tabela1[[#This Row],[Data Medicao]])</f>
        <v>1</v>
      </c>
      <c r="C26" s="59">
        <f>YEAR(Tabela1[[#This Row],[Data Medicao]])</f>
        <v>2016</v>
      </c>
      <c r="D26" s="59">
        <v>175.9</v>
      </c>
      <c r="E26" s="59">
        <v>27.929031999999999</v>
      </c>
      <c r="F26" s="59">
        <v>22.957419000000002</v>
      </c>
      <c r="G26" s="59">
        <v>19.161290000000001</v>
      </c>
    </row>
    <row r="27" spans="1:7" x14ac:dyDescent="0.2">
      <c r="A27" s="61">
        <v>42429</v>
      </c>
      <c r="B27" s="59">
        <f>MONTH(Tabela1[[#This Row],[Data Medicao]])</f>
        <v>2</v>
      </c>
      <c r="C27" s="59">
        <f>YEAR(Tabela1[[#This Row],[Data Medicao]])</f>
        <v>2016</v>
      </c>
      <c r="D27" s="59">
        <v>275.10000000000002</v>
      </c>
      <c r="E27" s="59">
        <v>29.817240999999999</v>
      </c>
      <c r="F27" s="59">
        <v>24.46</v>
      </c>
      <c r="G27" s="59">
        <v>20.555171999999999</v>
      </c>
    </row>
    <row r="28" spans="1:7" x14ac:dyDescent="0.2">
      <c r="A28" s="61">
        <v>42460</v>
      </c>
      <c r="B28" s="59">
        <f>MONTH(Tabela1[[#This Row],[Data Medicao]])</f>
        <v>3</v>
      </c>
      <c r="C28" s="59">
        <f>YEAR(Tabela1[[#This Row],[Data Medicao]])</f>
        <v>2016</v>
      </c>
      <c r="D28" s="59">
        <v>256.60000000000002</v>
      </c>
      <c r="E28" s="59">
        <v>28.548387000000002</v>
      </c>
      <c r="F28" s="59">
        <v>23.161290000000001</v>
      </c>
      <c r="G28" s="59">
        <v>19.2</v>
      </c>
    </row>
    <row r="29" spans="1:7" x14ac:dyDescent="0.2">
      <c r="A29" s="61">
        <v>42490</v>
      </c>
      <c r="B29" s="59">
        <f>MONTH(Tabela1[[#This Row],[Data Medicao]])</f>
        <v>4</v>
      </c>
      <c r="C29" s="59">
        <f>YEAR(Tabela1[[#This Row],[Data Medicao]])</f>
        <v>2016</v>
      </c>
      <c r="D29" s="59">
        <v>2.4</v>
      </c>
      <c r="E29" s="59">
        <v>29.456666999999999</v>
      </c>
      <c r="F29" s="59">
        <v>23.673999999999999</v>
      </c>
      <c r="G29" s="59">
        <v>18.966667000000001</v>
      </c>
    </row>
    <row r="30" spans="1:7" x14ac:dyDescent="0.2">
      <c r="A30" s="61">
        <v>42521</v>
      </c>
      <c r="B30" s="59">
        <f>MONTH(Tabela1[[#This Row],[Data Medicao]])</f>
        <v>5</v>
      </c>
      <c r="C30" s="59">
        <f>YEAR(Tabela1[[#This Row],[Data Medicao]])</f>
        <v>2016</v>
      </c>
      <c r="D30" s="59">
        <v>105.7</v>
      </c>
      <c r="E30" s="59">
        <v>22.887097000000001</v>
      </c>
      <c r="F30" s="59">
        <v>18.039355</v>
      </c>
      <c r="G30" s="59">
        <v>14.283871</v>
      </c>
    </row>
    <row r="31" spans="1:7" x14ac:dyDescent="0.2">
      <c r="A31" s="61">
        <v>42551</v>
      </c>
      <c r="B31" s="59">
        <f>MONTH(Tabela1[[#This Row],[Data Medicao]])</f>
        <v>6</v>
      </c>
      <c r="C31" s="59">
        <f>YEAR(Tabela1[[#This Row],[Data Medicao]])</f>
        <v>2016</v>
      </c>
      <c r="D31" s="59">
        <v>206.8</v>
      </c>
      <c r="E31" s="59">
        <v>20.94</v>
      </c>
      <c r="F31" s="59">
        <v>15.384667</v>
      </c>
      <c r="G31" s="59">
        <v>11.24</v>
      </c>
    </row>
    <row r="32" spans="1:7" x14ac:dyDescent="0.2">
      <c r="A32" s="61">
        <v>42582</v>
      </c>
      <c r="B32" s="59">
        <f>MONTH(Tabela1[[#This Row],[Data Medicao]])</f>
        <v>7</v>
      </c>
      <c r="C32" s="59">
        <f>YEAR(Tabela1[[#This Row],[Data Medicao]])</f>
        <v>2016</v>
      </c>
      <c r="D32" s="59">
        <v>6.4</v>
      </c>
      <c r="E32" s="59">
        <v>23.93871</v>
      </c>
      <c r="F32" s="59">
        <v>17.685805999999999</v>
      </c>
      <c r="G32" s="59">
        <v>12.554838999999999</v>
      </c>
    </row>
    <row r="33" spans="1:7" x14ac:dyDescent="0.2">
      <c r="A33" s="61">
        <v>42613</v>
      </c>
      <c r="B33" s="59">
        <f>MONTH(Tabela1[[#This Row],[Data Medicao]])</f>
        <v>8</v>
      </c>
      <c r="C33" s="59">
        <f>YEAR(Tabela1[[#This Row],[Data Medicao]])</f>
        <v>2016</v>
      </c>
      <c r="D33" s="59">
        <v>82.4</v>
      </c>
      <c r="E33" s="59">
        <v>24.341934999999999</v>
      </c>
      <c r="F33" s="59">
        <v>18.075483999999999</v>
      </c>
      <c r="G33" s="59">
        <v>13.035484</v>
      </c>
    </row>
    <row r="34" spans="1:7" x14ac:dyDescent="0.2">
      <c r="A34" s="61">
        <v>42643</v>
      </c>
      <c r="B34" s="59">
        <f>MONTH(Tabela1[[#This Row],[Data Medicao]])</f>
        <v>9</v>
      </c>
      <c r="C34" s="59">
        <f>YEAR(Tabela1[[#This Row],[Data Medicao]])</f>
        <v>2016</v>
      </c>
      <c r="D34" s="59">
        <v>22.2</v>
      </c>
      <c r="E34" s="59">
        <v>24.476666999999999</v>
      </c>
      <c r="F34" s="59">
        <v>18.610666999999999</v>
      </c>
      <c r="G34" s="59">
        <v>14.32</v>
      </c>
    </row>
    <row r="35" spans="1:7" x14ac:dyDescent="0.2">
      <c r="A35" s="61">
        <v>42674</v>
      </c>
      <c r="B35" s="59">
        <f>MONTH(Tabela1[[#This Row],[Data Medicao]])</f>
        <v>10</v>
      </c>
      <c r="C35" s="59">
        <f>YEAR(Tabela1[[#This Row],[Data Medicao]])</f>
        <v>2016</v>
      </c>
      <c r="D35" s="59">
        <v>104.1</v>
      </c>
      <c r="E35" s="59">
        <v>26.458065000000001</v>
      </c>
      <c r="F35" s="59">
        <v>20.498065</v>
      </c>
      <c r="G35" s="59">
        <v>16.174194</v>
      </c>
    </row>
    <row r="36" spans="1:7" x14ac:dyDescent="0.2">
      <c r="A36" s="61">
        <v>42704</v>
      </c>
      <c r="B36" s="59">
        <f>MONTH(Tabela1[[#This Row],[Data Medicao]])</f>
        <v>11</v>
      </c>
      <c r="C36" s="59">
        <f>YEAR(Tabela1[[#This Row],[Data Medicao]])</f>
        <v>2016</v>
      </c>
      <c r="D36" s="59">
        <v>166.8</v>
      </c>
      <c r="E36" s="59">
        <v>26.516667000000002</v>
      </c>
      <c r="F36" s="59">
        <v>20.683333000000001</v>
      </c>
      <c r="G36" s="59">
        <v>16.399999999999999</v>
      </c>
    </row>
    <row r="37" spans="1:7" x14ac:dyDescent="0.2">
      <c r="A37" s="61">
        <v>42735</v>
      </c>
      <c r="B37" s="59">
        <f>MONTH(Tabela1[[#This Row],[Data Medicao]])</f>
        <v>12</v>
      </c>
      <c r="C37" s="59">
        <f>YEAR(Tabela1[[#This Row],[Data Medicao]])</f>
        <v>2016</v>
      </c>
      <c r="D37" s="59">
        <v>165.4</v>
      </c>
      <c r="E37" s="59">
        <v>29.680644999999998</v>
      </c>
      <c r="F37" s="59">
        <v>23.319355000000002</v>
      </c>
      <c r="G37" s="59">
        <v>18.432258000000001</v>
      </c>
    </row>
    <row r="38" spans="1:7" x14ac:dyDescent="0.2">
      <c r="A38" s="61">
        <v>42766</v>
      </c>
      <c r="B38" s="59">
        <f>MONTH(Tabela1[[#This Row],[Data Medicao]])</f>
        <v>1</v>
      </c>
      <c r="C38" s="59">
        <f>YEAR(Tabela1[[#This Row],[Data Medicao]])</f>
        <v>2017</v>
      </c>
      <c r="D38" s="59">
        <v>454</v>
      </c>
      <c r="E38" s="59">
        <v>28.219355</v>
      </c>
      <c r="F38" s="59">
        <v>23.241935000000002</v>
      </c>
      <c r="G38" s="59">
        <v>19.093547999999998</v>
      </c>
    </row>
    <row r="39" spans="1:7" x14ac:dyDescent="0.2">
      <c r="A39" s="61">
        <v>42794</v>
      </c>
      <c r="B39" s="59">
        <f>MONTH(Tabela1[[#This Row],[Data Medicao]])</f>
        <v>2</v>
      </c>
      <c r="C39" s="59">
        <f>YEAR(Tabela1[[#This Row],[Data Medicao]])</f>
        <v>2017</v>
      </c>
      <c r="D39" s="59">
        <v>127.3</v>
      </c>
      <c r="E39" s="59">
        <v>30.475000000000001</v>
      </c>
      <c r="F39" s="59">
        <v>24.572143000000001</v>
      </c>
      <c r="G39" s="59">
        <v>19.614286</v>
      </c>
    </row>
    <row r="40" spans="1:7" x14ac:dyDescent="0.2">
      <c r="A40" s="61">
        <v>42825</v>
      </c>
      <c r="B40" s="59">
        <f>MONTH(Tabela1[[#This Row],[Data Medicao]])</f>
        <v>3</v>
      </c>
      <c r="C40" s="59">
        <f>YEAR(Tabela1[[#This Row],[Data Medicao]])</f>
        <v>2017</v>
      </c>
      <c r="D40" s="59">
        <v>160.4</v>
      </c>
      <c r="E40" s="59">
        <v>27.341934999999999</v>
      </c>
      <c r="F40" s="59">
        <v>22.101935000000001</v>
      </c>
      <c r="G40" s="59">
        <v>17.764516</v>
      </c>
    </row>
    <row r="41" spans="1:7" x14ac:dyDescent="0.2">
      <c r="A41" s="61">
        <v>42855</v>
      </c>
      <c r="B41" s="59">
        <f>MONTH(Tabela1[[#This Row],[Data Medicao]])</f>
        <v>4</v>
      </c>
      <c r="C41" s="59">
        <f>YEAR(Tabela1[[#This Row],[Data Medicao]])</f>
        <v>2017</v>
      </c>
      <c r="D41" s="59">
        <v>143.1</v>
      </c>
      <c r="E41" s="59">
        <v>24.896667000000001</v>
      </c>
      <c r="F41" s="59">
        <v>20.326000000000001</v>
      </c>
      <c r="G41" s="59">
        <v>17.036667000000001</v>
      </c>
    </row>
    <row r="42" spans="1:7" x14ac:dyDescent="0.2">
      <c r="A42" s="61">
        <v>42886</v>
      </c>
      <c r="B42" s="59">
        <f>MONTH(Tabela1[[#This Row],[Data Medicao]])</f>
        <v>5</v>
      </c>
      <c r="C42" s="59">
        <f>YEAR(Tabela1[[#This Row],[Data Medicao]])</f>
        <v>2017</v>
      </c>
      <c r="D42" s="59">
        <v>153.4</v>
      </c>
      <c r="E42" s="59">
        <v>23.141935</v>
      </c>
      <c r="F42" s="59">
        <v>18.810323</v>
      </c>
      <c r="G42" s="59">
        <v>15.609677</v>
      </c>
    </row>
    <row r="43" spans="1:7" x14ac:dyDescent="0.2">
      <c r="A43" s="61">
        <v>42916</v>
      </c>
      <c r="B43" s="59">
        <f>MONTH(Tabela1[[#This Row],[Data Medicao]])</f>
        <v>6</v>
      </c>
      <c r="C43" s="59">
        <f>YEAR(Tabela1[[#This Row],[Data Medicao]])</f>
        <v>2017</v>
      </c>
      <c r="D43" s="59">
        <v>102.9</v>
      </c>
      <c r="E43" s="59">
        <v>22.793333000000001</v>
      </c>
      <c r="F43" s="59">
        <v>17.851333</v>
      </c>
      <c r="G43" s="59">
        <v>14.163333</v>
      </c>
    </row>
    <row r="44" spans="1:7" x14ac:dyDescent="0.2">
      <c r="A44" s="61">
        <v>42947</v>
      </c>
      <c r="B44" s="59">
        <f>MONTH(Tabela1[[#This Row],[Data Medicao]])</f>
        <v>7</v>
      </c>
      <c r="C44" s="59">
        <f>YEAR(Tabela1[[#This Row],[Data Medicao]])</f>
        <v>2017</v>
      </c>
      <c r="D44" s="59">
        <v>0.8</v>
      </c>
      <c r="E44" s="59">
        <v>22.229032</v>
      </c>
      <c r="F44" s="59">
        <v>16.613548000000002</v>
      </c>
      <c r="G44" s="59">
        <v>12.306452</v>
      </c>
    </row>
    <row r="45" spans="1:7" x14ac:dyDescent="0.2">
      <c r="A45" s="61">
        <v>42978</v>
      </c>
      <c r="B45" s="59">
        <f>MONTH(Tabela1[[#This Row],[Data Medicao]])</f>
        <v>8</v>
      </c>
      <c r="C45" s="59">
        <f>YEAR(Tabela1[[#This Row],[Data Medicao]])</f>
        <v>2017</v>
      </c>
      <c r="D45" s="59">
        <v>60.5</v>
      </c>
      <c r="E45" s="59">
        <v>22.909676999999999</v>
      </c>
      <c r="F45" s="59">
        <v>17.690968000000002</v>
      </c>
      <c r="G45" s="59">
        <v>13.683871</v>
      </c>
    </row>
    <row r="46" spans="1:7" x14ac:dyDescent="0.2">
      <c r="A46" s="61">
        <v>43008</v>
      </c>
      <c r="B46" s="59">
        <f>MONTH(Tabela1[[#This Row],[Data Medicao]])</f>
        <v>9</v>
      </c>
      <c r="C46" s="59">
        <f>YEAR(Tabela1[[#This Row],[Data Medicao]])</f>
        <v>2017</v>
      </c>
      <c r="D46" s="59">
        <v>11.1</v>
      </c>
      <c r="E46" s="59">
        <v>28.72</v>
      </c>
      <c r="F46" s="59">
        <v>21.510667000000002</v>
      </c>
      <c r="G46" s="59">
        <v>16.27</v>
      </c>
    </row>
    <row r="47" spans="1:7" x14ac:dyDescent="0.2">
      <c r="A47" s="61">
        <v>43039</v>
      </c>
      <c r="B47" s="59">
        <f>MONTH(Tabela1[[#This Row],[Data Medicao]])</f>
        <v>10</v>
      </c>
      <c r="C47" s="59">
        <f>YEAR(Tabela1[[#This Row],[Data Medicao]])</f>
        <v>2017</v>
      </c>
      <c r="D47" s="59">
        <v>149.4</v>
      </c>
      <c r="E47" s="59">
        <v>27.129031999999999</v>
      </c>
      <c r="F47" s="59">
        <v>21.688386999999999</v>
      </c>
      <c r="G47" s="59">
        <v>17.387097000000001</v>
      </c>
    </row>
    <row r="48" spans="1:7" x14ac:dyDescent="0.2">
      <c r="A48" s="61">
        <v>43069</v>
      </c>
      <c r="B48" s="59">
        <f>MONTH(Tabela1[[#This Row],[Data Medicao]])</f>
        <v>11</v>
      </c>
      <c r="C48" s="59">
        <f>YEAR(Tabela1[[#This Row],[Data Medicao]])</f>
        <v>2017</v>
      </c>
      <c r="D48" s="59">
        <v>159.80000000000001</v>
      </c>
      <c r="E48" s="59">
        <v>26.76</v>
      </c>
      <c r="F48" s="59">
        <v>21.007999999999999</v>
      </c>
      <c r="G48" s="59">
        <v>16.603332999999999</v>
      </c>
    </row>
    <row r="49" spans="1:7" x14ac:dyDescent="0.2">
      <c r="A49" s="61">
        <v>43100</v>
      </c>
      <c r="B49" s="59">
        <f>MONTH(Tabela1[[#This Row],[Data Medicao]])</f>
        <v>12</v>
      </c>
      <c r="C49" s="59">
        <f>YEAR(Tabela1[[#This Row],[Data Medicao]])</f>
        <v>2017</v>
      </c>
      <c r="D49" s="59">
        <v>151.30000000000001</v>
      </c>
      <c r="E49" s="59">
        <v>27.932258000000001</v>
      </c>
      <c r="F49" s="59">
        <v>22.865805999999999</v>
      </c>
      <c r="G49" s="59">
        <v>19.393547999999999</v>
      </c>
    </row>
    <row r="50" spans="1:7" x14ac:dyDescent="0.2">
      <c r="A50" s="61">
        <v>43131</v>
      </c>
      <c r="B50" s="59">
        <f>MONTH(Tabela1[[#This Row],[Data Medicao]])</f>
        <v>1</v>
      </c>
      <c r="C50" s="59">
        <f>YEAR(Tabela1[[#This Row],[Data Medicao]])</f>
        <v>2018</v>
      </c>
      <c r="D50" s="59">
        <v>244.3</v>
      </c>
      <c r="E50" s="59">
        <v>27.993548000000001</v>
      </c>
      <c r="F50" s="59">
        <v>23.039355</v>
      </c>
      <c r="G50" s="59">
        <v>19.529032000000001</v>
      </c>
    </row>
    <row r="51" spans="1:7" x14ac:dyDescent="0.2">
      <c r="A51" s="61">
        <v>43159</v>
      </c>
      <c r="B51" s="59">
        <f>MONTH(Tabela1[[#This Row],[Data Medicao]])</f>
        <v>2</v>
      </c>
      <c r="C51" s="59">
        <f>YEAR(Tabela1[[#This Row],[Data Medicao]])</f>
        <v>2018</v>
      </c>
      <c r="D51" s="59">
        <v>102.2</v>
      </c>
      <c r="E51" s="59">
        <v>27.464286000000001</v>
      </c>
      <c r="F51" s="59">
        <v>22.542857000000001</v>
      </c>
      <c r="G51" s="59">
        <v>18.932143</v>
      </c>
    </row>
    <row r="52" spans="1:7" x14ac:dyDescent="0.2">
      <c r="A52" s="61">
        <v>43190</v>
      </c>
      <c r="B52" s="59">
        <f>MONTH(Tabela1[[#This Row],[Data Medicao]])</f>
        <v>3</v>
      </c>
      <c r="C52" s="59">
        <f>YEAR(Tabela1[[#This Row],[Data Medicao]])</f>
        <v>2018</v>
      </c>
      <c r="D52" s="59">
        <v>220.5</v>
      </c>
      <c r="E52" s="59">
        <v>29.564516000000001</v>
      </c>
      <c r="F52" s="59">
        <v>23.847097000000002</v>
      </c>
      <c r="G52" s="59">
        <v>20.274194000000001</v>
      </c>
    </row>
    <row r="53" spans="1:7" x14ac:dyDescent="0.2">
      <c r="A53" s="61">
        <v>43220</v>
      </c>
      <c r="B53" s="59">
        <f>MONTH(Tabela1[[#This Row],[Data Medicao]])</f>
        <v>4</v>
      </c>
      <c r="C53" s="59">
        <f>YEAR(Tabela1[[#This Row],[Data Medicao]])</f>
        <v>2018</v>
      </c>
      <c r="D53" s="59">
        <v>28</v>
      </c>
      <c r="E53" s="59">
        <v>26.876667000000001</v>
      </c>
      <c r="F53" s="59">
        <v>21.356000000000002</v>
      </c>
      <c r="G53" s="59">
        <v>17.753333000000001</v>
      </c>
    </row>
    <row r="54" spans="1:7" x14ac:dyDescent="0.2">
      <c r="A54" s="61">
        <v>43251</v>
      </c>
      <c r="B54" s="59">
        <f>MONTH(Tabela1[[#This Row],[Data Medicao]])</f>
        <v>5</v>
      </c>
      <c r="C54" s="59">
        <f>YEAR(Tabela1[[#This Row],[Data Medicao]])</f>
        <v>2018</v>
      </c>
      <c r="D54" s="59">
        <v>10.8</v>
      </c>
      <c r="E54" s="59">
        <v>25.022580999999999</v>
      </c>
      <c r="F54" s="59">
        <v>19.222581000000002</v>
      </c>
      <c r="G54" s="59">
        <v>15.241935</v>
      </c>
    </row>
    <row r="55" spans="1:7" x14ac:dyDescent="0.2">
      <c r="A55" s="61">
        <v>43281</v>
      </c>
      <c r="B55" s="59">
        <f>MONTH(Tabela1[[#This Row],[Data Medicao]])</f>
        <v>6</v>
      </c>
      <c r="C55" s="59">
        <f>YEAR(Tabela1[[#This Row],[Data Medicao]])</f>
        <v>2018</v>
      </c>
      <c r="D55" s="59">
        <v>12.7</v>
      </c>
      <c r="E55" s="59">
        <v>23.516667000000002</v>
      </c>
      <c r="F55" s="59">
        <v>18.559999999999999</v>
      </c>
      <c r="G55" s="59">
        <v>14.633333</v>
      </c>
    </row>
    <row r="56" spans="1:7" x14ac:dyDescent="0.2">
      <c r="A56" s="61">
        <v>43312</v>
      </c>
      <c r="B56" s="59">
        <f>MONTH(Tabela1[[#This Row],[Data Medicao]])</f>
        <v>7</v>
      </c>
      <c r="C56" s="59">
        <f>YEAR(Tabela1[[#This Row],[Data Medicao]])</f>
        <v>2018</v>
      </c>
      <c r="D56" s="59">
        <v>24.2</v>
      </c>
      <c r="E56" s="59">
        <v>25.070968000000001</v>
      </c>
      <c r="F56" s="59">
        <v>18.672257999999999</v>
      </c>
      <c r="G56" s="59">
        <v>14.151612999999999</v>
      </c>
    </row>
    <row r="57" spans="1:7" x14ac:dyDescent="0.2">
      <c r="A57" s="61">
        <v>43343</v>
      </c>
      <c r="B57" s="59">
        <f>MONTH(Tabela1[[#This Row],[Data Medicao]])</f>
        <v>8</v>
      </c>
      <c r="C57" s="59">
        <f>YEAR(Tabela1[[#This Row],[Data Medicao]])</f>
        <v>2018</v>
      </c>
      <c r="D57" s="59">
        <v>48.8</v>
      </c>
      <c r="E57" s="59">
        <v>22.287096999999999</v>
      </c>
      <c r="F57" s="59">
        <v>17.13871</v>
      </c>
      <c r="G57" s="59">
        <v>13.277419</v>
      </c>
    </row>
    <row r="58" spans="1:7" x14ac:dyDescent="0.2">
      <c r="A58" s="61">
        <v>43373</v>
      </c>
      <c r="B58" s="59">
        <f>MONTH(Tabela1[[#This Row],[Data Medicao]])</f>
        <v>9</v>
      </c>
      <c r="C58" s="59">
        <f>YEAR(Tabela1[[#This Row],[Data Medicao]])</f>
        <v>2018</v>
      </c>
      <c r="D58" s="59">
        <v>72.8</v>
      </c>
      <c r="E58" s="59">
        <v>25.83</v>
      </c>
      <c r="F58" s="59">
        <v>19.378667</v>
      </c>
      <c r="G58" s="59">
        <v>15.543333000000001</v>
      </c>
    </row>
    <row r="59" spans="1:7" x14ac:dyDescent="0.2">
      <c r="A59" s="61">
        <v>43404</v>
      </c>
      <c r="B59" s="59">
        <f>MONTH(Tabela1[[#This Row],[Data Medicao]])</f>
        <v>10</v>
      </c>
      <c r="C59" s="59">
        <f>YEAR(Tabela1[[#This Row],[Data Medicao]])</f>
        <v>2018</v>
      </c>
      <c r="D59" s="59">
        <v>121</v>
      </c>
      <c r="E59" s="59">
        <v>24.780645</v>
      </c>
      <c r="F59" s="59">
        <v>19.898710000000001</v>
      </c>
      <c r="G59" s="59">
        <v>16.835484000000001</v>
      </c>
    </row>
    <row r="60" spans="1:7" x14ac:dyDescent="0.2">
      <c r="A60" s="61">
        <v>43434</v>
      </c>
      <c r="B60" s="59">
        <f>MONTH(Tabela1[[#This Row],[Data Medicao]])</f>
        <v>11</v>
      </c>
      <c r="C60" s="59">
        <f>YEAR(Tabela1[[#This Row],[Data Medicao]])</f>
        <v>2018</v>
      </c>
      <c r="D60" s="59">
        <v>101.7</v>
      </c>
      <c r="E60" s="59">
        <v>26.426666999999998</v>
      </c>
      <c r="F60" s="59">
        <v>21.135999999999999</v>
      </c>
      <c r="G60" s="59">
        <v>17.786667000000001</v>
      </c>
    </row>
    <row r="61" spans="1:7" x14ac:dyDescent="0.2">
      <c r="A61" s="61">
        <v>43465</v>
      </c>
      <c r="B61" s="59">
        <f>MONTH(Tabela1[[#This Row],[Data Medicao]])</f>
        <v>12</v>
      </c>
      <c r="C61" s="59">
        <f>YEAR(Tabela1[[#This Row],[Data Medicao]])</f>
        <v>2018</v>
      </c>
      <c r="D61" s="59">
        <v>191.1</v>
      </c>
      <c r="E61" s="59">
        <v>29.783871000000001</v>
      </c>
      <c r="F61" s="59">
        <v>23.609677000000001</v>
      </c>
      <c r="G61" s="59">
        <v>19.254839</v>
      </c>
    </row>
    <row r="62" spans="1:7" x14ac:dyDescent="0.2">
      <c r="A62" s="61">
        <v>43496</v>
      </c>
      <c r="B62" s="59">
        <f>MONTH(Tabela1[[#This Row],[Data Medicao]])</f>
        <v>1</v>
      </c>
      <c r="C62" s="59">
        <f>YEAR(Tabela1[[#This Row],[Data Medicao]])</f>
        <v>2019</v>
      </c>
      <c r="D62" s="59">
        <v>305.89999999999998</v>
      </c>
      <c r="E62" s="59">
        <v>31.851613</v>
      </c>
      <c r="F62" s="59">
        <v>25.218710000000002</v>
      </c>
      <c r="G62" s="59">
        <v>20.422581000000001</v>
      </c>
    </row>
    <row r="63" spans="1:7" x14ac:dyDescent="0.2">
      <c r="A63" s="61">
        <v>43524</v>
      </c>
      <c r="B63" s="59">
        <f>MONTH(Tabela1[[#This Row],[Data Medicao]])</f>
        <v>2</v>
      </c>
      <c r="C63" s="59">
        <f>YEAR(Tabela1[[#This Row],[Data Medicao]])</f>
        <v>2019</v>
      </c>
      <c r="D63" s="59">
        <v>323.2</v>
      </c>
      <c r="E63" s="59">
        <v>28.557143</v>
      </c>
      <c r="F63" s="59">
        <v>23.212143000000001</v>
      </c>
      <c r="G63" s="59">
        <v>19.557143</v>
      </c>
    </row>
    <row r="64" spans="1:7" x14ac:dyDescent="0.2">
      <c r="A64" s="61">
        <v>43555</v>
      </c>
      <c r="B64" s="59">
        <f>MONTH(Tabela1[[#This Row],[Data Medicao]])</f>
        <v>3</v>
      </c>
      <c r="C64" s="59">
        <f>YEAR(Tabela1[[#This Row],[Data Medicao]])</f>
        <v>2019</v>
      </c>
      <c r="D64" s="59">
        <v>239.6</v>
      </c>
      <c r="E64" s="59">
        <v>28.416129000000002</v>
      </c>
      <c r="F64" s="59">
        <v>22.88129</v>
      </c>
      <c r="G64" s="59">
        <v>19.267741999999998</v>
      </c>
    </row>
    <row r="65" spans="1:7" x14ac:dyDescent="0.2">
      <c r="A65" s="61">
        <v>43585</v>
      </c>
      <c r="B65" s="59">
        <f>MONTH(Tabela1[[#This Row],[Data Medicao]])</f>
        <v>4</v>
      </c>
      <c r="C65" s="59">
        <f>YEAR(Tabela1[[#This Row],[Data Medicao]])</f>
        <v>2019</v>
      </c>
      <c r="D65" s="59">
        <v>148.1</v>
      </c>
      <c r="E65" s="59">
        <v>27.83</v>
      </c>
      <c r="F65" s="59">
        <v>22.485333000000001</v>
      </c>
      <c r="G65" s="59">
        <v>18.920000000000002</v>
      </c>
    </row>
    <row r="66" spans="1:7" x14ac:dyDescent="0.2">
      <c r="A66" s="61">
        <v>43616</v>
      </c>
      <c r="B66" s="59">
        <f>MONTH(Tabela1[[#This Row],[Data Medicao]])</f>
        <v>5</v>
      </c>
      <c r="C66" s="59">
        <f>YEAR(Tabela1[[#This Row],[Data Medicao]])</f>
        <v>2019</v>
      </c>
      <c r="D66" s="59">
        <v>53.7</v>
      </c>
      <c r="E66" s="59">
        <v>25.635484000000002</v>
      </c>
      <c r="F66" s="59">
        <v>20.631613000000002</v>
      </c>
      <c r="G66" s="59">
        <v>17.183871</v>
      </c>
    </row>
    <row r="67" spans="1:7" x14ac:dyDescent="0.2">
      <c r="A67" s="61">
        <v>43646</v>
      </c>
      <c r="B67" s="59">
        <f>MONTH(Tabela1[[#This Row],[Data Medicao]])</f>
        <v>6</v>
      </c>
      <c r="C67" s="59">
        <f>YEAR(Tabela1[[#This Row],[Data Medicao]])</f>
        <v>2019</v>
      </c>
      <c r="D67" s="59">
        <v>42.3</v>
      </c>
      <c r="E67" s="59">
        <v>24.293333000000001</v>
      </c>
      <c r="F67" s="59">
        <v>19.146667000000001</v>
      </c>
      <c r="G67" s="59">
        <v>15.296666999999999</v>
      </c>
    </row>
    <row r="68" spans="1:7" x14ac:dyDescent="0.2">
      <c r="A68" s="61">
        <v>43677</v>
      </c>
      <c r="B68" s="59">
        <f>MONTH(Tabela1[[#This Row],[Data Medicao]])</f>
        <v>7</v>
      </c>
      <c r="C68" s="59">
        <f>YEAR(Tabela1[[#This Row],[Data Medicao]])</f>
        <v>2019</v>
      </c>
      <c r="D68" s="59">
        <v>156</v>
      </c>
      <c r="E68" s="59">
        <v>23.170967999999998</v>
      </c>
      <c r="F68" s="59">
        <v>17.211613</v>
      </c>
      <c r="G68" s="59">
        <v>12.848387000000001</v>
      </c>
    </row>
    <row r="69" spans="1:7" x14ac:dyDescent="0.2">
      <c r="A69" s="61">
        <v>43708</v>
      </c>
      <c r="B69" s="59">
        <f>MONTH(Tabela1[[#This Row],[Data Medicao]])</f>
        <v>8</v>
      </c>
      <c r="C69" s="59">
        <f>YEAR(Tabela1[[#This Row],[Data Medicao]])</f>
        <v>2019</v>
      </c>
      <c r="D69" s="59">
        <v>3.3</v>
      </c>
      <c r="E69" s="59">
        <v>23.880645000000001</v>
      </c>
      <c r="F69" s="59">
        <v>17.861934999999999</v>
      </c>
      <c r="G69" s="59">
        <v>13.558064999999999</v>
      </c>
    </row>
    <row r="70" spans="1:7" x14ac:dyDescent="0.2">
      <c r="A70" s="61">
        <v>43738</v>
      </c>
      <c r="B70" s="59">
        <f>MONTH(Tabela1[[#This Row],[Data Medicao]])</f>
        <v>9</v>
      </c>
      <c r="C70" s="59">
        <f>YEAR(Tabela1[[#This Row],[Data Medicao]])</f>
        <v>2019</v>
      </c>
      <c r="D70" s="59">
        <v>78.5</v>
      </c>
      <c r="E70" s="59">
        <v>25.873332999999999</v>
      </c>
      <c r="F70" s="59">
        <v>20.139333000000001</v>
      </c>
      <c r="G70" s="59">
        <v>16.043333000000001</v>
      </c>
    </row>
    <row r="71" spans="1:7" x14ac:dyDescent="0.2">
      <c r="A71" s="61">
        <v>43769</v>
      </c>
      <c r="B71" s="59">
        <f>MONTH(Tabela1[[#This Row],[Data Medicao]])</f>
        <v>10</v>
      </c>
      <c r="C71" s="59">
        <f>YEAR(Tabela1[[#This Row],[Data Medicao]])</f>
        <v>2019</v>
      </c>
      <c r="D71" s="59">
        <v>46.2</v>
      </c>
      <c r="E71" s="59">
        <v>29.103225999999999</v>
      </c>
      <c r="F71" s="59">
        <v>22.460645</v>
      </c>
      <c r="G71" s="59">
        <v>17.858065</v>
      </c>
    </row>
    <row r="72" spans="1:7" x14ac:dyDescent="0.2">
      <c r="A72" s="61">
        <v>43799</v>
      </c>
      <c r="B72" s="59">
        <f>MONTH(Tabela1[[#This Row],[Data Medicao]])</f>
        <v>11</v>
      </c>
      <c r="C72" s="59">
        <f>YEAR(Tabela1[[#This Row],[Data Medicao]])</f>
        <v>2019</v>
      </c>
      <c r="D72" s="59">
        <v>111.2</v>
      </c>
      <c r="E72" s="59">
        <v>27.293333000000001</v>
      </c>
      <c r="F72" s="59">
        <v>21.557333</v>
      </c>
      <c r="G72" s="59">
        <v>17.906666999999999</v>
      </c>
    </row>
    <row r="73" spans="1:7" x14ac:dyDescent="0.2">
      <c r="A73" s="61">
        <v>43830</v>
      </c>
      <c r="B73" s="59">
        <f>MONTH(Tabela1[[#This Row],[Data Medicao]])</f>
        <v>12</v>
      </c>
      <c r="C73" s="59">
        <f>YEAR(Tabela1[[#This Row],[Data Medicao]])</f>
        <v>2019</v>
      </c>
      <c r="D73" s="59">
        <v>266.5</v>
      </c>
      <c r="E73" s="59">
        <v>28.258064999999998</v>
      </c>
      <c r="F73" s="59">
        <v>22.752903</v>
      </c>
      <c r="G73" s="59">
        <v>18.887097000000001</v>
      </c>
    </row>
    <row r="74" spans="1:7" x14ac:dyDescent="0.2">
      <c r="A74" s="61">
        <v>43861</v>
      </c>
      <c r="B74" s="59">
        <f>MONTH(Tabela1[[#This Row],[Data Medicao]])</f>
        <v>1</v>
      </c>
      <c r="C74" s="59">
        <f>YEAR(Tabela1[[#This Row],[Data Medicao]])</f>
        <v>2020</v>
      </c>
      <c r="D74" s="59">
        <v>287.39999999999998</v>
      </c>
      <c r="E74" s="59">
        <v>28.503226000000002</v>
      </c>
      <c r="F74" s="59">
        <v>23.214193999999999</v>
      </c>
      <c r="G74" s="59">
        <v>19.383870999999999</v>
      </c>
    </row>
    <row r="75" spans="1:7" x14ac:dyDescent="0.2">
      <c r="A75" s="61">
        <v>43890</v>
      </c>
      <c r="B75" s="59">
        <f>MONTH(Tabela1[[#This Row],[Data Medicao]])</f>
        <v>2</v>
      </c>
      <c r="C75" s="59">
        <f>YEAR(Tabela1[[#This Row],[Data Medicao]])</f>
        <v>2020</v>
      </c>
      <c r="D75" s="59">
        <v>505.7</v>
      </c>
      <c r="E75" s="59">
        <v>27.010345000000001</v>
      </c>
      <c r="F75" s="59">
        <v>22.578261000000001</v>
      </c>
      <c r="G75" s="59">
        <v>19.526087</v>
      </c>
    </row>
    <row r="76" spans="1:7" x14ac:dyDescent="0.2">
      <c r="A76" s="61">
        <v>43921</v>
      </c>
      <c r="B76" s="59">
        <f>MONTH(Tabela1[[#This Row],[Data Medicao]])</f>
        <v>3</v>
      </c>
      <c r="C76" s="59">
        <f>YEAR(Tabela1[[#This Row],[Data Medicao]])</f>
        <v>2020</v>
      </c>
      <c r="D76" s="59" t="s">
        <v>132</v>
      </c>
      <c r="E76" s="59">
        <v>27.826087000000001</v>
      </c>
      <c r="F76" s="59">
        <v>21.89913</v>
      </c>
      <c r="G76" s="59">
        <v>18.173912999999999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Análise demanda</vt:lpstr>
      <vt:lpstr>Perfil Universidade</vt:lpstr>
      <vt:lpstr>Dados UC's</vt:lpstr>
      <vt:lpstr>Demanda Contratada</vt:lpstr>
      <vt:lpstr>Dados temp. e precip.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Microsoft Office User</cp:lastModifiedBy>
  <dcterms:created xsi:type="dcterms:W3CDTF">2020-11-02T21:38:50Z</dcterms:created>
  <dcterms:modified xsi:type="dcterms:W3CDTF">2021-01-14T00:07:27Z</dcterms:modified>
</cp:coreProperties>
</file>