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afae\OneDrive\Documents\Pastas Pessoais\06 - Doutorado\00 - Disciplinas\2S2020 - IT304 S - Contratação de Energia\"/>
    </mc:Choice>
  </mc:AlternateContent>
  <xr:revisionPtr revIDLastSave="0" documentId="13_ncr:1_{9A6A7C8E-D20F-41AA-B3D8-2CE44574726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presentação" sheetId="1" r:id="rId1"/>
    <sheet name="UC1" sheetId="2" r:id="rId2"/>
    <sheet name="GRÁFICOSUC1" sheetId="4" state="hidden" r:id="rId3"/>
    <sheet name="UC2" sheetId="3" r:id="rId4"/>
    <sheet name="GRÁFICOSUC2" sheetId="5" state="hidden" r:id="rId5"/>
  </sheets>
  <calcPr calcId="191029"/>
  <extLst>
    <ext uri="GoogleSheetsCustomDataVersion1">
      <go:sheetsCustomData xmlns:go="http://customooxmlschemas.google.com/" r:id="rId7" roundtripDataSignature="AMtx7mj5Ui0ygo/6lFdrT46YaC/FN37XyQ=="/>
    </ext>
  </extLst>
</workbook>
</file>

<file path=xl/calcChain.xml><?xml version="1.0" encoding="utf-8"?>
<calcChain xmlns="http://schemas.openxmlformats.org/spreadsheetml/2006/main">
  <c r="AC61" i="3" l="1"/>
  <c r="AB61" i="3"/>
  <c r="AA61" i="3"/>
  <c r="W61" i="3"/>
  <c r="AC60" i="3"/>
  <c r="AB60" i="3"/>
  <c r="AA60" i="3"/>
  <c r="W60" i="3"/>
  <c r="AC59" i="3"/>
  <c r="AB59" i="3"/>
  <c r="AA59" i="3"/>
  <c r="W59" i="3"/>
  <c r="AC58" i="3"/>
  <c r="AA58" i="3"/>
  <c r="W58" i="3"/>
  <c r="AC57" i="3"/>
  <c r="AB57" i="3"/>
  <c r="AA57" i="3"/>
  <c r="W57" i="3"/>
  <c r="AB56" i="3"/>
  <c r="AA56" i="3"/>
  <c r="W56" i="3"/>
  <c r="AB55" i="3"/>
  <c r="AA55" i="3"/>
  <c r="W55" i="3"/>
  <c r="AB54" i="3"/>
  <c r="AA54" i="3"/>
  <c r="W54" i="3"/>
  <c r="AA53" i="3"/>
  <c r="W53" i="3"/>
  <c r="AA52" i="3"/>
  <c r="W52" i="3"/>
  <c r="AA51" i="3"/>
  <c r="W51" i="3"/>
  <c r="AA50" i="3"/>
  <c r="W50" i="3"/>
  <c r="AB25" i="3"/>
  <c r="AA25" i="3"/>
  <c r="W25" i="3"/>
  <c r="AB24" i="3"/>
  <c r="AA24" i="3"/>
  <c r="W24" i="3"/>
  <c r="AA23" i="3"/>
  <c r="W23" i="3"/>
  <c r="AA22" i="3"/>
  <c r="W22" i="3"/>
  <c r="AA21" i="3"/>
  <c r="W21" i="3"/>
  <c r="AA20" i="3"/>
  <c r="W20" i="3"/>
  <c r="U20" i="3"/>
  <c r="T20" i="3"/>
  <c r="R20" i="3"/>
  <c r="P20" i="3"/>
  <c r="AA19" i="3"/>
  <c r="W19" i="3"/>
  <c r="AA18" i="3"/>
  <c r="W18" i="3"/>
  <c r="AB17" i="3"/>
  <c r="AA17" i="3"/>
  <c r="W17" i="3"/>
  <c r="AC16" i="3"/>
  <c r="AB16" i="3"/>
  <c r="AA16" i="3"/>
  <c r="W16" i="3"/>
  <c r="AC15" i="3"/>
  <c r="AA15" i="3"/>
  <c r="W15" i="3"/>
  <c r="AC14" i="3"/>
  <c r="AA14" i="3"/>
  <c r="W14" i="3"/>
  <c r="AC61" i="2"/>
  <c r="AB61" i="2"/>
  <c r="AA61" i="2"/>
  <c r="W61" i="2"/>
  <c r="AC60" i="2"/>
  <c r="AB60" i="2"/>
  <c r="AA60" i="2"/>
  <c r="AC59" i="2"/>
  <c r="AB59" i="2"/>
  <c r="AA59" i="2"/>
  <c r="AC58" i="2"/>
  <c r="AA58" i="2"/>
  <c r="AC57" i="2"/>
  <c r="AB57" i="2"/>
  <c r="AA57" i="2"/>
  <c r="AB56" i="2"/>
  <c r="AA56" i="2"/>
  <c r="AB55" i="2"/>
  <c r="AA55" i="2"/>
  <c r="AB54" i="2"/>
  <c r="AA54" i="2"/>
  <c r="AA53" i="2"/>
  <c r="AA52" i="2"/>
  <c r="AA51" i="2"/>
  <c r="W51" i="2"/>
  <c r="AA50" i="2"/>
  <c r="W50" i="2"/>
  <c r="AA25" i="2"/>
  <c r="W25" i="2"/>
  <c r="AB24" i="2"/>
  <c r="AA24" i="2"/>
  <c r="W24" i="2"/>
  <c r="AA23" i="2"/>
  <c r="W23" i="2"/>
  <c r="AA22" i="2"/>
  <c r="AA21" i="2"/>
  <c r="W21" i="2"/>
  <c r="AA19" i="2"/>
  <c r="W19" i="2"/>
  <c r="AA18" i="2"/>
  <c r="W18" i="2"/>
  <c r="AB17" i="2"/>
  <c r="AA17" i="2"/>
  <c r="W17" i="2"/>
  <c r="AC16" i="2"/>
  <c r="AB16" i="2"/>
  <c r="AA16" i="2"/>
  <c r="W16" i="2"/>
  <c r="AC15" i="2"/>
  <c r="AA15" i="2"/>
  <c r="W15" i="2"/>
  <c r="AC14" i="2"/>
  <c r="AA14" i="2"/>
  <c r="W14" i="2"/>
</calcChain>
</file>

<file path=xl/sharedStrings.xml><?xml version="1.0" encoding="utf-8"?>
<sst xmlns="http://schemas.openxmlformats.org/spreadsheetml/2006/main" count="216" uniqueCount="53">
  <si>
    <t>Universidade:</t>
  </si>
  <si>
    <t>UFABC</t>
  </si>
  <si>
    <t>Número de Ucs:</t>
  </si>
  <si>
    <t>UC</t>
  </si>
  <si>
    <t>Nome do Campus</t>
  </si>
  <si>
    <t>Distribuidora</t>
  </si>
  <si>
    <t>Subgrupo</t>
  </si>
  <si>
    <t>Endereço</t>
  </si>
  <si>
    <t>Santo André</t>
  </si>
  <si>
    <t>ENEL SP</t>
  </si>
  <si>
    <t>A4</t>
  </si>
  <si>
    <t>R STA ADELIA 166 - VILA SÃO PEDRO - SANTO ANDRÉ - SP 09210-170</t>
  </si>
  <si>
    <t>São Bernardo do Campo</t>
  </si>
  <si>
    <t>R ARCTURUS S/N A CENTR - SÃO BERNARDO DO CAMPO - SP - 09606-070</t>
  </si>
  <si>
    <t>Observações: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</si>
  <si>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</si>
  <si>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</si>
  <si>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</si>
  <si>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</si>
  <si>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</si>
  <si>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</si>
  <si>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</si>
  <si>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</si>
  <si>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</si>
  <si>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</si>
  <si>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</si>
  <si>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</si>
  <si>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</si>
  <si>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</si>
  <si>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</si>
  <si>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</si>
  <si>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</si>
  <si>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</si>
  <si>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</si>
  <si>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</si>
  <si>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</si>
  <si>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</si>
  <si>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</si>
  <si>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</si>
  <si>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</si>
  <si>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</si>
  <si>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</si>
  <si>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</si>
  <si>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</si>
  <si>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</si>
  <si>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Categoria Tarifa</t>
  </si>
  <si>
    <t>Horária Verde</t>
  </si>
  <si>
    <t>147.358.4</t>
  </si>
  <si>
    <t>DEMANDA CONTRATA E DEMANDA REGISTRADA</t>
  </si>
  <si>
    <t>TARIFAS</t>
  </si>
  <si>
    <t>CONSUMO DE ENERGIA (TOTAL, ATIVO E REATIVO)</t>
  </si>
  <si>
    <t xml:space="preserve">Mês 7 de 2016 da UC 1 possui somente uma página, mostrando só o valor total da fatura, sem detalhes </t>
  </si>
  <si>
    <t xml:space="preserve">Em alguns meses, na UC 1, os valores de Demanda Registrada P apareciam zerados na conta de energia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</si>
</sst>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.0000"/>
    <numFmt numFmtId="166" formatCode="0.0"/>
    <numFmt numFmtId="167" formatCode="#,##0.00000"/>
  </numFmts>
  <fonts count="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UC1 - UFABC SA - Demanda</a:t>
            </a:r>
            <a:r>
              <a:rPr lang="pt-BR" baseline="0"/>
              <a:t> FP</a:t>
            </a:r>
            <a:endParaRPr lang="pt-B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9736191776282E-2"/>
          <c:y val="0.10970884552933226"/>
          <c:w val="0.894230762645713"/>
          <c:h val="0.8185454696266804"/>
        </c:manualLayout>
      </c:layout>
      <c:lineChart>
        <c:grouping val="standard"/>
        <c:varyColors val="0"/>
        <c:ser>
          <c:idx val="4"/>
          <c:order val="0"/>
          <c:tx>
            <c:strRef>
              <c:f>'UC1'!$I$1</c:f>
              <c:strCache>
                <c:ptCount val="1"/>
                <c:pt idx="0">
                  <c:v>DEMANDA_CONTRATADA_FP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'UC1'!$A$2:$A$65</c:f>
              <c:numCache>
                <c:formatCode>m/d/yyyy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'UC1'!$I$2:$I$65</c:f>
              <c:numCache>
                <c:formatCode>General</c:formatCode>
                <c:ptCount val="64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  <c:pt idx="15">
                  <c:v>1400</c:v>
                </c:pt>
                <c:pt idx="16">
                  <c:v>1400</c:v>
                </c:pt>
                <c:pt idx="17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1400</c:v>
                </c:pt>
                <c:pt idx="22">
                  <c:v>1400</c:v>
                </c:pt>
                <c:pt idx="23">
                  <c:v>1400</c:v>
                </c:pt>
                <c:pt idx="24">
                  <c:v>1400</c:v>
                </c:pt>
                <c:pt idx="25">
                  <c:v>1400</c:v>
                </c:pt>
                <c:pt idx="26">
                  <c:v>1400</c:v>
                </c:pt>
                <c:pt idx="27">
                  <c:v>1400</c:v>
                </c:pt>
                <c:pt idx="28">
                  <c:v>1400</c:v>
                </c:pt>
                <c:pt idx="29">
                  <c:v>1400</c:v>
                </c:pt>
                <c:pt idx="30">
                  <c:v>1400</c:v>
                </c:pt>
                <c:pt idx="31">
                  <c:v>1400</c:v>
                </c:pt>
                <c:pt idx="32">
                  <c:v>1400</c:v>
                </c:pt>
                <c:pt idx="33">
                  <c:v>1400</c:v>
                </c:pt>
                <c:pt idx="34">
                  <c:v>1400</c:v>
                </c:pt>
                <c:pt idx="35">
                  <c:v>1400</c:v>
                </c:pt>
                <c:pt idx="36">
                  <c:v>1400</c:v>
                </c:pt>
                <c:pt idx="37">
                  <c:v>1400</c:v>
                </c:pt>
                <c:pt idx="38">
                  <c:v>1400</c:v>
                </c:pt>
                <c:pt idx="39">
                  <c:v>1400</c:v>
                </c:pt>
                <c:pt idx="40">
                  <c:v>1400</c:v>
                </c:pt>
                <c:pt idx="41">
                  <c:v>1400</c:v>
                </c:pt>
                <c:pt idx="42">
                  <c:v>1400</c:v>
                </c:pt>
                <c:pt idx="43">
                  <c:v>1400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1400</c:v>
                </c:pt>
                <c:pt idx="56">
                  <c:v>1400</c:v>
                </c:pt>
                <c:pt idx="57">
                  <c:v>1400</c:v>
                </c:pt>
                <c:pt idx="58">
                  <c:v>1400</c:v>
                </c:pt>
                <c:pt idx="59">
                  <c:v>1400</c:v>
                </c:pt>
                <c:pt idx="60">
                  <c:v>1400</c:v>
                </c:pt>
                <c:pt idx="61">
                  <c:v>1400</c:v>
                </c:pt>
                <c:pt idx="62">
                  <c:v>1400</c:v>
                </c:pt>
                <c:pt idx="63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DBF-49DD-962C-345C8449F36D}"/>
            </c:ext>
          </c:extLst>
        </c:ser>
        <c:ser>
          <c:idx val="0"/>
          <c:order val="1"/>
          <c:tx>
            <c:strRef>
              <c:f>'UC1'!$K$1</c:f>
              <c:strCache>
                <c:ptCount val="1"/>
                <c:pt idx="0">
                  <c:v>DEMANDA_REGISTRADA_FP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'UC1'!$A$2:$A$65</c:f>
              <c:numCache>
                <c:formatCode>m/d/yyyy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'UC1'!$K$2:$K$65</c:f>
              <c:numCache>
                <c:formatCode>General</c:formatCode>
                <c:ptCount val="64"/>
                <c:pt idx="0">
                  <c:v>1139.9000000000001</c:v>
                </c:pt>
                <c:pt idx="1">
                  <c:v>1392.7</c:v>
                </c:pt>
                <c:pt idx="2">
                  <c:v>1455.7</c:v>
                </c:pt>
                <c:pt idx="3">
                  <c:v>1368.4</c:v>
                </c:pt>
                <c:pt idx="4">
                  <c:v>1269.2</c:v>
                </c:pt>
                <c:pt idx="5">
                  <c:v>1268.4000000000001</c:v>
                </c:pt>
                <c:pt idx="6">
                  <c:v>1134</c:v>
                </c:pt>
                <c:pt idx="7">
                  <c:v>1150.8</c:v>
                </c:pt>
                <c:pt idx="8">
                  <c:v>1037.4000000000001</c:v>
                </c:pt>
                <c:pt idx="9">
                  <c:v>1488.5</c:v>
                </c:pt>
                <c:pt idx="10">
                  <c:v>1575.8</c:v>
                </c:pt>
                <c:pt idx="11">
                  <c:v>1581.7</c:v>
                </c:pt>
                <c:pt idx="12">
                  <c:v>1265</c:v>
                </c:pt>
                <c:pt idx="13">
                  <c:v>1454</c:v>
                </c:pt>
                <c:pt idx="14">
                  <c:v>1473.4</c:v>
                </c:pt>
                <c:pt idx="15">
                  <c:v>1482.6</c:v>
                </c:pt>
                <c:pt idx="16">
                  <c:v>1505.3</c:v>
                </c:pt>
                <c:pt idx="17">
                  <c:v>1044.0999999999999</c:v>
                </c:pt>
                <c:pt idx="19">
                  <c:v>1017.2</c:v>
                </c:pt>
                <c:pt idx="20">
                  <c:v>0</c:v>
                </c:pt>
                <c:pt idx="21">
                  <c:v>0</c:v>
                </c:pt>
                <c:pt idx="22">
                  <c:v>1625.4</c:v>
                </c:pt>
                <c:pt idx="23">
                  <c:v>1284.4000000000001</c:v>
                </c:pt>
                <c:pt idx="24">
                  <c:v>1284.4000000000001</c:v>
                </c:pt>
                <c:pt idx="25">
                  <c:v>1159.2</c:v>
                </c:pt>
                <c:pt idx="26">
                  <c:v>1601</c:v>
                </c:pt>
                <c:pt idx="27">
                  <c:v>1517</c:v>
                </c:pt>
                <c:pt idx="28">
                  <c:v>1431.4</c:v>
                </c:pt>
                <c:pt idx="29">
                  <c:v>1163.4000000000001</c:v>
                </c:pt>
                <c:pt idx="30">
                  <c:v>1087.8</c:v>
                </c:pt>
                <c:pt idx="31">
                  <c:v>107.8</c:v>
                </c:pt>
                <c:pt idx="32">
                  <c:v>998.8</c:v>
                </c:pt>
                <c:pt idx="33">
                  <c:v>1454</c:v>
                </c:pt>
                <c:pt idx="34">
                  <c:v>1545.6</c:v>
                </c:pt>
                <c:pt idx="35">
                  <c:v>1427.2</c:v>
                </c:pt>
                <c:pt idx="36">
                  <c:v>1342.3</c:v>
                </c:pt>
                <c:pt idx="37">
                  <c:v>1191.0999999999999</c:v>
                </c:pt>
                <c:pt idx="38">
                  <c:v>1574.2</c:v>
                </c:pt>
                <c:pt idx="39">
                  <c:v>1395.2</c:v>
                </c:pt>
                <c:pt idx="40">
                  <c:v>1450.7</c:v>
                </c:pt>
                <c:pt idx="41">
                  <c:v>1238.2</c:v>
                </c:pt>
                <c:pt idx="42">
                  <c:v>1176</c:v>
                </c:pt>
                <c:pt idx="43">
                  <c:v>1186.9000000000001</c:v>
                </c:pt>
                <c:pt idx="44">
                  <c:v>1116.4000000000001</c:v>
                </c:pt>
                <c:pt idx="45">
                  <c:v>1423.8</c:v>
                </c:pt>
                <c:pt idx="46">
                  <c:v>1101.2</c:v>
                </c:pt>
                <c:pt idx="47">
                  <c:v>1533.8</c:v>
                </c:pt>
                <c:pt idx="48">
                  <c:v>1559.9</c:v>
                </c:pt>
                <c:pt idx="49">
                  <c:v>1039.9000000000001</c:v>
                </c:pt>
                <c:pt idx="50">
                  <c:v>1425.5</c:v>
                </c:pt>
                <c:pt idx="51">
                  <c:v>1664</c:v>
                </c:pt>
                <c:pt idx="52">
                  <c:v>1533</c:v>
                </c:pt>
                <c:pt idx="53">
                  <c:v>1281</c:v>
                </c:pt>
                <c:pt idx="54">
                  <c:v>1175.2</c:v>
                </c:pt>
                <c:pt idx="55">
                  <c:v>946.7</c:v>
                </c:pt>
                <c:pt idx="56">
                  <c:v>1097</c:v>
                </c:pt>
                <c:pt idx="57">
                  <c:v>1261.7</c:v>
                </c:pt>
                <c:pt idx="58">
                  <c:v>1619.5</c:v>
                </c:pt>
                <c:pt idx="59">
                  <c:v>1302</c:v>
                </c:pt>
                <c:pt idx="60" formatCode="0.0">
                  <c:v>1286</c:v>
                </c:pt>
                <c:pt idx="61" formatCode="0.0">
                  <c:v>1260.8</c:v>
                </c:pt>
                <c:pt idx="62" formatCode="0.0">
                  <c:v>1573.3</c:v>
                </c:pt>
                <c:pt idx="63" formatCode="0.0">
                  <c:v>1239.8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DBF-49DD-962C-345C8449F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67032"/>
        <c:axId val="501470312"/>
      </c:lineChart>
      <c:dateAx>
        <c:axId val="50146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Mês de Referência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70312"/>
        <c:crosses val="autoZero"/>
        <c:auto val="1"/>
        <c:lblOffset val="100"/>
        <c:baseTimeUnit val="months"/>
      </c:dateAx>
      <c:valAx>
        <c:axId val="50147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67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2205032484251535E-2"/>
          <c:y val="0.11644951675260196"/>
          <c:w val="0.16919389790845804"/>
          <c:h val="7.0201132098830527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UC1 - UFABC SA - </a:t>
            </a:r>
            <a:r>
              <a:rPr lang="pt-BR"/>
              <a:t>Demanda</a:t>
            </a:r>
            <a:r>
              <a:rPr lang="pt-BR" baseline="0"/>
              <a:t> P</a:t>
            </a:r>
            <a:endParaRPr lang="pt-B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9736191776282E-2"/>
          <c:y val="0.10970884552933226"/>
          <c:w val="0.894230762645713"/>
          <c:h val="0.8185454696266804"/>
        </c:manualLayout>
      </c:layout>
      <c:lineChart>
        <c:grouping val="standard"/>
        <c:varyColors val="0"/>
        <c:ser>
          <c:idx val="4"/>
          <c:order val="0"/>
          <c:tx>
            <c:strRef>
              <c:f>'UC1'!$H$1</c:f>
              <c:strCache>
                <c:ptCount val="1"/>
                <c:pt idx="0">
                  <c:v>DEMANDA_CONTRATADA_P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'UC1'!$A$2:$A$65</c:f>
              <c:numCache>
                <c:formatCode>m/d/yyyy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'UC1'!$H$2:$H$65</c:f>
              <c:numCache>
                <c:formatCode>General</c:formatCode>
                <c:ptCount val="64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  <c:pt idx="15">
                  <c:v>1400</c:v>
                </c:pt>
                <c:pt idx="16">
                  <c:v>1400</c:v>
                </c:pt>
                <c:pt idx="17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1400</c:v>
                </c:pt>
                <c:pt idx="22">
                  <c:v>1400</c:v>
                </c:pt>
                <c:pt idx="23">
                  <c:v>1400</c:v>
                </c:pt>
                <c:pt idx="24">
                  <c:v>1400</c:v>
                </c:pt>
                <c:pt idx="25">
                  <c:v>1400</c:v>
                </c:pt>
                <c:pt idx="26">
                  <c:v>1400</c:v>
                </c:pt>
                <c:pt idx="27">
                  <c:v>1400</c:v>
                </c:pt>
                <c:pt idx="28">
                  <c:v>1400</c:v>
                </c:pt>
                <c:pt idx="29">
                  <c:v>1400</c:v>
                </c:pt>
                <c:pt idx="30">
                  <c:v>1400</c:v>
                </c:pt>
                <c:pt idx="31">
                  <c:v>1400</c:v>
                </c:pt>
                <c:pt idx="32">
                  <c:v>1400</c:v>
                </c:pt>
                <c:pt idx="33">
                  <c:v>1400</c:v>
                </c:pt>
                <c:pt idx="34">
                  <c:v>1400</c:v>
                </c:pt>
                <c:pt idx="35">
                  <c:v>1400</c:v>
                </c:pt>
                <c:pt idx="36">
                  <c:v>1400</c:v>
                </c:pt>
                <c:pt idx="37">
                  <c:v>1400</c:v>
                </c:pt>
                <c:pt idx="38">
                  <c:v>1400</c:v>
                </c:pt>
                <c:pt idx="39">
                  <c:v>1400</c:v>
                </c:pt>
                <c:pt idx="40">
                  <c:v>1400</c:v>
                </c:pt>
                <c:pt idx="41">
                  <c:v>1400</c:v>
                </c:pt>
                <c:pt idx="42">
                  <c:v>1400</c:v>
                </c:pt>
                <c:pt idx="43">
                  <c:v>1400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1400</c:v>
                </c:pt>
                <c:pt idx="56">
                  <c:v>1400</c:v>
                </c:pt>
                <c:pt idx="57">
                  <c:v>1400</c:v>
                </c:pt>
                <c:pt idx="58">
                  <c:v>1400</c:v>
                </c:pt>
                <c:pt idx="59">
                  <c:v>1400</c:v>
                </c:pt>
                <c:pt idx="60">
                  <c:v>1400</c:v>
                </c:pt>
                <c:pt idx="61">
                  <c:v>1400</c:v>
                </c:pt>
                <c:pt idx="62">
                  <c:v>1400</c:v>
                </c:pt>
                <c:pt idx="63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4-49E6-9166-CB5FC08BF869}"/>
            </c:ext>
          </c:extLst>
        </c:ser>
        <c:ser>
          <c:idx val="0"/>
          <c:order val="1"/>
          <c:tx>
            <c:strRef>
              <c:f>'UC1'!$J$1</c:f>
              <c:strCache>
                <c:ptCount val="1"/>
                <c:pt idx="0">
                  <c:v>DEMANDA_REGISTRADA_P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'UC1'!$A$2:$A$65</c:f>
              <c:numCache>
                <c:formatCode>m/d/yyyy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'UC1'!$J$2:$J$65</c:f>
              <c:numCache>
                <c:formatCode>General</c:formatCode>
                <c:ptCount val="64"/>
                <c:pt idx="0">
                  <c:v>1009.7</c:v>
                </c:pt>
                <c:pt idx="1">
                  <c:v>1306.2</c:v>
                </c:pt>
                <c:pt idx="2">
                  <c:v>1338.1</c:v>
                </c:pt>
                <c:pt idx="3">
                  <c:v>1249.9000000000001</c:v>
                </c:pt>
                <c:pt idx="4">
                  <c:v>1167.5999999999999</c:v>
                </c:pt>
                <c:pt idx="5">
                  <c:v>1212.0999999999999</c:v>
                </c:pt>
                <c:pt idx="6">
                  <c:v>1074.4000000000001</c:v>
                </c:pt>
                <c:pt idx="7">
                  <c:v>1157.5</c:v>
                </c:pt>
                <c:pt idx="8">
                  <c:v>951.7</c:v>
                </c:pt>
                <c:pt idx="9">
                  <c:v>1411.2</c:v>
                </c:pt>
                <c:pt idx="10">
                  <c:v>1302</c:v>
                </c:pt>
                <c:pt idx="11">
                  <c:v>1259.2</c:v>
                </c:pt>
                <c:pt idx="12">
                  <c:v>1034.9000000000001</c:v>
                </c:pt>
                <c:pt idx="13">
                  <c:v>1202</c:v>
                </c:pt>
                <c:pt idx="14">
                  <c:v>1320.5</c:v>
                </c:pt>
                <c:pt idx="15">
                  <c:v>1357.4</c:v>
                </c:pt>
                <c:pt idx="16">
                  <c:v>1438.9</c:v>
                </c:pt>
                <c:pt idx="17">
                  <c:v>964.3</c:v>
                </c:pt>
                <c:pt idx="19">
                  <c:v>990.4</c:v>
                </c:pt>
                <c:pt idx="20">
                  <c:v>0</c:v>
                </c:pt>
                <c:pt idx="21">
                  <c:v>0</c:v>
                </c:pt>
                <c:pt idx="22">
                  <c:v>1373.4</c:v>
                </c:pt>
                <c:pt idx="23">
                  <c:v>1167.5999999999999</c:v>
                </c:pt>
                <c:pt idx="24">
                  <c:v>1167.5999999999999</c:v>
                </c:pt>
                <c:pt idx="25">
                  <c:v>944.2</c:v>
                </c:pt>
                <c:pt idx="26">
                  <c:v>1386.8</c:v>
                </c:pt>
                <c:pt idx="27">
                  <c:v>1381.8</c:v>
                </c:pt>
                <c:pt idx="28">
                  <c:v>1291.9000000000001</c:v>
                </c:pt>
                <c:pt idx="29">
                  <c:v>1162.5999999999999</c:v>
                </c:pt>
                <c:pt idx="30">
                  <c:v>1070.2</c:v>
                </c:pt>
                <c:pt idx="31">
                  <c:v>1070.2</c:v>
                </c:pt>
                <c:pt idx="32">
                  <c:v>0</c:v>
                </c:pt>
                <c:pt idx="33">
                  <c:v>1268.4000000000001</c:v>
                </c:pt>
                <c:pt idx="34">
                  <c:v>1361.6</c:v>
                </c:pt>
                <c:pt idx="35">
                  <c:v>1207.9000000000001</c:v>
                </c:pt>
                <c:pt idx="36">
                  <c:v>1106.3</c:v>
                </c:pt>
                <c:pt idx="37">
                  <c:v>939.1</c:v>
                </c:pt>
                <c:pt idx="38">
                  <c:v>1438.1</c:v>
                </c:pt>
                <c:pt idx="39">
                  <c:v>1278.5</c:v>
                </c:pt>
                <c:pt idx="40">
                  <c:v>1370</c:v>
                </c:pt>
                <c:pt idx="41">
                  <c:v>1199.5</c:v>
                </c:pt>
                <c:pt idx="42">
                  <c:v>1180.2</c:v>
                </c:pt>
                <c:pt idx="43">
                  <c:v>1160.9000000000001</c:v>
                </c:pt>
                <c:pt idx="44">
                  <c:v>1087.8</c:v>
                </c:pt>
                <c:pt idx="45">
                  <c:v>1310.4000000000001</c:v>
                </c:pt>
                <c:pt idx="46">
                  <c:v>1005.5</c:v>
                </c:pt>
                <c:pt idx="47">
                  <c:v>1283.5</c:v>
                </c:pt>
                <c:pt idx="48">
                  <c:v>1258.3</c:v>
                </c:pt>
                <c:pt idx="49">
                  <c:v>0</c:v>
                </c:pt>
                <c:pt idx="50">
                  <c:v>0</c:v>
                </c:pt>
                <c:pt idx="51">
                  <c:v>1464.1</c:v>
                </c:pt>
                <c:pt idx="52">
                  <c:v>1411.2</c:v>
                </c:pt>
                <c:pt idx="53">
                  <c:v>1181</c:v>
                </c:pt>
                <c:pt idx="54">
                  <c:v>1134.8</c:v>
                </c:pt>
                <c:pt idx="55">
                  <c:v>0</c:v>
                </c:pt>
                <c:pt idx="56">
                  <c:v>1011.4</c:v>
                </c:pt>
                <c:pt idx="57">
                  <c:v>1127.3</c:v>
                </c:pt>
                <c:pt idx="58">
                  <c:v>1464.1</c:v>
                </c:pt>
                <c:pt idx="59">
                  <c:v>1149.0999999999999</c:v>
                </c:pt>
                <c:pt idx="60">
                  <c:v>1198.7</c:v>
                </c:pt>
                <c:pt idx="61">
                  <c:v>1102.9000000000001</c:v>
                </c:pt>
                <c:pt idx="62">
                  <c:v>1291.0999999999999</c:v>
                </c:pt>
                <c:pt idx="63" formatCode="0.0">
                  <c:v>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84-49E6-9166-CB5FC08BF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67032"/>
        <c:axId val="501470312"/>
      </c:lineChart>
      <c:dateAx>
        <c:axId val="50146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Mês de Referência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70312"/>
        <c:crosses val="autoZero"/>
        <c:auto val="1"/>
        <c:lblOffset val="100"/>
        <c:baseTimeUnit val="months"/>
      </c:dateAx>
      <c:valAx>
        <c:axId val="501470312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67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3237392126024444E-2"/>
          <c:y val="0.11256733634278736"/>
          <c:w val="0.16416369791948462"/>
          <c:h val="7.0201132098830527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UC1 - UFABC SA - </a:t>
            </a:r>
            <a:r>
              <a:rPr lang="pt-BR"/>
              <a:t>Consumo de Energia Total (kWh) e Valor da Fatura de Energia (R$)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9736191776282E-2"/>
          <c:y val="0.10970884552933226"/>
          <c:w val="0.894230762645713"/>
          <c:h val="0.8185454696266804"/>
        </c:manualLayout>
      </c:layout>
      <c:lineChart>
        <c:grouping val="standard"/>
        <c:varyColors val="0"/>
        <c:ser>
          <c:idx val="0"/>
          <c:order val="0"/>
          <c:tx>
            <c:v>Consumo de Energia</c:v>
          </c:tx>
          <c:marker>
            <c:symbol val="none"/>
          </c:marker>
          <c:cat>
            <c:numRef>
              <c:f>'UC1'!$A$2:$A$65</c:f>
              <c:numCache>
                <c:formatCode>m/d/yyyy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'UC1'!$AA$2:$AA$65</c:f>
              <c:numCache>
                <c:formatCode>General</c:formatCode>
                <c:ptCount val="64"/>
                <c:pt idx="0">
                  <c:v>463211.70000000007</c:v>
                </c:pt>
                <c:pt idx="1">
                  <c:v>514086.3</c:v>
                </c:pt>
                <c:pt idx="2">
                  <c:v>534786.20000000007</c:v>
                </c:pt>
                <c:pt idx="3">
                  <c:v>520276.89999999997</c:v>
                </c:pt>
                <c:pt idx="4">
                  <c:v>487469.8</c:v>
                </c:pt>
                <c:pt idx="5">
                  <c:v>457353.6</c:v>
                </c:pt>
                <c:pt idx="6">
                  <c:v>458958.4</c:v>
                </c:pt>
                <c:pt idx="7">
                  <c:v>513965.4</c:v>
                </c:pt>
                <c:pt idx="8">
                  <c:v>417094</c:v>
                </c:pt>
                <c:pt idx="9">
                  <c:v>540004.30000000005</c:v>
                </c:pt>
                <c:pt idx="10">
                  <c:v>557859.9</c:v>
                </c:pt>
                <c:pt idx="11">
                  <c:v>554548.5</c:v>
                </c:pt>
                <c:pt idx="12">
                  <c:v>412125.19999999995</c:v>
                </c:pt>
                <c:pt idx="13">
                  <c:v>451562.2</c:v>
                </c:pt>
                <c:pt idx="14">
                  <c:v>517997.3</c:v>
                </c:pt>
                <c:pt idx="15">
                  <c:v>564132.9</c:v>
                </c:pt>
                <c:pt idx="16">
                  <c:v>503165.5</c:v>
                </c:pt>
                <c:pt idx="17">
                  <c:v>409225.5</c:v>
                </c:pt>
                <c:pt idx="19">
                  <c:v>437818.1</c:v>
                </c:pt>
                <c:pt idx="20">
                  <c:v>488741.9</c:v>
                </c:pt>
                <c:pt idx="21">
                  <c:v>341791.8</c:v>
                </c:pt>
                <c:pt idx="22">
                  <c:v>477674.8</c:v>
                </c:pt>
                <c:pt idx="23">
                  <c:v>449319.2</c:v>
                </c:pt>
                <c:pt idx="24">
                  <c:v>449319.15</c:v>
                </c:pt>
                <c:pt idx="25">
                  <c:v>473453.82</c:v>
                </c:pt>
                <c:pt idx="26">
                  <c:v>602113.47</c:v>
                </c:pt>
                <c:pt idx="27">
                  <c:v>603450.32999999996</c:v>
                </c:pt>
                <c:pt idx="28">
                  <c:v>528714.48</c:v>
                </c:pt>
                <c:pt idx="29">
                  <c:v>504659.61</c:v>
                </c:pt>
                <c:pt idx="30">
                  <c:v>402496.6</c:v>
                </c:pt>
                <c:pt idx="31">
                  <c:v>406698.6</c:v>
                </c:pt>
                <c:pt idx="32">
                  <c:v>530846.1</c:v>
                </c:pt>
                <c:pt idx="33">
                  <c:v>463348.2</c:v>
                </c:pt>
                <c:pt idx="34">
                  <c:v>547772.6</c:v>
                </c:pt>
                <c:pt idx="35">
                  <c:v>607662.6</c:v>
                </c:pt>
                <c:pt idx="36">
                  <c:v>513256.3</c:v>
                </c:pt>
                <c:pt idx="37">
                  <c:v>530669.80000000005</c:v>
                </c:pt>
                <c:pt idx="38">
                  <c:v>536342.4</c:v>
                </c:pt>
                <c:pt idx="39">
                  <c:v>714128.9</c:v>
                </c:pt>
                <c:pt idx="40">
                  <c:v>586151.30000000005</c:v>
                </c:pt>
                <c:pt idx="41">
                  <c:v>528585.5</c:v>
                </c:pt>
                <c:pt idx="42">
                  <c:v>492520.9</c:v>
                </c:pt>
                <c:pt idx="43">
                  <c:v>505458.8</c:v>
                </c:pt>
                <c:pt idx="44">
                  <c:v>497596.9</c:v>
                </c:pt>
                <c:pt idx="45">
                  <c:v>566354.1</c:v>
                </c:pt>
                <c:pt idx="46">
                  <c:v>568695.6</c:v>
                </c:pt>
                <c:pt idx="47">
                  <c:v>459301.6</c:v>
                </c:pt>
                <c:pt idx="48">
                  <c:v>501033.8</c:v>
                </c:pt>
                <c:pt idx="49">
                  <c:v>623035.5</c:v>
                </c:pt>
                <c:pt idx="50">
                  <c:v>591344.69999999995</c:v>
                </c:pt>
                <c:pt idx="51">
                  <c:v>629327.6</c:v>
                </c:pt>
                <c:pt idx="52">
                  <c:v>599844.6</c:v>
                </c:pt>
                <c:pt idx="53">
                  <c:v>490990.7</c:v>
                </c:pt>
                <c:pt idx="54">
                  <c:v>459220.4</c:v>
                </c:pt>
                <c:pt idx="55">
                  <c:v>471041.1</c:v>
                </c:pt>
                <c:pt idx="56">
                  <c:v>448151.1</c:v>
                </c:pt>
                <c:pt idx="57">
                  <c:v>457269.3</c:v>
                </c:pt>
                <c:pt idx="58">
                  <c:v>601039.5</c:v>
                </c:pt>
                <c:pt idx="59">
                  <c:v>526098.70000000007</c:v>
                </c:pt>
                <c:pt idx="60">
                  <c:v>455655.1</c:v>
                </c:pt>
                <c:pt idx="61">
                  <c:v>513551.9</c:v>
                </c:pt>
                <c:pt idx="62">
                  <c:v>475530.1</c:v>
                </c:pt>
                <c:pt idx="63">
                  <c:v>425553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5-41D4-BD1F-DA06816F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67032"/>
        <c:axId val="501470312"/>
      </c:lineChart>
      <c:lineChart>
        <c:grouping val="standard"/>
        <c:varyColors val="0"/>
        <c:ser>
          <c:idx val="1"/>
          <c:order val="1"/>
          <c:tx>
            <c:v>Valor da Fatura</c:v>
          </c:tx>
          <c:marker>
            <c:symbol val="none"/>
          </c:marker>
          <c:cat>
            <c:numRef>
              <c:f>'UC1'!$A$2:$A$65</c:f>
              <c:numCache>
                <c:formatCode>m/d/yyyy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'UC1'!$Z$2:$Z$65</c:f>
              <c:numCache>
                <c:formatCode>General</c:formatCode>
                <c:ptCount val="64"/>
                <c:pt idx="0">
                  <c:v>142229.76000000001</c:v>
                </c:pt>
                <c:pt idx="1">
                  <c:v>180765.99</c:v>
                </c:pt>
                <c:pt idx="2">
                  <c:v>229632.74</c:v>
                </c:pt>
                <c:pt idx="3">
                  <c:v>244705.37</c:v>
                </c:pt>
                <c:pt idx="4">
                  <c:v>229699.08</c:v>
                </c:pt>
                <c:pt idx="5">
                  <c:v>218046.32</c:v>
                </c:pt>
                <c:pt idx="6">
                  <c:v>230250.69</c:v>
                </c:pt>
                <c:pt idx="7">
                  <c:v>266587.52000000002</c:v>
                </c:pt>
                <c:pt idx="8">
                  <c:v>222681.96</c:v>
                </c:pt>
                <c:pt idx="9">
                  <c:v>288617.38</c:v>
                </c:pt>
                <c:pt idx="10">
                  <c:v>294627.44</c:v>
                </c:pt>
                <c:pt idx="11">
                  <c:v>294705.24</c:v>
                </c:pt>
                <c:pt idx="12">
                  <c:v>209040.48</c:v>
                </c:pt>
                <c:pt idx="13">
                  <c:v>226189.68</c:v>
                </c:pt>
                <c:pt idx="14">
                  <c:v>259365.53</c:v>
                </c:pt>
                <c:pt idx="15">
                  <c:v>268204.61</c:v>
                </c:pt>
                <c:pt idx="16">
                  <c:v>239817.92</c:v>
                </c:pt>
                <c:pt idx="17">
                  <c:v>195247.45</c:v>
                </c:pt>
                <c:pt idx="18">
                  <c:v>231078.34</c:v>
                </c:pt>
                <c:pt idx="19">
                  <c:v>193559.54</c:v>
                </c:pt>
                <c:pt idx="20">
                  <c:v>208474.23</c:v>
                </c:pt>
                <c:pt idx="21">
                  <c:v>153498.57</c:v>
                </c:pt>
                <c:pt idx="22">
                  <c:v>210531.9</c:v>
                </c:pt>
                <c:pt idx="23">
                  <c:v>188148</c:v>
                </c:pt>
                <c:pt idx="24">
                  <c:v>188148</c:v>
                </c:pt>
                <c:pt idx="25">
                  <c:v>204232.34</c:v>
                </c:pt>
                <c:pt idx="26">
                  <c:v>256132.43</c:v>
                </c:pt>
                <c:pt idx="27">
                  <c:v>267226.43</c:v>
                </c:pt>
                <c:pt idx="28">
                  <c:v>212548.97</c:v>
                </c:pt>
                <c:pt idx="29">
                  <c:v>231106.78</c:v>
                </c:pt>
                <c:pt idx="30">
                  <c:v>231933.76</c:v>
                </c:pt>
                <c:pt idx="31">
                  <c:v>217013.75</c:v>
                </c:pt>
                <c:pt idx="32">
                  <c:v>247139.45</c:v>
                </c:pt>
                <c:pt idx="33">
                  <c:v>236093.36</c:v>
                </c:pt>
                <c:pt idx="34">
                  <c:v>260930.32</c:v>
                </c:pt>
                <c:pt idx="35">
                  <c:v>294762.75</c:v>
                </c:pt>
                <c:pt idx="36">
                  <c:v>217087.98</c:v>
                </c:pt>
                <c:pt idx="37">
                  <c:v>227330</c:v>
                </c:pt>
                <c:pt idx="38">
                  <c:v>237184.3</c:v>
                </c:pt>
                <c:pt idx="39">
                  <c:v>302834.68</c:v>
                </c:pt>
                <c:pt idx="40">
                  <c:v>253189.61</c:v>
                </c:pt>
                <c:pt idx="41">
                  <c:v>232041.39</c:v>
                </c:pt>
                <c:pt idx="42">
                  <c:v>242930.02</c:v>
                </c:pt>
                <c:pt idx="43">
                  <c:v>282517.84999999998</c:v>
                </c:pt>
                <c:pt idx="44">
                  <c:v>282682.28000000003</c:v>
                </c:pt>
                <c:pt idx="45">
                  <c:v>320561.5</c:v>
                </c:pt>
                <c:pt idx="46">
                  <c:v>313746.3</c:v>
                </c:pt>
                <c:pt idx="47">
                  <c:v>266194.02</c:v>
                </c:pt>
                <c:pt idx="48">
                  <c:v>253859.49</c:v>
                </c:pt>
                <c:pt idx="49">
                  <c:v>306528.99</c:v>
                </c:pt>
                <c:pt idx="50">
                  <c:v>297435.84999999998</c:v>
                </c:pt>
                <c:pt idx="51">
                  <c:v>322952.25</c:v>
                </c:pt>
                <c:pt idx="52">
                  <c:v>303892.33</c:v>
                </c:pt>
                <c:pt idx="53">
                  <c:v>253860.52</c:v>
                </c:pt>
                <c:pt idx="54">
                  <c:v>235724.1</c:v>
                </c:pt>
                <c:pt idx="55">
                  <c:v>259244.7</c:v>
                </c:pt>
                <c:pt idx="56">
                  <c:v>277921.91999999998</c:v>
                </c:pt>
                <c:pt idx="57">
                  <c:v>263562.09000000003</c:v>
                </c:pt>
                <c:pt idx="58">
                  <c:v>337241.77</c:v>
                </c:pt>
                <c:pt idx="59">
                  <c:v>299623.96999999997</c:v>
                </c:pt>
                <c:pt idx="60">
                  <c:v>244906.81</c:v>
                </c:pt>
                <c:pt idx="61">
                  <c:v>274129.59999999998</c:v>
                </c:pt>
                <c:pt idx="62">
                  <c:v>259077.41</c:v>
                </c:pt>
                <c:pt idx="63">
                  <c:v>213486.21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5-41D4-BD1F-DA06816F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37256"/>
        <c:axId val="636633648"/>
      </c:lineChart>
      <c:dateAx>
        <c:axId val="50146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Mês de Referência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70312"/>
        <c:crosses val="autoZero"/>
        <c:auto val="1"/>
        <c:lblOffset val="100"/>
        <c:baseTimeUnit val="months"/>
      </c:dateAx>
      <c:valAx>
        <c:axId val="50147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Consumo Total [kWh]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67032"/>
        <c:crosses val="autoZero"/>
        <c:crossBetween val="between"/>
      </c:valAx>
      <c:valAx>
        <c:axId val="636633648"/>
        <c:scaling>
          <c:orientation val="minMax"/>
          <c:max val="6000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 da Fatura [R$]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637256"/>
        <c:crosses val="max"/>
        <c:crossBetween val="between"/>
      </c:valAx>
      <c:dateAx>
        <c:axId val="6366372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36633648"/>
        <c:crosses val="autoZero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85236823881170576"/>
          <c:y val="0.11839060695750919"/>
          <c:w val="9.9423460471194908E-2"/>
          <c:h val="7.0201132098830527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UC1 - UFABC SA - </a:t>
            </a:r>
            <a:r>
              <a:rPr lang="pt-BR"/>
              <a:t>Evolução Tarifária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9736191776282E-2"/>
          <c:y val="0.10970884552933226"/>
          <c:w val="0.894230762645713"/>
          <c:h val="0.8185454696266804"/>
        </c:manualLayout>
      </c:layout>
      <c:lineChart>
        <c:grouping val="standard"/>
        <c:varyColors val="0"/>
        <c:ser>
          <c:idx val="0"/>
          <c:order val="0"/>
          <c:tx>
            <c:strRef>
              <c:f>'UC1'!$R$1</c:f>
              <c:strCache>
                <c:ptCount val="1"/>
                <c:pt idx="0">
                  <c:v>TAR_TUSD_KWH_P</c:v>
                </c:pt>
              </c:strCache>
            </c:strRef>
          </c:tx>
          <c:marker>
            <c:symbol val="none"/>
          </c:marker>
          <c:cat>
            <c:numRef>
              <c:f>'UC1'!$A$2:$A$65</c:f>
              <c:numCache>
                <c:formatCode>m/d/yyyy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'UC1'!$R$2:$R$65</c:f>
              <c:numCache>
                <c:formatCode>General</c:formatCode>
                <c:ptCount val="64"/>
                <c:pt idx="0">
                  <c:v>0.30453000000000002</c:v>
                </c:pt>
                <c:pt idx="1">
                  <c:v>0.32399</c:v>
                </c:pt>
                <c:pt idx="2">
                  <c:v>0.36119000000000001</c:v>
                </c:pt>
                <c:pt idx="3">
                  <c:v>0.38525999999999999</c:v>
                </c:pt>
                <c:pt idx="4">
                  <c:v>0.38525999999999999</c:v>
                </c:pt>
                <c:pt idx="5">
                  <c:v>0.38525999999999999</c:v>
                </c:pt>
                <c:pt idx="6">
                  <c:v>0.38203999999999999</c:v>
                </c:pt>
                <c:pt idx="7">
                  <c:v>0.37784000000000001</c:v>
                </c:pt>
                <c:pt idx="8">
                  <c:v>0.37784000000000001</c:v>
                </c:pt>
                <c:pt idx="9">
                  <c:v>0.37784000000000001</c:v>
                </c:pt>
                <c:pt idx="10">
                  <c:v>0.37784000000000001</c:v>
                </c:pt>
                <c:pt idx="11">
                  <c:v>0.37784000000000001</c:v>
                </c:pt>
                <c:pt idx="12">
                  <c:v>0.37784000000000001</c:v>
                </c:pt>
                <c:pt idx="13">
                  <c:v>0.37784000000000001</c:v>
                </c:pt>
                <c:pt idx="14">
                  <c:v>0.37784000000000001</c:v>
                </c:pt>
                <c:pt idx="15">
                  <c:v>0.37784000000000001</c:v>
                </c:pt>
                <c:pt idx="16">
                  <c:v>0.37784000000000001</c:v>
                </c:pt>
                <c:pt idx="17">
                  <c:v>0.37784000000000001</c:v>
                </c:pt>
                <c:pt idx="19">
                  <c:v>0.36893999999999999</c:v>
                </c:pt>
                <c:pt idx="20">
                  <c:v>0.36893999999999999</c:v>
                </c:pt>
                <c:pt idx="21">
                  <c:v>0.36893999999999999</c:v>
                </c:pt>
                <c:pt idx="22">
                  <c:v>0.36893999999999999</c:v>
                </c:pt>
                <c:pt idx="23">
                  <c:v>0.36893999999999999</c:v>
                </c:pt>
                <c:pt idx="24">
                  <c:v>0.36893999999999999</c:v>
                </c:pt>
                <c:pt idx="25">
                  <c:v>0.36893999999999999</c:v>
                </c:pt>
                <c:pt idx="26">
                  <c:v>0.36893999999999999</c:v>
                </c:pt>
                <c:pt idx="27">
                  <c:v>0.36893999999999999</c:v>
                </c:pt>
                <c:pt idx="28">
                  <c:v>0.36893999999999999</c:v>
                </c:pt>
                <c:pt idx="29">
                  <c:v>0.36893999999999999</c:v>
                </c:pt>
                <c:pt idx="30">
                  <c:v>0.37324000000000002</c:v>
                </c:pt>
                <c:pt idx="31">
                  <c:v>0.43986999999999998</c:v>
                </c:pt>
                <c:pt idx="32">
                  <c:v>0.43986999999999998</c:v>
                </c:pt>
                <c:pt idx="33">
                  <c:v>0.43986999999999998</c:v>
                </c:pt>
                <c:pt idx="34">
                  <c:v>0.43986999999999998</c:v>
                </c:pt>
                <c:pt idx="35">
                  <c:v>0.43986999999999998</c:v>
                </c:pt>
                <c:pt idx="36">
                  <c:v>0.43986999999999998</c:v>
                </c:pt>
                <c:pt idx="37">
                  <c:v>0.43986999999999998</c:v>
                </c:pt>
                <c:pt idx="38">
                  <c:v>0.43986999999999998</c:v>
                </c:pt>
                <c:pt idx="39">
                  <c:v>0.43986999999999998</c:v>
                </c:pt>
                <c:pt idx="40">
                  <c:v>0.43986999999999998</c:v>
                </c:pt>
                <c:pt idx="41">
                  <c:v>0.43986999999999998</c:v>
                </c:pt>
                <c:pt idx="42">
                  <c:v>0.43986999999999998</c:v>
                </c:pt>
                <c:pt idx="43">
                  <c:v>0.47503000000000001</c:v>
                </c:pt>
                <c:pt idx="44">
                  <c:v>0.47503000000000001</c:v>
                </c:pt>
                <c:pt idx="45">
                  <c:v>0.47503000000000001</c:v>
                </c:pt>
                <c:pt idx="46">
                  <c:v>0.47503000000000001</c:v>
                </c:pt>
                <c:pt idx="47">
                  <c:v>0.47503000000000001</c:v>
                </c:pt>
                <c:pt idx="48">
                  <c:v>0.47503000000000001</c:v>
                </c:pt>
                <c:pt idx="49">
                  <c:v>0.47503000000000001</c:v>
                </c:pt>
                <c:pt idx="50">
                  <c:v>0.47503000000000001</c:v>
                </c:pt>
                <c:pt idx="51">
                  <c:v>0.47503000000000001</c:v>
                </c:pt>
                <c:pt idx="52">
                  <c:v>0.47503000000000001</c:v>
                </c:pt>
                <c:pt idx="53">
                  <c:v>0.47503000000000001</c:v>
                </c:pt>
                <c:pt idx="54">
                  <c:v>0.47503000000000001</c:v>
                </c:pt>
                <c:pt idx="55">
                  <c:v>0.55945999999999996</c:v>
                </c:pt>
                <c:pt idx="56">
                  <c:v>0.56227000000000005</c:v>
                </c:pt>
                <c:pt idx="57">
                  <c:v>0.56227000000000005</c:v>
                </c:pt>
                <c:pt idx="58">
                  <c:v>0.56227000000000005</c:v>
                </c:pt>
                <c:pt idx="59">
                  <c:v>0.56227000000000005</c:v>
                </c:pt>
                <c:pt idx="60" formatCode="#,##0.00000">
                  <c:v>0.56227000000000005</c:v>
                </c:pt>
                <c:pt idx="61" formatCode="#,##0.00000">
                  <c:v>0.56227000000000005</c:v>
                </c:pt>
                <c:pt idx="62" formatCode="#,##0.00000">
                  <c:v>0.56227000000000005</c:v>
                </c:pt>
                <c:pt idx="63" formatCode="#,##0.00000">
                  <c:v>0.56227000000000005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E-4182-B19D-2339AD0B1175}"/>
            </c:ext>
          </c:extLst>
        </c:ser>
        <c:ser>
          <c:idx val="1"/>
          <c:order val="1"/>
          <c:tx>
            <c:strRef>
              <c:f>'UC1'!$S$1</c:f>
              <c:strCache>
                <c:ptCount val="1"/>
                <c:pt idx="0">
                  <c:v>TAR_TUSD_KWH_FP</c:v>
                </c:pt>
              </c:strCache>
            </c:strRef>
          </c:tx>
          <c:marker>
            <c:symbol val="none"/>
          </c:marker>
          <c:val>
            <c:numRef>
              <c:f>'UC1'!$S$2:$S$65</c:f>
              <c:numCache>
                <c:formatCode>General</c:formatCode>
                <c:ptCount val="64"/>
                <c:pt idx="0">
                  <c:v>2.18E-2</c:v>
                </c:pt>
                <c:pt idx="1">
                  <c:v>2.179E-2</c:v>
                </c:pt>
                <c:pt idx="2">
                  <c:v>5.0700000000000002E-2</c:v>
                </c:pt>
                <c:pt idx="3">
                  <c:v>6.9409999999999999E-2</c:v>
                </c:pt>
                <c:pt idx="4">
                  <c:v>6.9409999999999999E-2</c:v>
                </c:pt>
                <c:pt idx="5">
                  <c:v>6.9409999999999999E-2</c:v>
                </c:pt>
                <c:pt idx="6">
                  <c:v>7.2969999999999993E-2</c:v>
                </c:pt>
                <c:pt idx="7">
                  <c:v>7.7630000000000005E-2</c:v>
                </c:pt>
                <c:pt idx="8">
                  <c:v>7.7630000000000005E-2</c:v>
                </c:pt>
                <c:pt idx="9">
                  <c:v>7.7630000000000005E-2</c:v>
                </c:pt>
                <c:pt idx="10">
                  <c:v>7.7630000000000005E-2</c:v>
                </c:pt>
                <c:pt idx="11">
                  <c:v>7.7630000000000005E-2</c:v>
                </c:pt>
                <c:pt idx="12">
                  <c:v>7.7630000000000005E-2</c:v>
                </c:pt>
                <c:pt idx="13">
                  <c:v>7.7630000000000005E-2</c:v>
                </c:pt>
                <c:pt idx="14">
                  <c:v>7.7630000000000005E-2</c:v>
                </c:pt>
                <c:pt idx="15">
                  <c:v>7.7630000000000005E-2</c:v>
                </c:pt>
                <c:pt idx="16">
                  <c:v>7.7630000000000005E-2</c:v>
                </c:pt>
                <c:pt idx="17">
                  <c:v>7.7630000000000005E-2</c:v>
                </c:pt>
                <c:pt idx="19">
                  <c:v>5.815E-2</c:v>
                </c:pt>
                <c:pt idx="20">
                  <c:v>5.815E-2</c:v>
                </c:pt>
                <c:pt idx="21">
                  <c:v>5.815E-2</c:v>
                </c:pt>
                <c:pt idx="22">
                  <c:v>5.815E-2</c:v>
                </c:pt>
                <c:pt idx="23">
                  <c:v>5.815E-2</c:v>
                </c:pt>
                <c:pt idx="24">
                  <c:v>5.815E-2</c:v>
                </c:pt>
                <c:pt idx="25">
                  <c:v>5.815E-2</c:v>
                </c:pt>
                <c:pt idx="26">
                  <c:v>5.815E-2</c:v>
                </c:pt>
                <c:pt idx="27">
                  <c:v>5.815E-2</c:v>
                </c:pt>
                <c:pt idx="28">
                  <c:v>5.815E-2</c:v>
                </c:pt>
                <c:pt idx="29">
                  <c:v>5.815E-2</c:v>
                </c:pt>
                <c:pt idx="30">
                  <c:v>5.6849999999999998E-2</c:v>
                </c:pt>
                <c:pt idx="31">
                  <c:v>3.6769999999999997E-2</c:v>
                </c:pt>
                <c:pt idx="32">
                  <c:v>3.6769999999999997E-2</c:v>
                </c:pt>
                <c:pt idx="33">
                  <c:v>3.6769999999999997E-2</c:v>
                </c:pt>
                <c:pt idx="34">
                  <c:v>3.6769999999999997E-2</c:v>
                </c:pt>
                <c:pt idx="35">
                  <c:v>3.6769999999999997E-2</c:v>
                </c:pt>
                <c:pt idx="36">
                  <c:v>3.6769999999999997E-2</c:v>
                </c:pt>
                <c:pt idx="37">
                  <c:v>3.6769999999999997E-2</c:v>
                </c:pt>
                <c:pt idx="38">
                  <c:v>3.6769999999999997E-2</c:v>
                </c:pt>
                <c:pt idx="39">
                  <c:v>3.6769999999999997E-2</c:v>
                </c:pt>
                <c:pt idx="40">
                  <c:v>3.6769999999999997E-2</c:v>
                </c:pt>
                <c:pt idx="41">
                  <c:v>3.6769999999999997E-2</c:v>
                </c:pt>
                <c:pt idx="42">
                  <c:v>3.6769999999999997E-2</c:v>
                </c:pt>
                <c:pt idx="43">
                  <c:v>5.7279999999999998E-2</c:v>
                </c:pt>
                <c:pt idx="44">
                  <c:v>5.7279999999999998E-2</c:v>
                </c:pt>
                <c:pt idx="45">
                  <c:v>5.7279999999999998E-2</c:v>
                </c:pt>
                <c:pt idx="46">
                  <c:v>5.7279999999999998E-2</c:v>
                </c:pt>
                <c:pt idx="47">
                  <c:v>5.7279999999999998E-2</c:v>
                </c:pt>
                <c:pt idx="48">
                  <c:v>5.7279999999999998E-2</c:v>
                </c:pt>
                <c:pt idx="49">
                  <c:v>5.7279999999999998E-2</c:v>
                </c:pt>
                <c:pt idx="50">
                  <c:v>5.7279999999999998E-2</c:v>
                </c:pt>
                <c:pt idx="51">
                  <c:v>5.7279999999999998E-2</c:v>
                </c:pt>
                <c:pt idx="52">
                  <c:v>5.7279999999999998E-2</c:v>
                </c:pt>
                <c:pt idx="53">
                  <c:v>5.7279999999999998E-2</c:v>
                </c:pt>
                <c:pt idx="54">
                  <c:v>5.7279999999999998E-2</c:v>
                </c:pt>
                <c:pt idx="55">
                  <c:v>7.5029999999999999E-2</c:v>
                </c:pt>
                <c:pt idx="56">
                  <c:v>7.5620000000000007E-2</c:v>
                </c:pt>
                <c:pt idx="57">
                  <c:v>7.5620000000000007E-2</c:v>
                </c:pt>
                <c:pt idx="58">
                  <c:v>7.5620000000000007E-2</c:v>
                </c:pt>
                <c:pt idx="59">
                  <c:v>7.5620000000000007E-2</c:v>
                </c:pt>
                <c:pt idx="60" formatCode="#,##0.00000">
                  <c:v>7.5620000000000007E-2</c:v>
                </c:pt>
                <c:pt idx="61" formatCode="#,##0.00000">
                  <c:v>7.5620000000000007E-2</c:v>
                </c:pt>
                <c:pt idx="62" formatCode="#,##0.00000">
                  <c:v>7.5620000000000007E-2</c:v>
                </c:pt>
                <c:pt idx="63" formatCode="#,##0.00000">
                  <c:v>7.5620000000000007E-2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E-4182-B19D-2339AD0B1175}"/>
            </c:ext>
          </c:extLst>
        </c:ser>
        <c:ser>
          <c:idx val="2"/>
          <c:order val="2"/>
          <c:tx>
            <c:strRef>
              <c:f>'UC1'!$T$1</c:f>
              <c:strCache>
                <c:ptCount val="1"/>
                <c:pt idx="0">
                  <c:v>TAR_TE_KWH_P</c:v>
                </c:pt>
              </c:strCache>
            </c:strRef>
          </c:tx>
          <c:marker>
            <c:symbol val="none"/>
          </c:marker>
          <c:val>
            <c:numRef>
              <c:f>'UC1'!$T$2:$T$65</c:f>
              <c:numCache>
                <c:formatCode>General</c:formatCode>
                <c:ptCount val="64"/>
                <c:pt idx="0">
                  <c:v>0.28789709677419351</c:v>
                </c:pt>
                <c:pt idx="1">
                  <c:v>0.30051</c:v>
                </c:pt>
                <c:pt idx="2">
                  <c:v>0.34238416979079567</c:v>
                </c:pt>
                <c:pt idx="3">
                  <c:v>0.36798999999999998</c:v>
                </c:pt>
                <c:pt idx="4">
                  <c:v>0.36798999999999998</c:v>
                </c:pt>
                <c:pt idx="5">
                  <c:v>0.36798999999999998</c:v>
                </c:pt>
                <c:pt idx="6">
                  <c:v>0.39004</c:v>
                </c:pt>
                <c:pt idx="7">
                  <c:v>0.36024</c:v>
                </c:pt>
                <c:pt idx="8">
                  <c:v>0.36024</c:v>
                </c:pt>
                <c:pt idx="9">
                  <c:v>0.36024</c:v>
                </c:pt>
                <c:pt idx="10">
                  <c:v>0.36024</c:v>
                </c:pt>
                <c:pt idx="11">
                  <c:v>0.36024</c:v>
                </c:pt>
                <c:pt idx="12">
                  <c:v>0.36024</c:v>
                </c:pt>
                <c:pt idx="13">
                  <c:v>0.36024</c:v>
                </c:pt>
                <c:pt idx="14">
                  <c:v>0.36024</c:v>
                </c:pt>
                <c:pt idx="15">
                  <c:v>0.36024</c:v>
                </c:pt>
                <c:pt idx="16">
                  <c:v>0.36024</c:v>
                </c:pt>
                <c:pt idx="17">
                  <c:v>0.36024</c:v>
                </c:pt>
                <c:pt idx="19">
                  <c:v>0.32356000000000001</c:v>
                </c:pt>
                <c:pt idx="20">
                  <c:v>0.32356000000000001</c:v>
                </c:pt>
                <c:pt idx="21">
                  <c:v>0.32356000000000001</c:v>
                </c:pt>
                <c:pt idx="22">
                  <c:v>0.32356000000000001</c:v>
                </c:pt>
                <c:pt idx="23">
                  <c:v>0.32356000000000001</c:v>
                </c:pt>
                <c:pt idx="24">
                  <c:v>0.32356000000000001</c:v>
                </c:pt>
                <c:pt idx="25">
                  <c:v>0.32356000000000001</c:v>
                </c:pt>
                <c:pt idx="26">
                  <c:v>0.32356000000000001</c:v>
                </c:pt>
                <c:pt idx="27">
                  <c:v>0.32356000000000001</c:v>
                </c:pt>
                <c:pt idx="28">
                  <c:v>0.31818999999999997</c:v>
                </c:pt>
                <c:pt idx="29">
                  <c:v>0.31818999999999997</c:v>
                </c:pt>
                <c:pt idx="30">
                  <c:v>0.31818999999999997</c:v>
                </c:pt>
                <c:pt idx="31">
                  <c:v>0.34899000000000002</c:v>
                </c:pt>
                <c:pt idx="32">
                  <c:v>0.34899000000000002</c:v>
                </c:pt>
                <c:pt idx="33">
                  <c:v>0.34899000000000002</c:v>
                </c:pt>
                <c:pt idx="34">
                  <c:v>0.34899000000000002</c:v>
                </c:pt>
                <c:pt idx="35">
                  <c:v>0.34899000000000002</c:v>
                </c:pt>
                <c:pt idx="36">
                  <c:v>0.34899000000000002</c:v>
                </c:pt>
                <c:pt idx="37">
                  <c:v>0.34899000000000002</c:v>
                </c:pt>
                <c:pt idx="38">
                  <c:v>0.34899000000000002</c:v>
                </c:pt>
                <c:pt idx="39">
                  <c:v>0.34899000000000002</c:v>
                </c:pt>
                <c:pt idx="40">
                  <c:v>0.34899000000000002</c:v>
                </c:pt>
                <c:pt idx="41">
                  <c:v>0.34899000000000002</c:v>
                </c:pt>
                <c:pt idx="42">
                  <c:v>0.34899000000000002</c:v>
                </c:pt>
                <c:pt idx="43">
                  <c:v>0.41154000000000002</c:v>
                </c:pt>
                <c:pt idx="44">
                  <c:v>0.41154000000000002</c:v>
                </c:pt>
                <c:pt idx="45">
                  <c:v>0.41154000000000002</c:v>
                </c:pt>
                <c:pt idx="46">
                  <c:v>0.41154000000000002</c:v>
                </c:pt>
                <c:pt idx="47">
                  <c:v>0.41154000000000002</c:v>
                </c:pt>
                <c:pt idx="48">
                  <c:v>0.41154000000000002</c:v>
                </c:pt>
                <c:pt idx="49">
                  <c:v>0.41154000000000002</c:v>
                </c:pt>
                <c:pt idx="50">
                  <c:v>0.41154000000000002</c:v>
                </c:pt>
                <c:pt idx="51">
                  <c:v>0.41154000000000002</c:v>
                </c:pt>
                <c:pt idx="52">
                  <c:v>0.41154000000000002</c:v>
                </c:pt>
                <c:pt idx="53">
                  <c:v>0.41154000000000002</c:v>
                </c:pt>
                <c:pt idx="54">
                  <c:v>0.41154000000000002</c:v>
                </c:pt>
                <c:pt idx="55">
                  <c:v>0.40514</c:v>
                </c:pt>
                <c:pt idx="56">
                  <c:v>0.40493000000000001</c:v>
                </c:pt>
                <c:pt idx="57">
                  <c:v>0.40493000000000001</c:v>
                </c:pt>
                <c:pt idx="58">
                  <c:v>0.40493000000000001</c:v>
                </c:pt>
                <c:pt idx="59">
                  <c:v>0.40493000000000001</c:v>
                </c:pt>
                <c:pt idx="60" formatCode="#,##0.00000">
                  <c:v>0.40493000000000001</c:v>
                </c:pt>
                <c:pt idx="61" formatCode="#,##0.00000">
                  <c:v>0.40493000000000001</c:v>
                </c:pt>
                <c:pt idx="62" formatCode="#,##0.00000">
                  <c:v>0.40493000000000001</c:v>
                </c:pt>
                <c:pt idx="63" formatCode="#,##0.00000">
                  <c:v>0.40493000000000001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E-4182-B19D-2339AD0B1175}"/>
            </c:ext>
          </c:extLst>
        </c:ser>
        <c:ser>
          <c:idx val="3"/>
          <c:order val="3"/>
          <c:tx>
            <c:strRef>
              <c:f>'UC1'!$U$1</c:f>
              <c:strCache>
                <c:ptCount val="1"/>
                <c:pt idx="0">
                  <c:v>TAR_TE_KWH_FP</c:v>
                </c:pt>
              </c:strCache>
            </c:strRef>
          </c:tx>
          <c:marker>
            <c:symbol val="none"/>
          </c:marker>
          <c:val>
            <c:numRef>
              <c:f>'UC1'!$U$2:$U$65</c:f>
              <c:numCache>
                <c:formatCode>General</c:formatCode>
                <c:ptCount val="64"/>
                <c:pt idx="0">
                  <c:v>0.17969709677419357</c:v>
                </c:pt>
                <c:pt idx="1">
                  <c:v>0.19231000000000001</c:v>
                </c:pt>
                <c:pt idx="2">
                  <c:v>0.21264895227050012</c:v>
                </c:pt>
                <c:pt idx="3">
                  <c:v>0.24590999999999999</c:v>
                </c:pt>
                <c:pt idx="4">
                  <c:v>0.24590999999999999</c:v>
                </c:pt>
                <c:pt idx="5">
                  <c:v>0.24590999999999999</c:v>
                </c:pt>
                <c:pt idx="6">
                  <c:v>0.2622666666666667</c:v>
                </c:pt>
                <c:pt idx="7">
                  <c:v>0.22595999999999999</c:v>
                </c:pt>
                <c:pt idx="8">
                  <c:v>0.22595999999999999</c:v>
                </c:pt>
                <c:pt idx="9">
                  <c:v>0.22595999999999999</c:v>
                </c:pt>
                <c:pt idx="10">
                  <c:v>0.22595999999999999</c:v>
                </c:pt>
                <c:pt idx="11">
                  <c:v>0.22595999999999999</c:v>
                </c:pt>
                <c:pt idx="12">
                  <c:v>0.22595999999999999</c:v>
                </c:pt>
                <c:pt idx="13">
                  <c:v>0.22595999999999999</c:v>
                </c:pt>
                <c:pt idx="14">
                  <c:v>0.22595999999999999</c:v>
                </c:pt>
                <c:pt idx="15">
                  <c:v>0.22595999999999999</c:v>
                </c:pt>
                <c:pt idx="16">
                  <c:v>0.22595999999999999</c:v>
                </c:pt>
                <c:pt idx="17">
                  <c:v>0.22595999999999999</c:v>
                </c:pt>
                <c:pt idx="19">
                  <c:v>0.21496999999999999</c:v>
                </c:pt>
                <c:pt idx="20">
                  <c:v>0.21496999999999999</c:v>
                </c:pt>
                <c:pt idx="21">
                  <c:v>0.21496999999999999</c:v>
                </c:pt>
                <c:pt idx="22">
                  <c:v>0.21496999999999999</c:v>
                </c:pt>
                <c:pt idx="23">
                  <c:v>0.21496999999999999</c:v>
                </c:pt>
                <c:pt idx="24">
                  <c:v>0.21496999999999999</c:v>
                </c:pt>
                <c:pt idx="25">
                  <c:v>0.21496999999999999</c:v>
                </c:pt>
                <c:pt idx="26">
                  <c:v>0.21496999999999999</c:v>
                </c:pt>
                <c:pt idx="27">
                  <c:v>0.21496999999999999</c:v>
                </c:pt>
                <c:pt idx="28">
                  <c:v>0.20960000000000001</c:v>
                </c:pt>
                <c:pt idx="29">
                  <c:v>0.20960000000000001</c:v>
                </c:pt>
                <c:pt idx="30">
                  <c:v>0.20960000000000001</c:v>
                </c:pt>
                <c:pt idx="31">
                  <c:v>0.22885</c:v>
                </c:pt>
                <c:pt idx="32">
                  <c:v>0.22885</c:v>
                </c:pt>
                <c:pt idx="33">
                  <c:v>0.22885</c:v>
                </c:pt>
                <c:pt idx="34">
                  <c:v>0.22885</c:v>
                </c:pt>
                <c:pt idx="35">
                  <c:v>0.22885</c:v>
                </c:pt>
                <c:pt idx="36">
                  <c:v>0.22885</c:v>
                </c:pt>
                <c:pt idx="37">
                  <c:v>0.22885</c:v>
                </c:pt>
                <c:pt idx="38">
                  <c:v>0.22885</c:v>
                </c:pt>
                <c:pt idx="39">
                  <c:v>0.22885</c:v>
                </c:pt>
                <c:pt idx="40">
                  <c:v>0.22885</c:v>
                </c:pt>
                <c:pt idx="41">
                  <c:v>0.22885</c:v>
                </c:pt>
                <c:pt idx="42">
                  <c:v>0.22885</c:v>
                </c:pt>
                <c:pt idx="43">
                  <c:v>0.25807999999999998</c:v>
                </c:pt>
                <c:pt idx="44">
                  <c:v>0.25807999999999998</c:v>
                </c:pt>
                <c:pt idx="45">
                  <c:v>0.25807999999999998</c:v>
                </c:pt>
                <c:pt idx="46">
                  <c:v>0.25807999999999998</c:v>
                </c:pt>
                <c:pt idx="47">
                  <c:v>0.25807999999999998</c:v>
                </c:pt>
                <c:pt idx="48">
                  <c:v>0.25807999999999998</c:v>
                </c:pt>
                <c:pt idx="49">
                  <c:v>0.25807999999999998</c:v>
                </c:pt>
                <c:pt idx="50">
                  <c:v>0.25807999999999998</c:v>
                </c:pt>
                <c:pt idx="51">
                  <c:v>0.25807999999999998</c:v>
                </c:pt>
                <c:pt idx="52">
                  <c:v>0.25807999999999998</c:v>
                </c:pt>
                <c:pt idx="53">
                  <c:v>0.25807999999999998</c:v>
                </c:pt>
                <c:pt idx="54">
                  <c:v>0.25807999999999998</c:v>
                </c:pt>
                <c:pt idx="55">
                  <c:v>0.24284</c:v>
                </c:pt>
                <c:pt idx="56">
                  <c:v>0.24232999999999999</c:v>
                </c:pt>
                <c:pt idx="57">
                  <c:v>0.24232999999999999</c:v>
                </c:pt>
                <c:pt idx="58">
                  <c:v>0.24232999999999999</c:v>
                </c:pt>
                <c:pt idx="59">
                  <c:v>0.24232999999999999</c:v>
                </c:pt>
                <c:pt idx="60" formatCode="#,##0.00000">
                  <c:v>0.24232999999999999</c:v>
                </c:pt>
                <c:pt idx="61" formatCode="#,##0.00000">
                  <c:v>0.24232999999999999</c:v>
                </c:pt>
                <c:pt idx="62" formatCode="#,##0.00000">
                  <c:v>0.24232999999999999</c:v>
                </c:pt>
                <c:pt idx="63" formatCode="#,##0.00000">
                  <c:v>0.24232999999999999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E-4182-B19D-2339AD0B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67032"/>
        <c:axId val="501470312"/>
      </c:lineChart>
      <c:dateAx>
        <c:axId val="50146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Mês de Referência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70312"/>
        <c:crosses val="autoZero"/>
        <c:auto val="1"/>
        <c:lblOffset val="100"/>
        <c:baseTimeUnit val="months"/>
      </c:dateAx>
      <c:valAx>
        <c:axId val="50147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 da Tarifa ([R$]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67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2390307918215496E-2"/>
          <c:y val="0.11434748418661063"/>
          <c:w val="0.12713982508724933"/>
          <c:h val="0.1404022641976610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UC2 - UFABC SB - </a:t>
            </a:r>
            <a:r>
              <a:rPr lang="pt-BR"/>
              <a:t>Demanda</a:t>
            </a:r>
            <a:r>
              <a:rPr lang="pt-BR" baseline="0"/>
              <a:t> FP</a:t>
            </a:r>
            <a:endParaRPr lang="pt-B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9736191776282E-2"/>
          <c:y val="0.10970884552933226"/>
          <c:w val="0.894230762645713"/>
          <c:h val="0.8185454696266804"/>
        </c:manualLayout>
      </c:layout>
      <c:lineChart>
        <c:grouping val="standard"/>
        <c:varyColors val="0"/>
        <c:ser>
          <c:idx val="4"/>
          <c:order val="0"/>
          <c:tx>
            <c:strRef>
              <c:f>'UC2'!$I$1</c:f>
              <c:strCache>
                <c:ptCount val="1"/>
                <c:pt idx="0">
                  <c:v>DEMANDA_CONTRATADA_FP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('UC1'!$A$2,'UC1'!$A$3:$A$65)</c:f>
              <c:numCache>
                <c:formatCode>m/d/yyyy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'UC2'!$I$2:$I$65</c:f>
              <c:numCache>
                <c:formatCode>General</c:formatCode>
                <c:ptCount val="6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5-4463-AFB8-992930545A42}"/>
            </c:ext>
          </c:extLst>
        </c:ser>
        <c:ser>
          <c:idx val="0"/>
          <c:order val="1"/>
          <c:tx>
            <c:strRef>
              <c:f>'UC2'!$K$1</c:f>
              <c:strCache>
                <c:ptCount val="1"/>
                <c:pt idx="0">
                  <c:v>DEMANDA_REGISTRADA_FP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'UC2'!$K$2:$K$65</c:f>
              <c:numCache>
                <c:formatCode>General</c:formatCode>
                <c:ptCount val="64"/>
                <c:pt idx="0">
                  <c:v>357</c:v>
                </c:pt>
                <c:pt idx="1">
                  <c:v>393.1</c:v>
                </c:pt>
                <c:pt idx="2">
                  <c:v>448.6</c:v>
                </c:pt>
                <c:pt idx="3">
                  <c:v>435.1</c:v>
                </c:pt>
                <c:pt idx="4">
                  <c:v>426.7</c:v>
                </c:pt>
                <c:pt idx="5">
                  <c:v>386.4</c:v>
                </c:pt>
                <c:pt idx="6">
                  <c:v>326.8</c:v>
                </c:pt>
                <c:pt idx="7">
                  <c:v>353.6</c:v>
                </c:pt>
                <c:pt idx="8">
                  <c:v>311.60000000000002</c:v>
                </c:pt>
                <c:pt idx="9">
                  <c:v>478.8</c:v>
                </c:pt>
                <c:pt idx="10">
                  <c:v>494.8</c:v>
                </c:pt>
                <c:pt idx="11">
                  <c:v>517.4</c:v>
                </c:pt>
                <c:pt idx="12">
                  <c:v>458.6</c:v>
                </c:pt>
                <c:pt idx="13">
                  <c:v>430.9</c:v>
                </c:pt>
                <c:pt idx="14">
                  <c:v>556.9</c:v>
                </c:pt>
                <c:pt idx="15">
                  <c:v>558.6</c:v>
                </c:pt>
                <c:pt idx="16">
                  <c:v>628.29999999999995</c:v>
                </c:pt>
                <c:pt idx="17">
                  <c:v>394</c:v>
                </c:pt>
                <c:pt idx="18">
                  <c:v>404</c:v>
                </c:pt>
                <c:pt idx="19">
                  <c:v>450</c:v>
                </c:pt>
                <c:pt idx="20">
                  <c:v>392.3</c:v>
                </c:pt>
                <c:pt idx="21">
                  <c:v>384.7</c:v>
                </c:pt>
                <c:pt idx="22">
                  <c:v>579.6</c:v>
                </c:pt>
                <c:pt idx="23">
                  <c:v>483.8</c:v>
                </c:pt>
                <c:pt idx="24">
                  <c:v>444.4</c:v>
                </c:pt>
                <c:pt idx="25">
                  <c:v>502.3</c:v>
                </c:pt>
                <c:pt idx="26">
                  <c:v>573.70000000000005</c:v>
                </c:pt>
                <c:pt idx="27">
                  <c:v>506.5</c:v>
                </c:pt>
                <c:pt idx="28">
                  <c:v>399.8</c:v>
                </c:pt>
                <c:pt idx="29">
                  <c:v>410.8</c:v>
                </c:pt>
                <c:pt idx="30">
                  <c:v>332.6</c:v>
                </c:pt>
                <c:pt idx="31">
                  <c:v>344.4</c:v>
                </c:pt>
                <c:pt idx="32">
                  <c:v>337.7</c:v>
                </c:pt>
                <c:pt idx="33">
                  <c:v>456.1</c:v>
                </c:pt>
                <c:pt idx="34">
                  <c:v>456.1</c:v>
                </c:pt>
                <c:pt idx="35">
                  <c:v>456.1</c:v>
                </c:pt>
                <c:pt idx="36">
                  <c:v>369.6</c:v>
                </c:pt>
                <c:pt idx="37">
                  <c:v>416.6</c:v>
                </c:pt>
                <c:pt idx="38">
                  <c:v>502.3</c:v>
                </c:pt>
                <c:pt idx="39">
                  <c:v>513.20000000000005</c:v>
                </c:pt>
                <c:pt idx="40">
                  <c:v>391.4</c:v>
                </c:pt>
                <c:pt idx="41">
                  <c:v>350.3</c:v>
                </c:pt>
                <c:pt idx="42">
                  <c:v>372.1</c:v>
                </c:pt>
                <c:pt idx="43">
                  <c:v>352</c:v>
                </c:pt>
                <c:pt idx="44">
                  <c:v>350.3</c:v>
                </c:pt>
                <c:pt idx="45">
                  <c:v>409.1</c:v>
                </c:pt>
                <c:pt idx="46">
                  <c:v>415</c:v>
                </c:pt>
                <c:pt idx="47">
                  <c:v>447.7</c:v>
                </c:pt>
                <c:pt idx="48">
                  <c:v>461.2</c:v>
                </c:pt>
                <c:pt idx="49">
                  <c:v>468.7</c:v>
                </c:pt>
                <c:pt idx="50">
                  <c:v>526.70000000000005</c:v>
                </c:pt>
                <c:pt idx="51">
                  <c:v>514.1</c:v>
                </c:pt>
                <c:pt idx="52">
                  <c:v>436</c:v>
                </c:pt>
                <c:pt idx="53">
                  <c:v>318.39999999999998</c:v>
                </c:pt>
                <c:pt idx="54">
                  <c:v>422.5</c:v>
                </c:pt>
                <c:pt idx="55">
                  <c:v>342.7</c:v>
                </c:pt>
                <c:pt idx="56">
                  <c:v>359.5</c:v>
                </c:pt>
                <c:pt idx="57">
                  <c:v>365.4</c:v>
                </c:pt>
                <c:pt idx="58">
                  <c:v>521.6</c:v>
                </c:pt>
                <c:pt idx="59">
                  <c:v>392.3</c:v>
                </c:pt>
                <c:pt idx="60">
                  <c:v>410.8</c:v>
                </c:pt>
                <c:pt idx="61">
                  <c:v>402.4</c:v>
                </c:pt>
                <c:pt idx="62">
                  <c:v>483.8</c:v>
                </c:pt>
                <c:pt idx="63">
                  <c:v>304.10000000000002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5-4463-AFB8-992930545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67032"/>
        <c:axId val="501470312"/>
      </c:lineChart>
      <c:dateAx>
        <c:axId val="50146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Mês de Referência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70312"/>
        <c:crosses val="autoZero"/>
        <c:auto val="1"/>
        <c:lblOffset val="100"/>
        <c:baseTimeUnit val="months"/>
      </c:dateAx>
      <c:valAx>
        <c:axId val="50147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67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89807702871983"/>
          <c:y val="0.11292624098356537"/>
          <c:w val="0.17220962935545836"/>
          <c:h val="6.8758136198313058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UC2 - UFABC SB - </a:t>
            </a:r>
            <a:r>
              <a:rPr lang="pt-BR"/>
              <a:t>Demanda</a:t>
            </a:r>
            <a:r>
              <a:rPr lang="pt-BR" baseline="0"/>
              <a:t> P</a:t>
            </a:r>
            <a:endParaRPr lang="pt-B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9736191776282E-2"/>
          <c:y val="0.10970884552933226"/>
          <c:w val="0.894230762645713"/>
          <c:h val="0.8185454696266804"/>
        </c:manualLayout>
      </c:layout>
      <c:lineChart>
        <c:grouping val="standard"/>
        <c:varyColors val="0"/>
        <c:ser>
          <c:idx val="6"/>
          <c:order val="0"/>
          <c:tx>
            <c:strRef>
              <c:f>'UC2'!$H$1</c:f>
              <c:strCache>
                <c:ptCount val="1"/>
                <c:pt idx="0">
                  <c:v>DEMANDA_CONTRATADA_P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'UC2'!$A$2:$A$65</c:f>
              <c:numCache>
                <c:formatCode>m/d/yyyy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'UC2'!$H$2:$H$65</c:f>
              <c:numCache>
                <c:formatCode>General</c:formatCode>
                <c:ptCount val="6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0-4C68-B628-E20E497BF611}"/>
            </c:ext>
          </c:extLst>
        </c:ser>
        <c:ser>
          <c:idx val="0"/>
          <c:order val="1"/>
          <c:tx>
            <c:strRef>
              <c:f>'UC2'!$J$1</c:f>
              <c:strCache>
                <c:ptCount val="1"/>
                <c:pt idx="0">
                  <c:v>DEMANDA_REGISTRADA_P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'UC2'!$A$2:$A$65</c:f>
              <c:numCache>
                <c:formatCode>m/d/yyyy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'UC2'!$J$2:$J$65</c:f>
              <c:numCache>
                <c:formatCode>General</c:formatCode>
                <c:ptCount val="64"/>
                <c:pt idx="0">
                  <c:v>330.1</c:v>
                </c:pt>
                <c:pt idx="1">
                  <c:v>401.5</c:v>
                </c:pt>
                <c:pt idx="2">
                  <c:v>416.6</c:v>
                </c:pt>
                <c:pt idx="3">
                  <c:v>412.4</c:v>
                </c:pt>
                <c:pt idx="4">
                  <c:v>415.8</c:v>
                </c:pt>
                <c:pt idx="5">
                  <c:v>404</c:v>
                </c:pt>
                <c:pt idx="6">
                  <c:v>369.6</c:v>
                </c:pt>
                <c:pt idx="7">
                  <c:v>352</c:v>
                </c:pt>
                <c:pt idx="8">
                  <c:v>325.10000000000002</c:v>
                </c:pt>
                <c:pt idx="9">
                  <c:v>479.6</c:v>
                </c:pt>
                <c:pt idx="10">
                  <c:v>520.79999999999995</c:v>
                </c:pt>
                <c:pt idx="11">
                  <c:v>493.1</c:v>
                </c:pt>
                <c:pt idx="12">
                  <c:v>420</c:v>
                </c:pt>
                <c:pt idx="13">
                  <c:v>342.7</c:v>
                </c:pt>
                <c:pt idx="14">
                  <c:v>609.79999999999995</c:v>
                </c:pt>
                <c:pt idx="15">
                  <c:v>614</c:v>
                </c:pt>
                <c:pt idx="16">
                  <c:v>644.29999999999995</c:v>
                </c:pt>
                <c:pt idx="17">
                  <c:v>446.9</c:v>
                </c:pt>
                <c:pt idx="18">
                  <c:v>459.5</c:v>
                </c:pt>
                <c:pt idx="19">
                  <c:v>484.7</c:v>
                </c:pt>
                <c:pt idx="20">
                  <c:v>426.7</c:v>
                </c:pt>
                <c:pt idx="21">
                  <c:v>408.2</c:v>
                </c:pt>
                <c:pt idx="22">
                  <c:v>557.79999999999995</c:v>
                </c:pt>
                <c:pt idx="23">
                  <c:v>425</c:v>
                </c:pt>
                <c:pt idx="24">
                  <c:v>386.4</c:v>
                </c:pt>
                <c:pt idx="25">
                  <c:v>457</c:v>
                </c:pt>
                <c:pt idx="26">
                  <c:v>567.79999999999995</c:v>
                </c:pt>
                <c:pt idx="27">
                  <c:v>480.5</c:v>
                </c:pt>
                <c:pt idx="28">
                  <c:v>451.9</c:v>
                </c:pt>
                <c:pt idx="29">
                  <c:v>414.1</c:v>
                </c:pt>
                <c:pt idx="30">
                  <c:v>373.8</c:v>
                </c:pt>
                <c:pt idx="31">
                  <c:v>377.2</c:v>
                </c:pt>
                <c:pt idx="32">
                  <c:v>352</c:v>
                </c:pt>
                <c:pt idx="33">
                  <c:v>439.3</c:v>
                </c:pt>
                <c:pt idx="34">
                  <c:v>430.1</c:v>
                </c:pt>
                <c:pt idx="35">
                  <c:v>413.3</c:v>
                </c:pt>
                <c:pt idx="36">
                  <c:v>389.8</c:v>
                </c:pt>
                <c:pt idx="37">
                  <c:v>304.89999999999998</c:v>
                </c:pt>
                <c:pt idx="38">
                  <c:v>488</c:v>
                </c:pt>
                <c:pt idx="39">
                  <c:v>496.4</c:v>
                </c:pt>
                <c:pt idx="40">
                  <c:v>415</c:v>
                </c:pt>
                <c:pt idx="41">
                  <c:v>423.4</c:v>
                </c:pt>
                <c:pt idx="42">
                  <c:v>304</c:v>
                </c:pt>
                <c:pt idx="43">
                  <c:v>387.2</c:v>
                </c:pt>
                <c:pt idx="44">
                  <c:v>357</c:v>
                </c:pt>
                <c:pt idx="45">
                  <c:v>409.1</c:v>
                </c:pt>
                <c:pt idx="46">
                  <c:v>456.1</c:v>
                </c:pt>
                <c:pt idx="47">
                  <c:v>487</c:v>
                </c:pt>
                <c:pt idx="48">
                  <c:v>462</c:v>
                </c:pt>
                <c:pt idx="49">
                  <c:v>485.5</c:v>
                </c:pt>
                <c:pt idx="50">
                  <c:v>508.2</c:v>
                </c:pt>
                <c:pt idx="51">
                  <c:v>513.20000000000005</c:v>
                </c:pt>
                <c:pt idx="52">
                  <c:v>462.8</c:v>
                </c:pt>
                <c:pt idx="53">
                  <c:v>363.7</c:v>
                </c:pt>
                <c:pt idx="54">
                  <c:v>446.9</c:v>
                </c:pt>
                <c:pt idx="55">
                  <c:v>395.6</c:v>
                </c:pt>
                <c:pt idx="56">
                  <c:v>362</c:v>
                </c:pt>
                <c:pt idx="57">
                  <c:v>403.2</c:v>
                </c:pt>
                <c:pt idx="58">
                  <c:v>517.4</c:v>
                </c:pt>
                <c:pt idx="59">
                  <c:v>402.4</c:v>
                </c:pt>
                <c:pt idx="60">
                  <c:v>406.6</c:v>
                </c:pt>
                <c:pt idx="61">
                  <c:v>357.8</c:v>
                </c:pt>
                <c:pt idx="62">
                  <c:v>492.2</c:v>
                </c:pt>
                <c:pt idx="63">
                  <c:v>291.5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0-4C68-B628-E20E497B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67032"/>
        <c:axId val="501470312"/>
      </c:lineChart>
      <c:dateAx>
        <c:axId val="50146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Mês de Referência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70312"/>
        <c:crosses val="autoZero"/>
        <c:auto val="1"/>
        <c:lblOffset val="100"/>
        <c:baseTimeUnit val="months"/>
      </c:dateAx>
      <c:valAx>
        <c:axId val="501470312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67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83210591869246"/>
          <c:y val="0.1110250502094005"/>
          <c:w val="0.1670921886352241"/>
          <c:h val="6.8758136198313058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UC2 - UFABC SB - </a:t>
            </a:r>
            <a:r>
              <a:rPr lang="pt-BR"/>
              <a:t>Consumo de Energia Total (kWh) e Valor da Fatura de Energia (R$)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9736191776282E-2"/>
          <c:y val="0.10970884552933226"/>
          <c:w val="0.894230762645713"/>
          <c:h val="0.8185454696266804"/>
        </c:manualLayout>
      </c:layout>
      <c:lineChart>
        <c:grouping val="standard"/>
        <c:varyColors val="0"/>
        <c:ser>
          <c:idx val="0"/>
          <c:order val="0"/>
          <c:tx>
            <c:strRef>
              <c:f>'UC2'!$AA$1</c:f>
              <c:strCache>
                <c:ptCount val="1"/>
                <c:pt idx="0">
                  <c:v>Consumo Total</c:v>
                </c:pt>
              </c:strCache>
            </c:strRef>
          </c:tx>
          <c:marker>
            <c:symbol val="none"/>
          </c:marker>
          <c:cat>
            <c:numRef>
              <c:f>'UC1'!$A$2:$A$65</c:f>
              <c:numCache>
                <c:formatCode>m/d/yyyy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'UC2'!$AA$2:$AA$65</c:f>
              <c:numCache>
                <c:formatCode>General</c:formatCode>
                <c:ptCount val="64"/>
                <c:pt idx="0">
                  <c:v>0</c:v>
                </c:pt>
                <c:pt idx="1">
                  <c:v>143972.09999999998</c:v>
                </c:pt>
                <c:pt idx="2">
                  <c:v>174731.5</c:v>
                </c:pt>
                <c:pt idx="3">
                  <c:v>157156.20000000001</c:v>
                </c:pt>
                <c:pt idx="4">
                  <c:v>147624</c:v>
                </c:pt>
                <c:pt idx="5">
                  <c:v>142845.1</c:v>
                </c:pt>
                <c:pt idx="6">
                  <c:v>154753</c:v>
                </c:pt>
                <c:pt idx="7">
                  <c:v>153298.79999999999</c:v>
                </c:pt>
                <c:pt idx="8">
                  <c:v>135876.19999999998</c:v>
                </c:pt>
                <c:pt idx="9">
                  <c:v>163709.90000000002</c:v>
                </c:pt>
                <c:pt idx="10">
                  <c:v>176517.4</c:v>
                </c:pt>
                <c:pt idx="11">
                  <c:v>192896.30000000002</c:v>
                </c:pt>
                <c:pt idx="12">
                  <c:v>164022.20000000001</c:v>
                </c:pt>
                <c:pt idx="13">
                  <c:v>179708.9</c:v>
                </c:pt>
                <c:pt idx="14">
                  <c:v>198258.3</c:v>
                </c:pt>
                <c:pt idx="15">
                  <c:v>225484.5</c:v>
                </c:pt>
                <c:pt idx="16">
                  <c:v>193972.19999999998</c:v>
                </c:pt>
                <c:pt idx="17">
                  <c:v>174861.3</c:v>
                </c:pt>
                <c:pt idx="18">
                  <c:v>189885.8</c:v>
                </c:pt>
                <c:pt idx="19">
                  <c:v>172151.1</c:v>
                </c:pt>
                <c:pt idx="20">
                  <c:v>172827.1</c:v>
                </c:pt>
                <c:pt idx="21">
                  <c:v>160824.30000000002</c:v>
                </c:pt>
                <c:pt idx="22">
                  <c:v>189780.69999999998</c:v>
                </c:pt>
                <c:pt idx="23">
                  <c:v>172990</c:v>
                </c:pt>
                <c:pt idx="24">
                  <c:v>167798.2</c:v>
                </c:pt>
                <c:pt idx="25">
                  <c:v>194792.43</c:v>
                </c:pt>
                <c:pt idx="26">
                  <c:v>220635.24</c:v>
                </c:pt>
                <c:pt idx="27">
                  <c:v>196115.22</c:v>
                </c:pt>
                <c:pt idx="28">
                  <c:v>154706.16</c:v>
                </c:pt>
                <c:pt idx="29">
                  <c:v>160642.79999999999</c:v>
                </c:pt>
                <c:pt idx="30">
                  <c:v>152457</c:v>
                </c:pt>
                <c:pt idx="31">
                  <c:v>165308.9</c:v>
                </c:pt>
                <c:pt idx="32">
                  <c:v>147845.5</c:v>
                </c:pt>
                <c:pt idx="33">
                  <c:v>186576.2</c:v>
                </c:pt>
                <c:pt idx="34">
                  <c:v>146268.79999999999</c:v>
                </c:pt>
                <c:pt idx="35">
                  <c:v>175187.5</c:v>
                </c:pt>
                <c:pt idx="36">
                  <c:v>148686.1</c:v>
                </c:pt>
                <c:pt idx="37">
                  <c:v>174212.5</c:v>
                </c:pt>
                <c:pt idx="38">
                  <c:v>170361.5</c:v>
                </c:pt>
                <c:pt idx="39">
                  <c:v>199373.4</c:v>
                </c:pt>
                <c:pt idx="40">
                  <c:v>177013.8</c:v>
                </c:pt>
                <c:pt idx="41">
                  <c:v>137632.70000000001</c:v>
                </c:pt>
                <c:pt idx="42">
                  <c:v>161619.9</c:v>
                </c:pt>
                <c:pt idx="43">
                  <c:v>140624.29999999999</c:v>
                </c:pt>
                <c:pt idx="44">
                  <c:v>137110</c:v>
                </c:pt>
                <c:pt idx="45">
                  <c:v>171635.5</c:v>
                </c:pt>
                <c:pt idx="46">
                  <c:v>156488.70000000001</c:v>
                </c:pt>
                <c:pt idx="47">
                  <c:v>157358.39999999999</c:v>
                </c:pt>
                <c:pt idx="48">
                  <c:v>181944.8</c:v>
                </c:pt>
                <c:pt idx="49">
                  <c:v>192260.5</c:v>
                </c:pt>
                <c:pt idx="50">
                  <c:v>196460.4</c:v>
                </c:pt>
                <c:pt idx="51">
                  <c:v>200843</c:v>
                </c:pt>
                <c:pt idx="52">
                  <c:v>185805.7</c:v>
                </c:pt>
                <c:pt idx="53">
                  <c:v>140716.80000000002</c:v>
                </c:pt>
                <c:pt idx="54">
                  <c:v>162674.6</c:v>
                </c:pt>
                <c:pt idx="55">
                  <c:v>149772.80000000002</c:v>
                </c:pt>
                <c:pt idx="56">
                  <c:v>144588.6</c:v>
                </c:pt>
                <c:pt idx="57">
                  <c:v>159242.79999999999</c:v>
                </c:pt>
                <c:pt idx="58">
                  <c:v>213717.5</c:v>
                </c:pt>
                <c:pt idx="59">
                  <c:v>180393.2</c:v>
                </c:pt>
                <c:pt idx="60">
                  <c:v>146796.9</c:v>
                </c:pt>
                <c:pt idx="61">
                  <c:v>169161.5</c:v>
                </c:pt>
                <c:pt idx="62">
                  <c:v>185534.8</c:v>
                </c:pt>
                <c:pt idx="63">
                  <c:v>125091.8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5-41C0-973E-07542E63F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67032"/>
        <c:axId val="501470312"/>
      </c:lineChart>
      <c:lineChart>
        <c:grouping val="standard"/>
        <c:varyColors val="0"/>
        <c:ser>
          <c:idx val="1"/>
          <c:order val="1"/>
          <c:tx>
            <c:strRef>
              <c:f>'UC2'!$Z$1</c:f>
              <c:strCache>
                <c:ptCount val="1"/>
                <c:pt idx="0">
                  <c:v>Valor da Fatura</c:v>
                </c:pt>
              </c:strCache>
            </c:strRef>
          </c:tx>
          <c:marker>
            <c:symbol val="none"/>
          </c:marker>
          <c:cat>
            <c:numRef>
              <c:f>'UC1'!$A$2:$A$65</c:f>
              <c:numCache>
                <c:formatCode>m/d/yyyy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'UC2'!$Z$2:$Z$65</c:f>
              <c:numCache>
                <c:formatCode>General</c:formatCode>
                <c:ptCount val="64"/>
                <c:pt idx="0">
                  <c:v>44655.7</c:v>
                </c:pt>
                <c:pt idx="1">
                  <c:v>50619.9</c:v>
                </c:pt>
                <c:pt idx="2">
                  <c:v>71485.210000000006</c:v>
                </c:pt>
                <c:pt idx="3">
                  <c:v>74770.66</c:v>
                </c:pt>
                <c:pt idx="4">
                  <c:v>70753.3</c:v>
                </c:pt>
                <c:pt idx="5">
                  <c:v>67916.61</c:v>
                </c:pt>
                <c:pt idx="6">
                  <c:v>75901.22</c:v>
                </c:pt>
                <c:pt idx="7">
                  <c:v>79865.440000000002</c:v>
                </c:pt>
                <c:pt idx="8">
                  <c:v>71824.990000000005</c:v>
                </c:pt>
                <c:pt idx="9">
                  <c:v>89186.84</c:v>
                </c:pt>
                <c:pt idx="10">
                  <c:v>95845.01</c:v>
                </c:pt>
                <c:pt idx="11">
                  <c:v>103157.88</c:v>
                </c:pt>
                <c:pt idx="12">
                  <c:v>83801.63</c:v>
                </c:pt>
                <c:pt idx="13">
                  <c:v>88354.5</c:v>
                </c:pt>
                <c:pt idx="14">
                  <c:v>104171.93</c:v>
                </c:pt>
                <c:pt idx="15">
                  <c:v>111256.22</c:v>
                </c:pt>
                <c:pt idx="16">
                  <c:v>96137.33</c:v>
                </c:pt>
                <c:pt idx="17">
                  <c:v>81262.23</c:v>
                </c:pt>
                <c:pt idx="18">
                  <c:v>87825.96</c:v>
                </c:pt>
                <c:pt idx="19">
                  <c:v>76410.399999999994</c:v>
                </c:pt>
                <c:pt idx="20">
                  <c:v>73813.850000000006</c:v>
                </c:pt>
                <c:pt idx="21">
                  <c:v>69692.100000000006</c:v>
                </c:pt>
                <c:pt idx="22">
                  <c:v>83657.23</c:v>
                </c:pt>
                <c:pt idx="23">
                  <c:v>75062.02</c:v>
                </c:pt>
                <c:pt idx="24">
                  <c:v>69249.600000000006</c:v>
                </c:pt>
                <c:pt idx="25">
                  <c:v>81299.77</c:v>
                </c:pt>
                <c:pt idx="26">
                  <c:v>98432.41</c:v>
                </c:pt>
                <c:pt idx="27">
                  <c:v>83958.85</c:v>
                </c:pt>
                <c:pt idx="28">
                  <c:v>66039.66</c:v>
                </c:pt>
                <c:pt idx="29">
                  <c:v>72252.53</c:v>
                </c:pt>
                <c:pt idx="30">
                  <c:v>68397.740000000005</c:v>
                </c:pt>
                <c:pt idx="31">
                  <c:v>81241.100000000006</c:v>
                </c:pt>
                <c:pt idx="32">
                  <c:v>69840.17</c:v>
                </c:pt>
                <c:pt idx="33">
                  <c:v>86576.8</c:v>
                </c:pt>
                <c:pt idx="34">
                  <c:v>75426.600000000006</c:v>
                </c:pt>
                <c:pt idx="35">
                  <c:v>85064.81</c:v>
                </c:pt>
                <c:pt idx="36">
                  <c:v>67257.55</c:v>
                </c:pt>
                <c:pt idx="37">
                  <c:v>74751.09</c:v>
                </c:pt>
                <c:pt idx="38">
                  <c:v>75606.02</c:v>
                </c:pt>
                <c:pt idx="39">
                  <c:v>86615.09</c:v>
                </c:pt>
                <c:pt idx="40">
                  <c:v>78515.88</c:v>
                </c:pt>
                <c:pt idx="41">
                  <c:v>65255.53</c:v>
                </c:pt>
                <c:pt idx="42">
                  <c:v>85327.13</c:v>
                </c:pt>
                <c:pt idx="43">
                  <c:v>81628.13</c:v>
                </c:pt>
                <c:pt idx="44">
                  <c:v>80022.350000000006</c:v>
                </c:pt>
                <c:pt idx="45">
                  <c:v>98668.11</c:v>
                </c:pt>
                <c:pt idx="46">
                  <c:v>87138.49</c:v>
                </c:pt>
                <c:pt idx="47">
                  <c:v>87179.91</c:v>
                </c:pt>
                <c:pt idx="48">
                  <c:v>88653.99</c:v>
                </c:pt>
                <c:pt idx="49">
                  <c:v>96043.78</c:v>
                </c:pt>
                <c:pt idx="50">
                  <c:v>100846.46</c:v>
                </c:pt>
                <c:pt idx="51">
                  <c:v>99728.18</c:v>
                </c:pt>
                <c:pt idx="52">
                  <c:v>93999.25</c:v>
                </c:pt>
                <c:pt idx="53">
                  <c:v>73589.73</c:v>
                </c:pt>
                <c:pt idx="54">
                  <c:v>86234.33</c:v>
                </c:pt>
                <c:pt idx="55">
                  <c:v>87094.94</c:v>
                </c:pt>
                <c:pt idx="56">
                  <c:v>85300.57</c:v>
                </c:pt>
                <c:pt idx="57">
                  <c:v>90562.1</c:v>
                </c:pt>
                <c:pt idx="58">
                  <c:v>117959.76</c:v>
                </c:pt>
                <c:pt idx="59">
                  <c:v>100912.46</c:v>
                </c:pt>
                <c:pt idx="60">
                  <c:v>78458.39</c:v>
                </c:pt>
                <c:pt idx="61">
                  <c:v>89982.48</c:v>
                </c:pt>
                <c:pt idx="62">
                  <c:v>96582.44</c:v>
                </c:pt>
                <c:pt idx="63">
                  <c:v>62218.45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5-41C0-973E-07542E63F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37256"/>
        <c:axId val="636633648"/>
      </c:lineChart>
      <c:dateAx>
        <c:axId val="50146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Mês de Referência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70312"/>
        <c:crosses val="autoZero"/>
        <c:auto val="1"/>
        <c:lblOffset val="100"/>
        <c:baseTimeUnit val="months"/>
      </c:dateAx>
      <c:valAx>
        <c:axId val="50147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Consumo Total [kWh]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67032"/>
        <c:crosses val="autoZero"/>
        <c:crossBetween val="between"/>
      </c:valAx>
      <c:valAx>
        <c:axId val="636633648"/>
        <c:scaling>
          <c:orientation val="minMax"/>
          <c:max val="2000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 da Fatura [R$]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637256"/>
        <c:crosses val="max"/>
        <c:crossBetween val="between"/>
      </c:valAx>
      <c:dateAx>
        <c:axId val="6366372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36633648"/>
        <c:crosses val="autoZero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85236823881170576"/>
          <c:y val="0.11839060695750919"/>
          <c:w val="9.9423460471194908E-2"/>
          <c:h val="7.0201132098830527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UC2 - UFABC SB - </a:t>
            </a:r>
            <a:r>
              <a:rPr lang="pt-BR"/>
              <a:t>Evolução Tarifária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9736191776282E-2"/>
          <c:y val="0.10970884552933226"/>
          <c:w val="0.894230762645713"/>
          <c:h val="0.8185454696266804"/>
        </c:manualLayout>
      </c:layout>
      <c:lineChart>
        <c:grouping val="standard"/>
        <c:varyColors val="0"/>
        <c:ser>
          <c:idx val="0"/>
          <c:order val="0"/>
          <c:tx>
            <c:strRef>
              <c:f>'UC2'!$R$1</c:f>
              <c:strCache>
                <c:ptCount val="1"/>
                <c:pt idx="0">
                  <c:v>TAR_TUSD_KWH_P</c:v>
                </c:pt>
              </c:strCache>
            </c:strRef>
          </c:tx>
          <c:marker>
            <c:symbol val="none"/>
          </c:marker>
          <c:cat>
            <c:numRef>
              <c:f>'UC1'!$A$2:$A$65</c:f>
              <c:numCache>
                <c:formatCode>m/d/yyyy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'UC2'!$R$2:$R$65</c:f>
              <c:numCache>
                <c:formatCode>General</c:formatCode>
                <c:ptCount val="64"/>
                <c:pt idx="0">
                  <c:v>0.30130000000000001</c:v>
                </c:pt>
                <c:pt idx="1">
                  <c:v>0.32399</c:v>
                </c:pt>
                <c:pt idx="2">
                  <c:v>0.35271000000000002</c:v>
                </c:pt>
                <c:pt idx="3">
                  <c:v>0.38525999999999999</c:v>
                </c:pt>
                <c:pt idx="4">
                  <c:v>0.38525999999999999</c:v>
                </c:pt>
                <c:pt idx="5">
                  <c:v>0.38525999999999999</c:v>
                </c:pt>
                <c:pt idx="6">
                  <c:v>0.38270999999999999</c:v>
                </c:pt>
                <c:pt idx="7">
                  <c:v>0.37784000000000001</c:v>
                </c:pt>
                <c:pt idx="8">
                  <c:v>0.37784000000000001</c:v>
                </c:pt>
                <c:pt idx="9">
                  <c:v>0.37784000000000001</c:v>
                </c:pt>
                <c:pt idx="10">
                  <c:v>0.37784000000000001</c:v>
                </c:pt>
                <c:pt idx="11">
                  <c:v>0.37784000000000001</c:v>
                </c:pt>
                <c:pt idx="12">
                  <c:v>0.37784000000000001</c:v>
                </c:pt>
                <c:pt idx="13">
                  <c:v>0.37784000000000001</c:v>
                </c:pt>
                <c:pt idx="14">
                  <c:v>0.37784000000000001</c:v>
                </c:pt>
                <c:pt idx="15">
                  <c:v>0.37784000000000001</c:v>
                </c:pt>
                <c:pt idx="16">
                  <c:v>0.37784000000000001</c:v>
                </c:pt>
                <c:pt idx="17">
                  <c:v>0.37784000000000001</c:v>
                </c:pt>
                <c:pt idx="18">
                  <c:v>0.37468000000000001</c:v>
                </c:pt>
                <c:pt idx="19">
                  <c:v>0.36893999999999999</c:v>
                </c:pt>
                <c:pt idx="20">
                  <c:v>0.36893999999999999</c:v>
                </c:pt>
                <c:pt idx="21">
                  <c:v>0.36893999999999999</c:v>
                </c:pt>
                <c:pt idx="22">
                  <c:v>0.36893999999999999</c:v>
                </c:pt>
                <c:pt idx="23">
                  <c:v>0.36893999999999999</c:v>
                </c:pt>
                <c:pt idx="24">
                  <c:v>0.36893999999999999</c:v>
                </c:pt>
                <c:pt idx="25">
                  <c:v>0.36893999999999999</c:v>
                </c:pt>
                <c:pt idx="26">
                  <c:v>0.36893999999999999</c:v>
                </c:pt>
                <c:pt idx="27">
                  <c:v>0.36893999999999999</c:v>
                </c:pt>
                <c:pt idx="28">
                  <c:v>0.36893999999999999</c:v>
                </c:pt>
                <c:pt idx="29">
                  <c:v>0.36893999999999999</c:v>
                </c:pt>
                <c:pt idx="30">
                  <c:v>0.37324000000000002</c:v>
                </c:pt>
                <c:pt idx="31">
                  <c:v>0.43986999999999998</c:v>
                </c:pt>
                <c:pt idx="32">
                  <c:v>0.43986999999999998</c:v>
                </c:pt>
                <c:pt idx="33">
                  <c:v>0.43986999999999998</c:v>
                </c:pt>
                <c:pt idx="34">
                  <c:v>0.43986999999999998</c:v>
                </c:pt>
                <c:pt idx="35">
                  <c:v>0.43986999999999998</c:v>
                </c:pt>
                <c:pt idx="36">
                  <c:v>0.43986999999999998</c:v>
                </c:pt>
                <c:pt idx="37">
                  <c:v>0.43986999999999998</c:v>
                </c:pt>
                <c:pt idx="38">
                  <c:v>0.43986999999999998</c:v>
                </c:pt>
                <c:pt idx="39">
                  <c:v>0.43986999999999998</c:v>
                </c:pt>
                <c:pt idx="40">
                  <c:v>0.43986999999999998</c:v>
                </c:pt>
                <c:pt idx="41">
                  <c:v>0.43986999999999998</c:v>
                </c:pt>
                <c:pt idx="42">
                  <c:v>0.45372000000000001</c:v>
                </c:pt>
                <c:pt idx="43">
                  <c:v>0.47503000000000001</c:v>
                </c:pt>
                <c:pt idx="44">
                  <c:v>0.47503000000000001</c:v>
                </c:pt>
                <c:pt idx="45">
                  <c:v>0.47503000000000001</c:v>
                </c:pt>
                <c:pt idx="46">
                  <c:v>0.47503000000000001</c:v>
                </c:pt>
                <c:pt idx="47">
                  <c:v>0.47503000000000001</c:v>
                </c:pt>
                <c:pt idx="48">
                  <c:v>0.47503000000000001</c:v>
                </c:pt>
                <c:pt idx="49">
                  <c:v>0.47503000000000001</c:v>
                </c:pt>
                <c:pt idx="50">
                  <c:v>0.47503000000000001</c:v>
                </c:pt>
                <c:pt idx="51">
                  <c:v>0.47503000000000001</c:v>
                </c:pt>
                <c:pt idx="52">
                  <c:v>0.47503000000000001</c:v>
                </c:pt>
                <c:pt idx="53">
                  <c:v>0.47503000000000001</c:v>
                </c:pt>
                <c:pt idx="54">
                  <c:v>0.50771999999999995</c:v>
                </c:pt>
                <c:pt idx="55">
                  <c:v>0.56227000000000005</c:v>
                </c:pt>
                <c:pt idx="56">
                  <c:v>0.56227000000000005</c:v>
                </c:pt>
                <c:pt idx="57">
                  <c:v>0.56227000000000005</c:v>
                </c:pt>
                <c:pt idx="58">
                  <c:v>0.56227000000000005</c:v>
                </c:pt>
                <c:pt idx="59">
                  <c:v>0.56227000000000005</c:v>
                </c:pt>
                <c:pt idx="60">
                  <c:v>0.56227000000000005</c:v>
                </c:pt>
                <c:pt idx="61">
                  <c:v>0.56227000000000005</c:v>
                </c:pt>
                <c:pt idx="62">
                  <c:v>0.56227000000000005</c:v>
                </c:pt>
                <c:pt idx="63">
                  <c:v>0.56227000000000005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C-4B3C-AEBB-6389F21D3CA5}"/>
            </c:ext>
          </c:extLst>
        </c:ser>
        <c:ser>
          <c:idx val="1"/>
          <c:order val="1"/>
          <c:tx>
            <c:strRef>
              <c:f>'UC2'!$S$1</c:f>
              <c:strCache>
                <c:ptCount val="1"/>
                <c:pt idx="0">
                  <c:v>TAR_TUSD_KWH_FP</c:v>
                </c:pt>
              </c:strCache>
            </c:strRef>
          </c:tx>
          <c:marker>
            <c:symbol val="none"/>
          </c:marker>
          <c:val>
            <c:numRef>
              <c:f>'UC2'!$S$2:$S$65</c:f>
              <c:numCache>
                <c:formatCode>General</c:formatCode>
                <c:ptCount val="64"/>
                <c:pt idx="0">
                  <c:v>2.179E-2</c:v>
                </c:pt>
                <c:pt idx="1">
                  <c:v>2.179E-2</c:v>
                </c:pt>
                <c:pt idx="2">
                  <c:v>4.4110000000000003E-2</c:v>
                </c:pt>
                <c:pt idx="3">
                  <c:v>6.9409999999999999E-2</c:v>
                </c:pt>
                <c:pt idx="4">
                  <c:v>6.4100000000000004E-2</c:v>
                </c:pt>
                <c:pt idx="5">
                  <c:v>6.4100000000000004E-2</c:v>
                </c:pt>
                <c:pt idx="6">
                  <c:v>7.2239999999999999E-2</c:v>
                </c:pt>
                <c:pt idx="7">
                  <c:v>7.7630000000000005E-2</c:v>
                </c:pt>
                <c:pt idx="8">
                  <c:v>7.7630000000000005E-2</c:v>
                </c:pt>
                <c:pt idx="9">
                  <c:v>7.7630000000000005E-2</c:v>
                </c:pt>
                <c:pt idx="10">
                  <c:v>7.7630000000000005E-2</c:v>
                </c:pt>
                <c:pt idx="11">
                  <c:v>7.7630000000000005E-2</c:v>
                </c:pt>
                <c:pt idx="12">
                  <c:v>7.7630000000000005E-2</c:v>
                </c:pt>
                <c:pt idx="13">
                  <c:v>7.7630000000000005E-2</c:v>
                </c:pt>
                <c:pt idx="14">
                  <c:v>7.7630000000000005E-2</c:v>
                </c:pt>
                <c:pt idx="15">
                  <c:v>7.7630000000000005E-2</c:v>
                </c:pt>
                <c:pt idx="16">
                  <c:v>7.7630000000000005E-2</c:v>
                </c:pt>
                <c:pt idx="17">
                  <c:v>7.7630000000000005E-2</c:v>
                </c:pt>
                <c:pt idx="18">
                  <c:v>7.0720000000000005E-2</c:v>
                </c:pt>
                <c:pt idx="19">
                  <c:v>5.815E-2</c:v>
                </c:pt>
                <c:pt idx="20">
                  <c:v>5.815E-2</c:v>
                </c:pt>
                <c:pt idx="21">
                  <c:v>5.815E-2</c:v>
                </c:pt>
                <c:pt idx="22">
                  <c:v>5.815E-2</c:v>
                </c:pt>
                <c:pt idx="23">
                  <c:v>5.815E-2</c:v>
                </c:pt>
                <c:pt idx="24">
                  <c:v>5.815E-2</c:v>
                </c:pt>
                <c:pt idx="25">
                  <c:v>5.815E-2</c:v>
                </c:pt>
                <c:pt idx="26">
                  <c:v>5.815E-2</c:v>
                </c:pt>
                <c:pt idx="27">
                  <c:v>5.815E-2</c:v>
                </c:pt>
                <c:pt idx="28">
                  <c:v>5.815E-2</c:v>
                </c:pt>
                <c:pt idx="29">
                  <c:v>5.815E-2</c:v>
                </c:pt>
                <c:pt idx="30">
                  <c:v>5.6849999999999998E-2</c:v>
                </c:pt>
                <c:pt idx="31">
                  <c:v>3.6769999999999997E-2</c:v>
                </c:pt>
                <c:pt idx="32">
                  <c:v>3.6769999999999997E-2</c:v>
                </c:pt>
                <c:pt idx="33">
                  <c:v>3.6769999999999997E-2</c:v>
                </c:pt>
                <c:pt idx="34">
                  <c:v>3.6769999999999997E-2</c:v>
                </c:pt>
                <c:pt idx="35">
                  <c:v>3.6769999999999997E-2</c:v>
                </c:pt>
                <c:pt idx="36">
                  <c:v>3.6769999999999997E-2</c:v>
                </c:pt>
                <c:pt idx="37">
                  <c:v>3.6769999999999997E-2</c:v>
                </c:pt>
                <c:pt idx="38">
                  <c:v>3.6769999999999997E-2</c:v>
                </c:pt>
                <c:pt idx="39">
                  <c:v>3.6769999999999997E-2</c:v>
                </c:pt>
                <c:pt idx="40">
                  <c:v>3.6769999999999997E-2</c:v>
                </c:pt>
                <c:pt idx="41">
                  <c:v>3.6769999999999997E-2</c:v>
                </c:pt>
                <c:pt idx="42">
                  <c:v>4.4850000000000001E-2</c:v>
                </c:pt>
                <c:pt idx="43">
                  <c:v>5.7279999999999998E-2</c:v>
                </c:pt>
                <c:pt idx="44">
                  <c:v>5.7279999999999998E-2</c:v>
                </c:pt>
                <c:pt idx="45">
                  <c:v>5.7279999999999998E-2</c:v>
                </c:pt>
                <c:pt idx="46">
                  <c:v>5.7279999999999998E-2</c:v>
                </c:pt>
                <c:pt idx="47">
                  <c:v>5.7279999999999998E-2</c:v>
                </c:pt>
                <c:pt idx="48">
                  <c:v>5.7279999999999998E-2</c:v>
                </c:pt>
                <c:pt idx="49">
                  <c:v>5.7279999999999998E-2</c:v>
                </c:pt>
                <c:pt idx="50">
                  <c:v>5.7279999999999998E-2</c:v>
                </c:pt>
                <c:pt idx="51">
                  <c:v>5.7279999999999998E-2</c:v>
                </c:pt>
                <c:pt idx="52">
                  <c:v>5.7279999999999998E-2</c:v>
                </c:pt>
                <c:pt idx="53">
                  <c:v>5.7279999999999998E-2</c:v>
                </c:pt>
                <c:pt idx="54">
                  <c:v>6.4159999999999995E-2</c:v>
                </c:pt>
                <c:pt idx="55">
                  <c:v>7.5620000000000007E-2</c:v>
                </c:pt>
                <c:pt idx="56">
                  <c:v>7.5620000000000007E-2</c:v>
                </c:pt>
                <c:pt idx="57">
                  <c:v>7.5620000000000007E-2</c:v>
                </c:pt>
                <c:pt idx="58">
                  <c:v>7.5620000000000007E-2</c:v>
                </c:pt>
                <c:pt idx="59">
                  <c:v>7.5620000000000007E-2</c:v>
                </c:pt>
                <c:pt idx="60">
                  <c:v>7.5620000000000007E-2</c:v>
                </c:pt>
                <c:pt idx="61">
                  <c:v>7.5620000000000007E-2</c:v>
                </c:pt>
                <c:pt idx="62">
                  <c:v>7.5620000000000007E-2</c:v>
                </c:pt>
                <c:pt idx="63">
                  <c:v>7.5620000000000007E-2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C-4B3C-AEBB-6389F21D3CA5}"/>
            </c:ext>
          </c:extLst>
        </c:ser>
        <c:ser>
          <c:idx val="2"/>
          <c:order val="2"/>
          <c:tx>
            <c:strRef>
              <c:f>'UC2'!$T$1</c:f>
              <c:strCache>
                <c:ptCount val="1"/>
                <c:pt idx="0">
                  <c:v>TAR_TE_KWH_P</c:v>
                </c:pt>
              </c:strCache>
            </c:strRef>
          </c:tx>
          <c:marker>
            <c:symbol val="none"/>
          </c:marker>
          <c:val>
            <c:numRef>
              <c:f>'UC2'!$T$2:$T$65</c:f>
              <c:numCache>
                <c:formatCode>General</c:formatCode>
                <c:ptCount val="64"/>
                <c:pt idx="0">
                  <c:v>0.27045999999999998</c:v>
                </c:pt>
                <c:pt idx="1">
                  <c:v>0.30051</c:v>
                </c:pt>
                <c:pt idx="2">
                  <c:v>0.33426499999999998</c:v>
                </c:pt>
                <c:pt idx="3">
                  <c:v>0.36798999999999998</c:v>
                </c:pt>
                <c:pt idx="4">
                  <c:v>0.36798999999999998</c:v>
                </c:pt>
                <c:pt idx="5">
                  <c:v>0.36798999999999998</c:v>
                </c:pt>
                <c:pt idx="6">
                  <c:v>0.38373999999999997</c:v>
                </c:pt>
                <c:pt idx="7">
                  <c:v>0.36024</c:v>
                </c:pt>
                <c:pt idx="8">
                  <c:v>0.36024</c:v>
                </c:pt>
                <c:pt idx="9">
                  <c:v>0.36024</c:v>
                </c:pt>
                <c:pt idx="10">
                  <c:v>0.36024</c:v>
                </c:pt>
                <c:pt idx="11">
                  <c:v>0.36024</c:v>
                </c:pt>
                <c:pt idx="12">
                  <c:v>0.36024</c:v>
                </c:pt>
                <c:pt idx="13">
                  <c:v>0.36024</c:v>
                </c:pt>
                <c:pt idx="14">
                  <c:v>0.36024</c:v>
                </c:pt>
                <c:pt idx="15">
                  <c:v>0.36024</c:v>
                </c:pt>
                <c:pt idx="16">
                  <c:v>0.36024</c:v>
                </c:pt>
                <c:pt idx="17">
                  <c:v>0.36024</c:v>
                </c:pt>
                <c:pt idx="18">
                  <c:v>0.36746000000000001</c:v>
                </c:pt>
                <c:pt idx="19">
                  <c:v>0.32356000000000001</c:v>
                </c:pt>
                <c:pt idx="20">
                  <c:v>0.32356000000000001</c:v>
                </c:pt>
                <c:pt idx="21">
                  <c:v>0.32356000000000001</c:v>
                </c:pt>
                <c:pt idx="22">
                  <c:v>0.32356000000000001</c:v>
                </c:pt>
                <c:pt idx="23">
                  <c:v>0.32356000000000001</c:v>
                </c:pt>
                <c:pt idx="24">
                  <c:v>0.32356000000000001</c:v>
                </c:pt>
                <c:pt idx="25">
                  <c:v>0.32356000000000001</c:v>
                </c:pt>
                <c:pt idx="26">
                  <c:v>0.32356000000000001</c:v>
                </c:pt>
                <c:pt idx="27">
                  <c:v>0.32356000000000001</c:v>
                </c:pt>
                <c:pt idx="28">
                  <c:v>0.31818999999999997</c:v>
                </c:pt>
                <c:pt idx="29">
                  <c:v>0.31818999999999997</c:v>
                </c:pt>
                <c:pt idx="30">
                  <c:v>0.31818999999999997</c:v>
                </c:pt>
                <c:pt idx="31">
                  <c:v>0.34899000000000002</c:v>
                </c:pt>
                <c:pt idx="32">
                  <c:v>0.34899000000000002</c:v>
                </c:pt>
                <c:pt idx="33">
                  <c:v>0.34899000000000002</c:v>
                </c:pt>
                <c:pt idx="34">
                  <c:v>0.34899000000000002</c:v>
                </c:pt>
                <c:pt idx="35">
                  <c:v>0.34899000000000002</c:v>
                </c:pt>
                <c:pt idx="36">
                  <c:v>0.34899000000000002</c:v>
                </c:pt>
                <c:pt idx="37">
                  <c:v>0.34899000000000002</c:v>
                </c:pt>
                <c:pt idx="38">
                  <c:v>0.34899000000000002</c:v>
                </c:pt>
                <c:pt idx="39">
                  <c:v>0.34899000000000002</c:v>
                </c:pt>
                <c:pt idx="40">
                  <c:v>0.34899000000000002</c:v>
                </c:pt>
                <c:pt idx="41">
                  <c:v>0.34899000000000002</c:v>
                </c:pt>
                <c:pt idx="42">
                  <c:v>0.34899000000000002</c:v>
                </c:pt>
                <c:pt idx="43">
                  <c:v>0.41154000000000002</c:v>
                </c:pt>
                <c:pt idx="44">
                  <c:v>0.41154000000000002</c:v>
                </c:pt>
                <c:pt idx="45">
                  <c:v>0.41154000000000002</c:v>
                </c:pt>
                <c:pt idx="46">
                  <c:v>0.41154000000000002</c:v>
                </c:pt>
                <c:pt idx="47">
                  <c:v>0.41154000000000002</c:v>
                </c:pt>
                <c:pt idx="48">
                  <c:v>0.41154000000000002</c:v>
                </c:pt>
                <c:pt idx="49">
                  <c:v>0.41154000000000002</c:v>
                </c:pt>
                <c:pt idx="50">
                  <c:v>0.41154000000000002</c:v>
                </c:pt>
                <c:pt idx="51">
                  <c:v>0.41154000000000002</c:v>
                </c:pt>
                <c:pt idx="52">
                  <c:v>0.41154000000000002</c:v>
                </c:pt>
                <c:pt idx="53">
                  <c:v>0.41154000000000002</c:v>
                </c:pt>
                <c:pt idx="54">
                  <c:v>0.40905999999999998</c:v>
                </c:pt>
                <c:pt idx="55">
                  <c:v>0.40493000000000001</c:v>
                </c:pt>
                <c:pt idx="56">
                  <c:v>0.40493000000000001</c:v>
                </c:pt>
                <c:pt idx="57">
                  <c:v>0.40493000000000001</c:v>
                </c:pt>
                <c:pt idx="58">
                  <c:v>0.40493000000000001</c:v>
                </c:pt>
                <c:pt idx="59">
                  <c:v>0.40493000000000001</c:v>
                </c:pt>
                <c:pt idx="60">
                  <c:v>0.40493000000000001</c:v>
                </c:pt>
                <c:pt idx="61">
                  <c:v>0.40493000000000001</c:v>
                </c:pt>
                <c:pt idx="62">
                  <c:v>0.40493000000000001</c:v>
                </c:pt>
                <c:pt idx="63">
                  <c:v>0.40493000000000001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C-4B3C-AEBB-6389F21D3CA5}"/>
            </c:ext>
          </c:extLst>
        </c:ser>
        <c:ser>
          <c:idx val="3"/>
          <c:order val="3"/>
          <c:tx>
            <c:strRef>
              <c:f>'UC2'!$U$1</c:f>
              <c:strCache>
                <c:ptCount val="1"/>
                <c:pt idx="0">
                  <c:v>TAR_TE_KWH_FP</c:v>
                </c:pt>
              </c:strCache>
            </c:strRef>
          </c:tx>
          <c:marker>
            <c:symbol val="none"/>
          </c:marker>
          <c:val>
            <c:numRef>
              <c:f>'UC2'!$U$2:$U$65</c:f>
              <c:numCache>
                <c:formatCode>General</c:formatCode>
                <c:ptCount val="64"/>
                <c:pt idx="0">
                  <c:v>0.16225999999999999</c:v>
                </c:pt>
                <c:pt idx="1">
                  <c:v>0.19231000000000001</c:v>
                </c:pt>
                <c:pt idx="2">
                  <c:v>0.21911</c:v>
                </c:pt>
                <c:pt idx="3">
                  <c:v>0.24590999999999999</c:v>
                </c:pt>
                <c:pt idx="4">
                  <c:v>0.24590999999999999</c:v>
                </c:pt>
                <c:pt idx="5">
                  <c:v>0.24590999999999999</c:v>
                </c:pt>
                <c:pt idx="6">
                  <c:v>0.25759333333333329</c:v>
                </c:pt>
                <c:pt idx="7">
                  <c:v>0.22595999999999999</c:v>
                </c:pt>
                <c:pt idx="8">
                  <c:v>0.22595999999999999</c:v>
                </c:pt>
                <c:pt idx="9">
                  <c:v>0.22595999999999999</c:v>
                </c:pt>
                <c:pt idx="10">
                  <c:v>0.22595999999999999</c:v>
                </c:pt>
                <c:pt idx="11">
                  <c:v>0.22595999999999999</c:v>
                </c:pt>
                <c:pt idx="12">
                  <c:v>0.22595999999999999</c:v>
                </c:pt>
                <c:pt idx="13">
                  <c:v>0.22595999999999999</c:v>
                </c:pt>
                <c:pt idx="14">
                  <c:v>0.22595999999999999</c:v>
                </c:pt>
                <c:pt idx="15">
                  <c:v>0.22595999999999999</c:v>
                </c:pt>
                <c:pt idx="16">
                  <c:v>0.22595999999999999</c:v>
                </c:pt>
                <c:pt idx="17">
                  <c:v>0.22595999999999999</c:v>
                </c:pt>
                <c:pt idx="18">
                  <c:v>0.22046499999999999</c:v>
                </c:pt>
                <c:pt idx="19">
                  <c:v>0.21496999999999999</c:v>
                </c:pt>
                <c:pt idx="20">
                  <c:v>0.21496999999999999</c:v>
                </c:pt>
                <c:pt idx="21">
                  <c:v>0.21496999999999999</c:v>
                </c:pt>
                <c:pt idx="22">
                  <c:v>0.21496999999999999</c:v>
                </c:pt>
                <c:pt idx="23">
                  <c:v>0.21496999999999999</c:v>
                </c:pt>
                <c:pt idx="24">
                  <c:v>0.21496999999999999</c:v>
                </c:pt>
                <c:pt idx="25">
                  <c:v>0.21496999999999999</c:v>
                </c:pt>
                <c:pt idx="26">
                  <c:v>0.21496999999999999</c:v>
                </c:pt>
                <c:pt idx="27">
                  <c:v>0.21496999999999999</c:v>
                </c:pt>
                <c:pt idx="28">
                  <c:v>0.20960000000000001</c:v>
                </c:pt>
                <c:pt idx="29">
                  <c:v>0.20960000000000001</c:v>
                </c:pt>
                <c:pt idx="30">
                  <c:v>0.20960000000000001</c:v>
                </c:pt>
                <c:pt idx="31">
                  <c:v>0.22885</c:v>
                </c:pt>
                <c:pt idx="32">
                  <c:v>0.22885</c:v>
                </c:pt>
                <c:pt idx="33">
                  <c:v>0.22885</c:v>
                </c:pt>
                <c:pt idx="34">
                  <c:v>0.22885</c:v>
                </c:pt>
                <c:pt idx="35">
                  <c:v>0.22885</c:v>
                </c:pt>
                <c:pt idx="36">
                  <c:v>0.22885</c:v>
                </c:pt>
                <c:pt idx="37">
                  <c:v>0.22885</c:v>
                </c:pt>
                <c:pt idx="38">
                  <c:v>0.22885</c:v>
                </c:pt>
                <c:pt idx="39">
                  <c:v>0.22885</c:v>
                </c:pt>
                <c:pt idx="40">
                  <c:v>0.22885</c:v>
                </c:pt>
                <c:pt idx="41">
                  <c:v>0.22885</c:v>
                </c:pt>
                <c:pt idx="42">
                  <c:v>0.22885</c:v>
                </c:pt>
                <c:pt idx="43">
                  <c:v>0.25807999999999998</c:v>
                </c:pt>
                <c:pt idx="44">
                  <c:v>0.25807999999999998</c:v>
                </c:pt>
                <c:pt idx="45">
                  <c:v>0.25807999999999998</c:v>
                </c:pt>
                <c:pt idx="46">
                  <c:v>0.25807999999999998</c:v>
                </c:pt>
                <c:pt idx="47">
                  <c:v>0.25807999999999998</c:v>
                </c:pt>
                <c:pt idx="48">
                  <c:v>0.25807999999999998</c:v>
                </c:pt>
                <c:pt idx="49">
                  <c:v>0.25807999999999998</c:v>
                </c:pt>
                <c:pt idx="50">
                  <c:v>0.25807999999999998</c:v>
                </c:pt>
                <c:pt idx="51">
                  <c:v>0.25807999999999998</c:v>
                </c:pt>
                <c:pt idx="52">
                  <c:v>0.25807999999999998</c:v>
                </c:pt>
                <c:pt idx="53">
                  <c:v>0.25807999999999998</c:v>
                </c:pt>
                <c:pt idx="54">
                  <c:v>0.25217000000000001</c:v>
                </c:pt>
                <c:pt idx="55">
                  <c:v>0.24232999999999999</c:v>
                </c:pt>
                <c:pt idx="56">
                  <c:v>0.24232999999999999</c:v>
                </c:pt>
                <c:pt idx="57">
                  <c:v>0.24232999999999999</c:v>
                </c:pt>
                <c:pt idx="58">
                  <c:v>0.24232999999999999</c:v>
                </c:pt>
                <c:pt idx="59">
                  <c:v>0.24232999999999999</c:v>
                </c:pt>
                <c:pt idx="60">
                  <c:v>0.24232999999999999</c:v>
                </c:pt>
                <c:pt idx="61">
                  <c:v>0.24232999999999999</c:v>
                </c:pt>
                <c:pt idx="62">
                  <c:v>0.24232999999999999</c:v>
                </c:pt>
                <c:pt idx="63">
                  <c:v>0.24232999999999999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C-4B3C-AEBB-6389F21D3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67032"/>
        <c:axId val="501470312"/>
      </c:lineChart>
      <c:dateAx>
        <c:axId val="50146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Mês de Referência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70312"/>
        <c:crosses val="autoZero"/>
        <c:auto val="1"/>
        <c:lblOffset val="100"/>
        <c:baseTimeUnit val="months"/>
      </c:dateAx>
      <c:valAx>
        <c:axId val="50147031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 da Tarifa ([R$]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67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2390307918215496E-2"/>
          <c:y val="0.11434748418661063"/>
          <c:w val="0.12713982508724933"/>
          <c:h val="0.1404022641976610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67235</xdr:rowOff>
    </xdr:from>
    <xdr:to>
      <xdr:col>16</xdr:col>
      <xdr:colOff>365151</xdr:colOff>
      <xdr:row>37</xdr:row>
      <xdr:rowOff>155362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BD98B2-F318-4D8F-A3B4-221BF5D68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1</xdr:row>
      <xdr:rowOff>69272</xdr:rowOff>
    </xdr:from>
    <xdr:to>
      <xdr:col>33</xdr:col>
      <xdr:colOff>53423</xdr:colOff>
      <xdr:row>37</xdr:row>
      <xdr:rowOff>157399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34672AC-D0A4-4394-9048-773095B76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21</xdr:col>
      <xdr:colOff>134471</xdr:colOff>
      <xdr:row>76</xdr:row>
      <xdr:rowOff>88127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C544BF4-EC44-4CFA-A2DD-5DE620A32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44823</xdr:rowOff>
    </xdr:from>
    <xdr:to>
      <xdr:col>16</xdr:col>
      <xdr:colOff>365151</xdr:colOff>
      <xdr:row>115</xdr:row>
      <xdr:rowOff>132949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79D619A-CB2D-4C51-921F-50AA84A3D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-1</xdr:rowOff>
    </xdr:from>
    <xdr:to>
      <xdr:col>16</xdr:col>
      <xdr:colOff>218456</xdr:colOff>
      <xdr:row>38</xdr:row>
      <xdr:rowOff>134987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E6E689-2CF8-464D-ACF6-6B3BD10CA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234305</xdr:colOff>
      <xdr:row>1</xdr:row>
      <xdr:rowOff>2036</xdr:rowOff>
    </xdr:from>
    <xdr:to>
      <xdr:col>32</xdr:col>
      <xdr:colOff>443591</xdr:colOff>
      <xdr:row>38</xdr:row>
      <xdr:rowOff>137024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3E2392-1536-436D-BB0E-366D4DCB4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171144</xdr:rowOff>
    </xdr:from>
    <xdr:to>
      <xdr:col>20</xdr:col>
      <xdr:colOff>634661</xdr:colOff>
      <xdr:row>77</xdr:row>
      <xdr:rowOff>132950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E1E0E60-1EFC-4091-8F47-02F66791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80</xdr:row>
      <xdr:rowOff>56028</xdr:rowOff>
    </xdr:from>
    <xdr:to>
      <xdr:col>16</xdr:col>
      <xdr:colOff>218456</xdr:colOff>
      <xdr:row>118</xdr:row>
      <xdr:rowOff>17833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3379E71-47EB-4011-B465-FC8F392F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5" sqref="A5:B6"/>
    </sheetView>
  </sheetViews>
  <sheetFormatPr defaultColWidth="12.625" defaultRowHeight="15" customHeight="1" x14ac:dyDescent="0.2"/>
  <cols>
    <col min="1" max="1" width="13.125" customWidth="1"/>
    <col min="2" max="2" width="28.875" customWidth="1"/>
    <col min="3" max="4" width="8" customWidth="1"/>
    <col min="5" max="5" width="19.625" customWidth="1"/>
    <col min="6" max="6" width="10.875" customWidth="1"/>
    <col min="7" max="7" width="8.125" customWidth="1"/>
    <col min="8" max="8" width="57" customWidth="1"/>
    <col min="9" max="26" width="8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2" t="s">
        <v>0</v>
      </c>
      <c r="B5" s="3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2" t="s">
        <v>2</v>
      </c>
      <c r="B6" s="3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2">
        <v>1</v>
      </c>
      <c r="E9" s="2" t="s">
        <v>8</v>
      </c>
      <c r="F9" s="3" t="s">
        <v>9</v>
      </c>
      <c r="G9" s="3" t="s">
        <v>10</v>
      </c>
      <c r="H9" s="3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2">
        <v>2</v>
      </c>
      <c r="E10" s="2" t="s">
        <v>12</v>
      </c>
      <c r="F10" s="3" t="s">
        <v>9</v>
      </c>
      <c r="G10" s="3" t="s">
        <v>10</v>
      </c>
      <c r="H10" s="3" t="s">
        <v>13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2">
        <v>3</v>
      </c>
      <c r="E11" s="2"/>
      <c r="F11" s="3"/>
      <c r="G11" s="3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2">
        <v>4</v>
      </c>
      <c r="E12" s="2"/>
      <c r="F12" s="3"/>
      <c r="G12" s="3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0" x14ac:dyDescent="0.2">
      <c r="A23" s="4" t="s">
        <v>14</v>
      </c>
      <c r="B23" s="23" t="s">
        <v>51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0" x14ac:dyDescent="0.2">
      <c r="B24" s="23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2.625" defaultRowHeight="15" customHeight="1" x14ac:dyDescent="0.2"/>
  <cols>
    <col min="1" max="7" width="10.625" customWidth="1"/>
    <col min="8" max="8" width="23" customWidth="1"/>
    <col min="9" max="9" width="23.875" customWidth="1"/>
    <col min="10" max="10" width="22" customWidth="1"/>
    <col min="11" max="11" width="22.875" customWidth="1"/>
    <col min="12" max="12" width="17.625" customWidth="1"/>
    <col min="13" max="13" width="18.5" customWidth="1"/>
    <col min="14" max="14" width="14.5" customWidth="1"/>
    <col min="15" max="15" width="15.375" customWidth="1"/>
    <col min="16" max="16" width="14.125" customWidth="1"/>
    <col min="17" max="17" width="15.125" customWidth="1"/>
    <col min="18" max="18" width="15.625" customWidth="1"/>
    <col min="19" max="19" width="16.5" customWidth="1"/>
    <col min="20" max="20" width="13.125" customWidth="1"/>
    <col min="21" max="21" width="14.125" customWidth="1"/>
    <col min="22" max="22" width="16.375" customWidth="1"/>
    <col min="23" max="23" width="17.375" customWidth="1"/>
    <col min="24" max="24" width="15.125" customWidth="1"/>
    <col min="25" max="25" width="16" customWidth="1"/>
    <col min="26" max="26" width="12.5" customWidth="1"/>
    <col min="27" max="27" width="12.375" customWidth="1"/>
    <col min="28" max="28" width="14.625" customWidth="1"/>
    <col min="29" max="30" width="15.625" customWidth="1"/>
    <col min="31" max="31" width="13.125" customWidth="1"/>
  </cols>
  <sheetData>
    <row r="1" spans="1:31" x14ac:dyDescent="0.2">
      <c r="A1" s="2" t="s">
        <v>15</v>
      </c>
      <c r="B1" s="2" t="s">
        <v>16</v>
      </c>
      <c r="C1" s="5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6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</row>
    <row r="2" spans="1:31" x14ac:dyDescent="0.25">
      <c r="A2" s="7">
        <v>42005</v>
      </c>
      <c r="B2" s="8">
        <v>2015</v>
      </c>
      <c r="C2" s="8">
        <v>1</v>
      </c>
      <c r="D2" s="8">
        <v>31</v>
      </c>
      <c r="E2" s="8">
        <v>6.6E-3</v>
      </c>
      <c r="F2" s="8">
        <v>3.0200000000000001E-2</v>
      </c>
      <c r="G2" s="8">
        <v>0.18</v>
      </c>
      <c r="H2" s="8">
        <v>1400</v>
      </c>
      <c r="I2" s="8">
        <v>1400</v>
      </c>
      <c r="J2" s="8">
        <v>1009.7</v>
      </c>
      <c r="K2" s="8">
        <v>1139.9000000000001</v>
      </c>
      <c r="L2" s="8"/>
      <c r="M2" s="9"/>
      <c r="N2" s="8">
        <v>7.2863600000000002</v>
      </c>
      <c r="O2" s="8"/>
      <c r="P2" s="8">
        <v>41511.5</v>
      </c>
      <c r="Q2" s="8">
        <v>421700.20000000007</v>
      </c>
      <c r="R2" s="8">
        <v>0.30453000000000002</v>
      </c>
      <c r="S2" s="8">
        <v>2.18E-2</v>
      </c>
      <c r="T2" s="8">
        <v>0.28789709677419351</v>
      </c>
      <c r="U2" s="8">
        <v>0.17969709677419357</v>
      </c>
      <c r="V2" s="8">
        <v>2489.1</v>
      </c>
      <c r="W2" s="8">
        <v>23603.600000000002</v>
      </c>
      <c r="X2" s="8"/>
      <c r="Y2" s="8"/>
      <c r="Z2" s="8">
        <v>142229.76000000001</v>
      </c>
      <c r="AA2" s="8">
        <v>463211.70000000007</v>
      </c>
      <c r="AB2" s="8"/>
      <c r="AC2" s="8">
        <v>18929.25</v>
      </c>
      <c r="AD2" s="8">
        <v>35137.72</v>
      </c>
      <c r="AE2" s="8" t="s">
        <v>46</v>
      </c>
    </row>
    <row r="3" spans="1:31" x14ac:dyDescent="0.25">
      <c r="A3" s="7">
        <v>42036</v>
      </c>
      <c r="B3" s="8">
        <v>2015</v>
      </c>
      <c r="C3" s="8">
        <v>2</v>
      </c>
      <c r="D3" s="8">
        <v>28</v>
      </c>
      <c r="E3" s="8">
        <v>1.2500000000000001E-2</v>
      </c>
      <c r="F3" s="8">
        <v>5.7000000000000002E-2</v>
      </c>
      <c r="G3" s="8">
        <v>0.18</v>
      </c>
      <c r="H3" s="8">
        <v>1400</v>
      </c>
      <c r="I3" s="8">
        <v>1400</v>
      </c>
      <c r="J3" s="8">
        <v>1306.2</v>
      </c>
      <c r="K3" s="8">
        <v>1392.7</v>
      </c>
      <c r="L3" s="8"/>
      <c r="M3" s="9"/>
      <c r="N3" s="8">
        <v>7.77</v>
      </c>
      <c r="O3" s="8"/>
      <c r="P3" s="8">
        <v>56469.2</v>
      </c>
      <c r="Q3" s="8">
        <v>457617.1</v>
      </c>
      <c r="R3" s="8">
        <v>0.32399</v>
      </c>
      <c r="S3" s="8">
        <v>2.179E-2</v>
      </c>
      <c r="T3" s="8">
        <v>0.30051</v>
      </c>
      <c r="U3" s="8">
        <v>0.19231000000000001</v>
      </c>
      <c r="V3" s="8">
        <v>5674.2</v>
      </c>
      <c r="W3" s="8">
        <v>35088.9</v>
      </c>
      <c r="X3" s="8"/>
      <c r="Y3" s="8"/>
      <c r="Z3" s="8">
        <v>180765.99</v>
      </c>
      <c r="AA3" s="8">
        <v>514086.3</v>
      </c>
      <c r="AB3" s="8"/>
      <c r="AC3" s="8">
        <v>104973.9</v>
      </c>
      <c r="AD3" s="8"/>
      <c r="AE3" s="8" t="s">
        <v>46</v>
      </c>
    </row>
    <row r="4" spans="1:31" x14ac:dyDescent="0.25">
      <c r="A4" s="7">
        <v>42064</v>
      </c>
      <c r="B4" s="8">
        <v>2015</v>
      </c>
      <c r="C4" s="8">
        <v>3</v>
      </c>
      <c r="D4" s="8">
        <v>31</v>
      </c>
      <c r="E4" s="8">
        <v>9.4999999999999998E-3</v>
      </c>
      <c r="F4" s="10">
        <v>4.36E-2</v>
      </c>
      <c r="G4" s="8">
        <v>0.18</v>
      </c>
      <c r="H4" s="8">
        <v>1400</v>
      </c>
      <c r="I4" s="8">
        <v>1400</v>
      </c>
      <c r="J4" s="8">
        <v>1338.1</v>
      </c>
      <c r="K4" s="8">
        <v>1455.7</v>
      </c>
      <c r="L4" s="8"/>
      <c r="M4" s="9"/>
      <c r="N4" s="8">
        <v>7.9582100000000002</v>
      </c>
      <c r="O4" s="8"/>
      <c r="P4" s="8">
        <v>66738.600000000006</v>
      </c>
      <c r="Q4" s="8">
        <v>468047.60000000003</v>
      </c>
      <c r="R4" s="8">
        <v>0.36119000000000001</v>
      </c>
      <c r="S4" s="8">
        <v>5.0700000000000002E-2</v>
      </c>
      <c r="T4" s="8">
        <v>0.34238416979079567</v>
      </c>
      <c r="U4" s="8">
        <v>0.21264895227050012</v>
      </c>
      <c r="V4" s="8">
        <v>7578.5</v>
      </c>
      <c r="W4" s="8">
        <v>44565.1</v>
      </c>
      <c r="X4" s="8"/>
      <c r="Y4" s="8"/>
      <c r="Z4" s="8">
        <v>229632.74</v>
      </c>
      <c r="AA4" s="8">
        <v>534786.20000000007</v>
      </c>
      <c r="AB4" s="8"/>
      <c r="AC4" s="8">
        <v>22850.239999999998</v>
      </c>
      <c r="AD4" s="8">
        <v>104746.78</v>
      </c>
      <c r="AE4" s="8" t="s">
        <v>46</v>
      </c>
    </row>
    <row r="5" spans="1:31" x14ac:dyDescent="0.25">
      <c r="A5" s="7">
        <v>42095</v>
      </c>
      <c r="B5" s="8">
        <v>2015</v>
      </c>
      <c r="C5" s="8">
        <v>4</v>
      </c>
      <c r="D5" s="8">
        <v>30</v>
      </c>
      <c r="E5" s="10">
        <v>6.7000000000000002E-3</v>
      </c>
      <c r="F5" s="8">
        <v>3.0800000000000001E-2</v>
      </c>
      <c r="G5" s="8">
        <v>0.18</v>
      </c>
      <c r="H5" s="8">
        <v>1400</v>
      </c>
      <c r="I5" s="8">
        <v>1400</v>
      </c>
      <c r="J5" s="8">
        <v>1249.9000000000001</v>
      </c>
      <c r="K5" s="8">
        <v>1368.4</v>
      </c>
      <c r="L5" s="8"/>
      <c r="M5" s="9"/>
      <c r="N5" s="8">
        <v>8.08</v>
      </c>
      <c r="O5" s="8"/>
      <c r="P5" s="8">
        <v>63900.7</v>
      </c>
      <c r="Q5" s="8">
        <v>456376.19999999995</v>
      </c>
      <c r="R5" s="8">
        <v>0.38525999999999999</v>
      </c>
      <c r="S5" s="8">
        <v>6.9409999999999999E-2</v>
      </c>
      <c r="T5" s="8">
        <v>0.36798999999999998</v>
      </c>
      <c r="U5" s="8">
        <v>0.24590999999999999</v>
      </c>
      <c r="V5" s="8">
        <v>5526.4</v>
      </c>
      <c r="W5" s="8">
        <v>35616.800000000003</v>
      </c>
      <c r="X5" s="8"/>
      <c r="Y5" s="8"/>
      <c r="Z5" s="8">
        <v>244705.37</v>
      </c>
      <c r="AA5" s="8">
        <v>520276.89999999997</v>
      </c>
      <c r="AB5" s="8"/>
      <c r="AC5" s="8">
        <v>135742.28</v>
      </c>
      <c r="AD5" s="8"/>
      <c r="AE5" s="8" t="s">
        <v>46</v>
      </c>
    </row>
    <row r="6" spans="1:31" x14ac:dyDescent="0.25">
      <c r="A6" s="7">
        <v>42125</v>
      </c>
      <c r="B6" s="8">
        <v>2015</v>
      </c>
      <c r="C6" s="8">
        <v>5</v>
      </c>
      <c r="D6" s="8">
        <v>31</v>
      </c>
      <c r="E6" s="8">
        <v>8.5000000000000006E-3</v>
      </c>
      <c r="F6" s="8">
        <v>3.9E-2</v>
      </c>
      <c r="G6" s="8">
        <v>0.18</v>
      </c>
      <c r="H6" s="8">
        <v>1400</v>
      </c>
      <c r="I6" s="8">
        <v>1400</v>
      </c>
      <c r="J6" s="8">
        <v>1167.5999999999999</v>
      </c>
      <c r="K6" s="8">
        <v>1269.2</v>
      </c>
      <c r="L6" s="8"/>
      <c r="M6" s="9"/>
      <c r="N6" s="8">
        <v>8.08</v>
      </c>
      <c r="O6" s="8"/>
      <c r="P6" s="8">
        <v>53464.3</v>
      </c>
      <c r="Q6" s="8">
        <v>434005.5</v>
      </c>
      <c r="R6" s="8">
        <v>0.38525999999999999</v>
      </c>
      <c r="S6" s="8">
        <v>6.9409999999999999E-2</v>
      </c>
      <c r="T6" s="8">
        <v>0.36798999999999998</v>
      </c>
      <c r="U6" s="8">
        <v>0.24590999999999999</v>
      </c>
      <c r="V6" s="8">
        <v>1844.9</v>
      </c>
      <c r="W6" s="8">
        <v>18923.900000000001</v>
      </c>
      <c r="X6" s="8"/>
      <c r="Y6" s="8"/>
      <c r="Z6" s="8">
        <v>229699.08</v>
      </c>
      <c r="AA6" s="8">
        <v>487469.8</v>
      </c>
      <c r="AB6" s="8"/>
      <c r="AC6" s="8">
        <v>126400.62</v>
      </c>
      <c r="AD6" s="8"/>
      <c r="AE6" s="8" t="s">
        <v>46</v>
      </c>
    </row>
    <row r="7" spans="1:31" x14ac:dyDescent="0.25">
      <c r="A7" s="7">
        <v>42156</v>
      </c>
      <c r="B7" s="8">
        <v>2015</v>
      </c>
      <c r="C7" s="8">
        <v>6</v>
      </c>
      <c r="D7" s="8">
        <v>30</v>
      </c>
      <c r="E7" s="8">
        <v>7.9000000000000008E-3</v>
      </c>
      <c r="F7" s="8">
        <v>3.6400000000000002E-2</v>
      </c>
      <c r="G7" s="8">
        <v>0.18</v>
      </c>
      <c r="H7" s="8">
        <v>1400</v>
      </c>
      <c r="I7" s="8">
        <v>1400</v>
      </c>
      <c r="J7" s="8">
        <v>1212.0999999999999</v>
      </c>
      <c r="K7" s="8">
        <v>1268.4000000000001</v>
      </c>
      <c r="L7" s="8"/>
      <c r="M7" s="9"/>
      <c r="N7" s="8">
        <v>8.08</v>
      </c>
      <c r="O7" s="8"/>
      <c r="P7" s="8">
        <v>55003.6</v>
      </c>
      <c r="Q7" s="8">
        <v>402350</v>
      </c>
      <c r="R7" s="8">
        <v>0.38525999999999999</v>
      </c>
      <c r="S7" s="8">
        <v>6.9409999999999999E-2</v>
      </c>
      <c r="T7" s="8">
        <v>0.36798999999999998</v>
      </c>
      <c r="U7" s="8">
        <v>0.24590999999999999</v>
      </c>
      <c r="V7" s="8">
        <v>2677.3</v>
      </c>
      <c r="W7" s="8">
        <v>18708.3</v>
      </c>
      <c r="X7" s="8"/>
      <c r="Y7" s="8"/>
      <c r="Z7" s="8">
        <v>218046.32</v>
      </c>
      <c r="AA7" s="8">
        <v>457353.6</v>
      </c>
      <c r="AB7" s="8"/>
      <c r="AC7" s="8">
        <v>119182.64</v>
      </c>
      <c r="AD7" s="8"/>
      <c r="AE7" s="8" t="s">
        <v>46</v>
      </c>
    </row>
    <row r="8" spans="1:31" x14ac:dyDescent="0.25">
      <c r="A8" s="7">
        <v>42186</v>
      </c>
      <c r="B8" s="8">
        <v>2015</v>
      </c>
      <c r="C8" s="8">
        <v>7</v>
      </c>
      <c r="D8" s="8">
        <v>31</v>
      </c>
      <c r="E8" s="8">
        <v>8.3999999999999995E-3</v>
      </c>
      <c r="F8" s="8">
        <v>3.8900000000000004E-2</v>
      </c>
      <c r="G8" s="8">
        <v>0.18</v>
      </c>
      <c r="H8" s="8">
        <v>1400</v>
      </c>
      <c r="I8" s="8">
        <v>1400</v>
      </c>
      <c r="J8" s="8">
        <v>1074.4000000000001</v>
      </c>
      <c r="K8" s="8">
        <v>1134</v>
      </c>
      <c r="L8" s="8"/>
      <c r="M8" s="9"/>
      <c r="N8" s="8">
        <v>7.9326699999999999</v>
      </c>
      <c r="O8" s="8"/>
      <c r="P8" s="8">
        <v>58440.5</v>
      </c>
      <c r="Q8" s="8">
        <v>400517.9</v>
      </c>
      <c r="R8" s="8">
        <v>0.38203999999999999</v>
      </c>
      <c r="S8" s="8">
        <v>7.2969999999999993E-2</v>
      </c>
      <c r="T8" s="8">
        <v>0.39004</v>
      </c>
      <c r="U8" s="8">
        <v>0.2622666666666667</v>
      </c>
      <c r="V8" s="8">
        <v>667.2</v>
      </c>
      <c r="W8" s="8">
        <v>12715.9</v>
      </c>
      <c r="X8" s="8"/>
      <c r="Y8" s="8"/>
      <c r="Z8" s="8">
        <v>230250.69</v>
      </c>
      <c r="AA8" s="8">
        <v>458958.4</v>
      </c>
      <c r="AB8" s="8"/>
      <c r="AC8" s="8">
        <v>75207.42</v>
      </c>
      <c r="AD8" s="8">
        <v>51069.41</v>
      </c>
      <c r="AE8" s="8" t="s">
        <v>46</v>
      </c>
    </row>
    <row r="9" spans="1:31" x14ac:dyDescent="0.25">
      <c r="A9" s="7">
        <v>42217</v>
      </c>
      <c r="B9" s="8">
        <v>2015</v>
      </c>
      <c r="C9" s="8">
        <v>8</v>
      </c>
      <c r="D9" s="8">
        <v>31</v>
      </c>
      <c r="E9" s="8">
        <v>6.0000000000000001E-3</v>
      </c>
      <c r="F9" s="8">
        <v>2.75E-2</v>
      </c>
      <c r="G9" s="8">
        <v>0.18</v>
      </c>
      <c r="H9" s="8">
        <v>1400</v>
      </c>
      <c r="I9" s="8">
        <v>1400</v>
      </c>
      <c r="J9" s="8">
        <v>1157.5</v>
      </c>
      <c r="K9" s="8">
        <v>1150.8</v>
      </c>
      <c r="L9" s="8"/>
      <c r="M9" s="9"/>
      <c r="N9" s="8">
        <v>7.74</v>
      </c>
      <c r="O9" s="8"/>
      <c r="P9" s="8">
        <v>63353</v>
      </c>
      <c r="Q9" s="8">
        <v>450612.4</v>
      </c>
      <c r="R9" s="8">
        <v>0.37784000000000001</v>
      </c>
      <c r="S9" s="8">
        <v>7.7630000000000005E-2</v>
      </c>
      <c r="T9" s="8">
        <v>0.36024</v>
      </c>
      <c r="U9" s="8">
        <v>0.22595999999999999</v>
      </c>
      <c r="V9" s="8">
        <v>2385.8000000000002</v>
      </c>
      <c r="W9" s="8">
        <v>11893.6</v>
      </c>
      <c r="X9" s="8"/>
      <c r="Y9" s="8"/>
      <c r="Z9" s="8">
        <v>266587.52000000002</v>
      </c>
      <c r="AA9" s="8">
        <v>513965.4</v>
      </c>
      <c r="AB9" s="8"/>
      <c r="AC9" s="8">
        <v>28268.07</v>
      </c>
      <c r="AD9" s="8"/>
      <c r="AE9" s="8" t="s">
        <v>46</v>
      </c>
    </row>
    <row r="10" spans="1:31" x14ac:dyDescent="0.25">
      <c r="A10" s="7">
        <v>42248</v>
      </c>
      <c r="B10" s="8">
        <v>2015</v>
      </c>
      <c r="C10" s="8">
        <v>9</v>
      </c>
      <c r="D10" s="8">
        <v>30</v>
      </c>
      <c r="E10" s="8">
        <v>1.1200000000000002E-2</v>
      </c>
      <c r="F10" s="8">
        <v>5.1399999999999994E-2</v>
      </c>
      <c r="G10" s="8">
        <v>0.18</v>
      </c>
      <c r="H10" s="8">
        <v>1400</v>
      </c>
      <c r="I10" s="8">
        <v>1400</v>
      </c>
      <c r="J10" s="8">
        <v>951.7</v>
      </c>
      <c r="K10" s="8">
        <v>1037.4000000000001</v>
      </c>
      <c r="L10" s="8"/>
      <c r="M10" s="9"/>
      <c r="N10" s="8">
        <v>7.74</v>
      </c>
      <c r="O10" s="8"/>
      <c r="P10" s="8">
        <v>47254</v>
      </c>
      <c r="Q10" s="8">
        <v>369840</v>
      </c>
      <c r="R10" s="8">
        <v>0.37784000000000001</v>
      </c>
      <c r="S10" s="8">
        <v>7.7630000000000005E-2</v>
      </c>
      <c r="T10" s="8">
        <v>0.36024</v>
      </c>
      <c r="U10" s="8">
        <v>0.22595999999999999</v>
      </c>
      <c r="V10" s="8">
        <v>549.20000000000005</v>
      </c>
      <c r="W10" s="8">
        <v>9855.1</v>
      </c>
      <c r="X10" s="8"/>
      <c r="Y10" s="8"/>
      <c r="Z10" s="8">
        <v>222681.96</v>
      </c>
      <c r="AA10" s="8">
        <v>417094</v>
      </c>
      <c r="AB10" s="8"/>
      <c r="AC10" s="8">
        <v>20843.260000000002</v>
      </c>
      <c r="AD10" s="9"/>
      <c r="AE10" s="8" t="s">
        <v>46</v>
      </c>
    </row>
    <row r="11" spans="1:31" x14ac:dyDescent="0.25">
      <c r="A11" s="7">
        <v>42278</v>
      </c>
      <c r="B11" s="8">
        <v>2015</v>
      </c>
      <c r="C11" s="8">
        <v>10</v>
      </c>
      <c r="D11" s="8">
        <v>31</v>
      </c>
      <c r="E11" s="8">
        <v>1.18E-2</v>
      </c>
      <c r="F11" s="8">
        <v>5.4600000000000003E-2</v>
      </c>
      <c r="G11" s="8">
        <v>0.18</v>
      </c>
      <c r="H11" s="8">
        <v>1400</v>
      </c>
      <c r="I11" s="8">
        <v>1400</v>
      </c>
      <c r="J11" s="8">
        <v>1411.2</v>
      </c>
      <c r="K11" s="8">
        <v>1488.5</v>
      </c>
      <c r="L11" s="8"/>
      <c r="M11" s="9"/>
      <c r="N11" s="8">
        <v>7.74</v>
      </c>
      <c r="O11" s="8"/>
      <c r="P11" s="8">
        <v>68672.3</v>
      </c>
      <c r="Q11" s="8">
        <v>471332</v>
      </c>
      <c r="R11" s="8">
        <v>0.37784000000000001</v>
      </c>
      <c r="S11" s="8">
        <v>7.7630000000000005E-2</v>
      </c>
      <c r="T11" s="8">
        <v>0.36024</v>
      </c>
      <c r="U11" s="8">
        <v>0.22595999999999999</v>
      </c>
      <c r="V11" s="8">
        <v>8661.7000000000007</v>
      </c>
      <c r="W11" s="8">
        <v>45990</v>
      </c>
      <c r="X11" s="8"/>
      <c r="Y11" s="8"/>
      <c r="Z11" s="8">
        <v>288617.38</v>
      </c>
      <c r="AA11" s="8">
        <v>540004.30000000005</v>
      </c>
      <c r="AB11" s="8"/>
      <c r="AC11" s="8">
        <v>24300.18</v>
      </c>
      <c r="AD11" s="8"/>
      <c r="AE11" s="8" t="s">
        <v>46</v>
      </c>
    </row>
    <row r="12" spans="1:31" x14ac:dyDescent="0.25">
      <c r="A12" s="7">
        <v>42309</v>
      </c>
      <c r="B12" s="8">
        <v>2015</v>
      </c>
      <c r="C12" s="8">
        <v>11</v>
      </c>
      <c r="D12" s="8">
        <v>30</v>
      </c>
      <c r="E12" s="8">
        <v>1.1000000000000001E-2</v>
      </c>
      <c r="F12" s="8">
        <v>5.0599999999999999E-2</v>
      </c>
      <c r="G12" s="8">
        <v>0.18</v>
      </c>
      <c r="H12" s="8">
        <v>1400</v>
      </c>
      <c r="I12" s="8">
        <v>1400</v>
      </c>
      <c r="J12" s="8">
        <v>1302</v>
      </c>
      <c r="K12" s="8">
        <v>1575.8</v>
      </c>
      <c r="L12" s="8"/>
      <c r="M12" s="9"/>
      <c r="N12" s="8">
        <v>7.74</v>
      </c>
      <c r="O12" s="8"/>
      <c r="P12" s="8">
        <v>64220.3</v>
      </c>
      <c r="Q12" s="8">
        <v>493639.6</v>
      </c>
      <c r="R12" s="8">
        <v>0.37784000000000001</v>
      </c>
      <c r="S12" s="8">
        <v>7.7630000000000005E-2</v>
      </c>
      <c r="T12" s="8">
        <v>0.36024</v>
      </c>
      <c r="U12" s="8">
        <v>0.22595999999999999</v>
      </c>
      <c r="V12" s="8">
        <v>7494.3</v>
      </c>
      <c r="W12" s="8">
        <v>45804.600000000006</v>
      </c>
      <c r="X12" s="8"/>
      <c r="Y12" s="8"/>
      <c r="Z12" s="8">
        <v>294627.44</v>
      </c>
      <c r="AA12" s="8">
        <v>557859.9</v>
      </c>
      <c r="AB12" s="8"/>
      <c r="AC12" s="8">
        <v>25103.69</v>
      </c>
      <c r="AD12" s="8"/>
      <c r="AE12" s="8" t="s">
        <v>46</v>
      </c>
    </row>
    <row r="13" spans="1:31" x14ac:dyDescent="0.25">
      <c r="A13" s="7">
        <v>42339</v>
      </c>
      <c r="B13" s="8">
        <v>2015</v>
      </c>
      <c r="C13" s="8">
        <v>12</v>
      </c>
      <c r="D13" s="8">
        <v>31</v>
      </c>
      <c r="E13" s="8">
        <v>1.1000000000000001E-2</v>
      </c>
      <c r="F13" s="10">
        <v>5.0999999999999997E-2</v>
      </c>
      <c r="G13" s="8">
        <v>0.18</v>
      </c>
      <c r="H13" s="8">
        <v>1400</v>
      </c>
      <c r="I13" s="8">
        <v>1400</v>
      </c>
      <c r="J13" s="8">
        <v>1259.2</v>
      </c>
      <c r="K13" s="8">
        <v>1581.7</v>
      </c>
      <c r="L13" s="8"/>
      <c r="M13" s="9"/>
      <c r="N13" s="8">
        <v>7.74</v>
      </c>
      <c r="O13" s="8"/>
      <c r="P13" s="8">
        <v>66427.8</v>
      </c>
      <c r="Q13" s="8">
        <v>488120.69999999995</v>
      </c>
      <c r="R13" s="8">
        <v>0.37784000000000001</v>
      </c>
      <c r="S13" s="8">
        <v>7.7630000000000005E-2</v>
      </c>
      <c r="T13" s="8">
        <v>0.36024</v>
      </c>
      <c r="U13" s="8">
        <v>0.22595999999999999</v>
      </c>
      <c r="V13" s="8">
        <v>9650.2999999999993</v>
      </c>
      <c r="W13" s="8">
        <v>61790.2</v>
      </c>
      <c r="X13" s="8"/>
      <c r="Y13" s="8"/>
      <c r="Z13" s="8">
        <v>294705.24</v>
      </c>
      <c r="AA13" s="8">
        <v>554548.5</v>
      </c>
      <c r="AB13" s="8"/>
      <c r="AC13" s="8">
        <v>24954.67</v>
      </c>
      <c r="AD13" s="8"/>
      <c r="AE13" s="8" t="s">
        <v>46</v>
      </c>
    </row>
    <row r="14" spans="1:31" x14ac:dyDescent="0.25">
      <c r="A14" s="7">
        <v>42370</v>
      </c>
      <c r="B14" s="8">
        <v>2016</v>
      </c>
      <c r="C14" s="8">
        <v>1</v>
      </c>
      <c r="D14" s="8">
        <v>31</v>
      </c>
      <c r="E14" s="8">
        <v>9.2999999999999992E-3</v>
      </c>
      <c r="F14" s="8">
        <v>4.2599999999999999E-2</v>
      </c>
      <c r="G14" s="8">
        <v>0.18</v>
      </c>
      <c r="H14" s="8">
        <v>1400</v>
      </c>
      <c r="I14" s="8">
        <v>1400</v>
      </c>
      <c r="J14" s="8">
        <v>1034.9000000000001</v>
      </c>
      <c r="K14" s="8">
        <v>1265</v>
      </c>
      <c r="L14" s="8"/>
      <c r="M14" s="9"/>
      <c r="N14" s="8">
        <v>7.74</v>
      </c>
      <c r="O14" s="8"/>
      <c r="P14" s="8">
        <v>36844.1</v>
      </c>
      <c r="Q14" s="8">
        <v>375281.1</v>
      </c>
      <c r="R14" s="8">
        <v>0.37784000000000001</v>
      </c>
      <c r="S14" s="8">
        <v>7.7630000000000005E-2</v>
      </c>
      <c r="T14" s="8">
        <v>0.36024</v>
      </c>
      <c r="U14" s="8">
        <v>0.22595999999999999</v>
      </c>
      <c r="V14" s="8">
        <v>3509.9</v>
      </c>
      <c r="W14" s="8">
        <f>31082.9+194.9</f>
        <v>31277.800000000003</v>
      </c>
      <c r="X14" s="8"/>
      <c r="Y14" s="8"/>
      <c r="Z14" s="8">
        <v>209040.48</v>
      </c>
      <c r="AA14" s="8">
        <f t="shared" ref="AA14:AA25" si="0">P14+Q14</f>
        <v>412125.19999999995</v>
      </c>
      <c r="AB14" s="8"/>
      <c r="AC14" s="8">
        <f>16887.65+1657.98</f>
        <v>18545.63</v>
      </c>
      <c r="AD14" s="8"/>
      <c r="AE14" s="8" t="s">
        <v>46</v>
      </c>
    </row>
    <row r="15" spans="1:31" x14ac:dyDescent="0.25">
      <c r="A15" s="7">
        <v>42401</v>
      </c>
      <c r="B15" s="8">
        <v>2016</v>
      </c>
      <c r="C15" s="8">
        <v>2</v>
      </c>
      <c r="D15" s="8">
        <v>29</v>
      </c>
      <c r="E15" s="8">
        <v>9.1999999999999998E-3</v>
      </c>
      <c r="F15" s="8">
        <v>4.2200000000000001E-2</v>
      </c>
      <c r="G15" s="8">
        <v>0.18</v>
      </c>
      <c r="H15" s="8">
        <v>1400</v>
      </c>
      <c r="I15" s="8">
        <v>1400</v>
      </c>
      <c r="J15" s="8">
        <v>1202</v>
      </c>
      <c r="K15" s="8">
        <v>1454</v>
      </c>
      <c r="L15" s="8"/>
      <c r="M15" s="9"/>
      <c r="N15" s="8">
        <v>7.74</v>
      </c>
      <c r="O15" s="8"/>
      <c r="P15" s="8">
        <v>45162.8</v>
      </c>
      <c r="Q15" s="8">
        <v>406399.4</v>
      </c>
      <c r="R15" s="8">
        <v>0.37784000000000001</v>
      </c>
      <c r="S15" s="8">
        <v>7.7630000000000005E-2</v>
      </c>
      <c r="T15" s="8">
        <v>0.36024</v>
      </c>
      <c r="U15" s="8">
        <v>0.22595999999999999</v>
      </c>
      <c r="V15" s="8">
        <v>3634.5</v>
      </c>
      <c r="W15" s="8">
        <f>30340.4+1554.4</f>
        <v>31894.800000000003</v>
      </c>
      <c r="X15" s="8"/>
      <c r="Y15" s="8"/>
      <c r="Z15" s="8">
        <v>226189.68</v>
      </c>
      <c r="AA15" s="8">
        <f t="shared" si="0"/>
        <v>451562.2</v>
      </c>
      <c r="AB15" s="8"/>
      <c r="AC15" s="8">
        <f>14990.3+1961.38</f>
        <v>16951.68</v>
      </c>
      <c r="AD15" s="8"/>
      <c r="AE15" s="8" t="s">
        <v>46</v>
      </c>
    </row>
    <row r="16" spans="1:31" x14ac:dyDescent="0.25">
      <c r="A16" s="7">
        <v>42430</v>
      </c>
      <c r="B16" s="8">
        <v>2016</v>
      </c>
      <c r="C16" s="8">
        <v>3</v>
      </c>
      <c r="D16" s="8">
        <v>31</v>
      </c>
      <c r="E16" s="8">
        <v>1.0200000000000001E-2</v>
      </c>
      <c r="F16" s="10">
        <v>4.7E-2</v>
      </c>
      <c r="G16" s="8">
        <v>0.18</v>
      </c>
      <c r="H16" s="8">
        <v>1400</v>
      </c>
      <c r="I16" s="8">
        <v>1400</v>
      </c>
      <c r="J16" s="8">
        <v>1320.5</v>
      </c>
      <c r="K16" s="8">
        <v>1473.4</v>
      </c>
      <c r="L16" s="8"/>
      <c r="M16" s="9"/>
      <c r="N16" s="8">
        <v>7.74</v>
      </c>
      <c r="O16" s="8"/>
      <c r="P16" s="8">
        <v>66500.7</v>
      </c>
      <c r="Q16" s="8">
        <v>451496.6</v>
      </c>
      <c r="R16" s="8">
        <v>0.37784000000000001</v>
      </c>
      <c r="S16" s="8">
        <v>7.7630000000000005E-2</v>
      </c>
      <c r="T16" s="8">
        <v>0.36024</v>
      </c>
      <c r="U16" s="8">
        <v>0.22595999999999999</v>
      </c>
      <c r="V16" s="8">
        <v>10135.9</v>
      </c>
      <c r="W16" s="8">
        <f>52241.7+1412.3</f>
        <v>53654</v>
      </c>
      <c r="X16" s="8"/>
      <c r="Y16" s="8"/>
      <c r="Z16" s="8">
        <v>259365.53</v>
      </c>
      <c r="AA16" s="8">
        <f t="shared" si="0"/>
        <v>517997.3</v>
      </c>
      <c r="AB16" s="8">
        <f>3587.74+539.8</f>
        <v>4127.54</v>
      </c>
      <c r="AC16" s="8">
        <f>6369.4+915.4</f>
        <v>7284.7999999999993</v>
      </c>
      <c r="AD16" s="8"/>
      <c r="AE16" s="8" t="s">
        <v>46</v>
      </c>
    </row>
    <row r="17" spans="1:31" x14ac:dyDescent="0.25">
      <c r="A17" s="7">
        <v>42461</v>
      </c>
      <c r="B17" s="8">
        <v>2016</v>
      </c>
      <c r="C17" s="8">
        <v>4</v>
      </c>
      <c r="D17" s="8">
        <v>30</v>
      </c>
      <c r="E17" s="10">
        <v>8.9999999999999993E-3</v>
      </c>
      <c r="F17" s="8">
        <v>4.1200000000000001E-2</v>
      </c>
      <c r="G17" s="8">
        <v>0.18</v>
      </c>
      <c r="H17" s="8">
        <v>1400</v>
      </c>
      <c r="I17" s="8">
        <v>1400</v>
      </c>
      <c r="J17" s="8">
        <v>1357.4</v>
      </c>
      <c r="K17" s="8">
        <v>1482.6</v>
      </c>
      <c r="L17" s="8"/>
      <c r="M17" s="9"/>
      <c r="N17" s="8">
        <v>7.74</v>
      </c>
      <c r="O17" s="8"/>
      <c r="P17" s="8">
        <v>70824.399999999994</v>
      </c>
      <c r="Q17" s="8">
        <v>493308.5</v>
      </c>
      <c r="R17" s="8">
        <v>0.37784000000000001</v>
      </c>
      <c r="S17" s="8">
        <v>7.7630000000000005E-2</v>
      </c>
      <c r="T17" s="8">
        <v>0.36024</v>
      </c>
      <c r="U17" s="8">
        <v>0.22595999999999999</v>
      </c>
      <c r="V17" s="8">
        <v>10613.6</v>
      </c>
      <c r="W17" s="8">
        <f>62183.1+1141.4</f>
        <v>63324.5</v>
      </c>
      <c r="X17" s="8"/>
      <c r="Y17" s="8"/>
      <c r="Z17" s="8">
        <v>268204.61</v>
      </c>
      <c r="AA17" s="8">
        <f t="shared" si="0"/>
        <v>564132.9</v>
      </c>
      <c r="AB17" s="8">
        <f>3910.27+561.44</f>
        <v>4471.71</v>
      </c>
      <c r="AC17" s="8"/>
      <c r="AD17" s="8"/>
      <c r="AE17" s="8" t="s">
        <v>46</v>
      </c>
    </row>
    <row r="18" spans="1:31" x14ac:dyDescent="0.25">
      <c r="A18" s="7">
        <v>42491</v>
      </c>
      <c r="B18" s="8">
        <v>2016</v>
      </c>
      <c r="C18" s="8">
        <v>5</v>
      </c>
      <c r="D18" s="8">
        <v>31</v>
      </c>
      <c r="E18" s="8">
        <v>1.2200000000000001E-2</v>
      </c>
      <c r="F18" s="8">
        <v>5.62E-2</v>
      </c>
      <c r="G18" s="8">
        <v>0.18</v>
      </c>
      <c r="H18" s="8">
        <v>1400</v>
      </c>
      <c r="I18" s="8">
        <v>1400</v>
      </c>
      <c r="J18" s="8">
        <v>1438.9</v>
      </c>
      <c r="K18" s="8">
        <v>1505.3</v>
      </c>
      <c r="L18" s="8"/>
      <c r="M18" s="9"/>
      <c r="N18" s="8">
        <v>7.74</v>
      </c>
      <c r="O18" s="8"/>
      <c r="P18" s="8">
        <v>58421</v>
      </c>
      <c r="Q18" s="8">
        <v>444744.5</v>
      </c>
      <c r="R18" s="8">
        <v>0.37784000000000001</v>
      </c>
      <c r="S18" s="8">
        <v>7.7630000000000005E-2</v>
      </c>
      <c r="T18" s="8">
        <v>0.36024</v>
      </c>
      <c r="U18" s="8">
        <v>0.22595999999999999</v>
      </c>
      <c r="V18" s="8">
        <v>5761.5</v>
      </c>
      <c r="W18" s="8">
        <f>37750.9+2839.2</f>
        <v>40590.1</v>
      </c>
      <c r="X18" s="8"/>
      <c r="Y18" s="8"/>
      <c r="Z18" s="8">
        <v>239817.92</v>
      </c>
      <c r="AA18" s="8">
        <f t="shared" si="0"/>
        <v>503165.5</v>
      </c>
      <c r="AB18" s="8"/>
      <c r="AC18" s="8"/>
      <c r="AD18" s="8"/>
      <c r="AE18" s="8" t="s">
        <v>46</v>
      </c>
    </row>
    <row r="19" spans="1:31" x14ac:dyDescent="0.25">
      <c r="A19" s="7">
        <v>42522</v>
      </c>
      <c r="B19" s="8">
        <v>2016</v>
      </c>
      <c r="C19" s="8">
        <v>6</v>
      </c>
      <c r="D19" s="8">
        <v>30</v>
      </c>
      <c r="E19" s="8">
        <v>1.2200000000000001E-2</v>
      </c>
      <c r="F19" s="8">
        <v>5.62E-2</v>
      </c>
      <c r="G19" s="8">
        <v>0.18</v>
      </c>
      <c r="H19" s="8">
        <v>1400</v>
      </c>
      <c r="I19" s="8">
        <v>1400</v>
      </c>
      <c r="J19" s="8">
        <v>964.3</v>
      </c>
      <c r="K19" s="8">
        <v>1044.0999999999999</v>
      </c>
      <c r="L19" s="8"/>
      <c r="M19" s="9"/>
      <c r="N19" s="8">
        <v>7.74</v>
      </c>
      <c r="O19" s="8"/>
      <c r="P19" s="8">
        <v>47792.2</v>
      </c>
      <c r="Q19" s="8">
        <v>361433.3</v>
      </c>
      <c r="R19" s="8">
        <v>0.37784000000000001</v>
      </c>
      <c r="S19" s="8">
        <v>7.7630000000000005E-2</v>
      </c>
      <c r="T19" s="8">
        <v>0.36024</v>
      </c>
      <c r="U19" s="8">
        <v>0.22595999999999999</v>
      </c>
      <c r="V19" s="8">
        <v>401.9</v>
      </c>
      <c r="W19" s="8">
        <f>4907.3+4739.7</f>
        <v>9647</v>
      </c>
      <c r="X19" s="8"/>
      <c r="Y19" s="8"/>
      <c r="Z19" s="8">
        <v>195247.45</v>
      </c>
      <c r="AA19" s="8">
        <f t="shared" si="0"/>
        <v>409225.5</v>
      </c>
      <c r="AB19" s="8"/>
      <c r="AC19" s="8"/>
      <c r="AD19" s="8"/>
      <c r="AE19" s="8" t="s">
        <v>46</v>
      </c>
    </row>
    <row r="20" spans="1:31" x14ac:dyDescent="0.25">
      <c r="A20" s="7">
        <v>42552</v>
      </c>
      <c r="B20" s="8">
        <v>2016</v>
      </c>
      <c r="C20" s="8">
        <v>7</v>
      </c>
      <c r="D20" s="8">
        <v>31</v>
      </c>
      <c r="E20" s="8"/>
      <c r="F20" s="8"/>
      <c r="G20" s="8"/>
      <c r="H20" s="21"/>
      <c r="I20" s="21"/>
      <c r="J20" s="8"/>
      <c r="K20" s="8"/>
      <c r="L20" s="8"/>
      <c r="M20" s="9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>
        <v>231078.34</v>
      </c>
      <c r="AA20" s="8"/>
      <c r="AB20" s="8"/>
      <c r="AC20" s="8"/>
      <c r="AD20" s="8"/>
      <c r="AE20" s="8" t="s">
        <v>46</v>
      </c>
    </row>
    <row r="21" spans="1:31" ht="15.75" customHeight="1" x14ac:dyDescent="0.25">
      <c r="A21" s="7">
        <v>42583</v>
      </c>
      <c r="B21" s="8">
        <v>2016</v>
      </c>
      <c r="C21" s="8">
        <v>8</v>
      </c>
      <c r="D21" s="8">
        <v>31</v>
      </c>
      <c r="E21" s="8">
        <v>1.26E-2</v>
      </c>
      <c r="F21" s="8">
        <v>5.8200000000000002E-2</v>
      </c>
      <c r="G21" s="8">
        <v>0.18</v>
      </c>
      <c r="H21" s="8">
        <v>1400</v>
      </c>
      <c r="I21" s="8">
        <v>1400</v>
      </c>
      <c r="J21" s="8">
        <v>990.4</v>
      </c>
      <c r="K21" s="8">
        <v>1017.2</v>
      </c>
      <c r="L21" s="8"/>
      <c r="M21" s="9"/>
      <c r="N21" s="8">
        <v>8.01</v>
      </c>
      <c r="O21" s="8"/>
      <c r="P21" s="8">
        <v>55318.8</v>
      </c>
      <c r="Q21" s="8">
        <v>382499.3</v>
      </c>
      <c r="R21" s="8">
        <v>0.36893999999999999</v>
      </c>
      <c r="S21" s="8">
        <v>5.815E-2</v>
      </c>
      <c r="T21" s="8">
        <v>0.32356000000000001</v>
      </c>
      <c r="U21" s="8">
        <v>0.21496999999999999</v>
      </c>
      <c r="V21" s="8">
        <v>219.7</v>
      </c>
      <c r="W21" s="8">
        <f>2730.4+3879.8</f>
        <v>6610.2000000000007</v>
      </c>
      <c r="X21" s="8"/>
      <c r="Y21" s="8"/>
      <c r="Z21" s="8">
        <v>193559.54</v>
      </c>
      <c r="AA21" s="8">
        <f t="shared" si="0"/>
        <v>437818.1</v>
      </c>
      <c r="AB21" s="8"/>
      <c r="AC21" s="8"/>
      <c r="AD21" s="8"/>
      <c r="AE21" s="8" t="s">
        <v>46</v>
      </c>
    </row>
    <row r="22" spans="1:31" ht="15.75" customHeight="1" x14ac:dyDescent="0.25">
      <c r="A22" s="7">
        <v>42614</v>
      </c>
      <c r="B22" s="8">
        <v>2016</v>
      </c>
      <c r="C22" s="8">
        <v>9</v>
      </c>
      <c r="D22" s="8">
        <v>30</v>
      </c>
      <c r="E22" s="8">
        <v>1.0200000000000001E-2</v>
      </c>
      <c r="F22" s="8">
        <v>4.7300000000000002E-2</v>
      </c>
      <c r="G22" s="8">
        <v>0.18</v>
      </c>
      <c r="H22" s="8">
        <v>1400</v>
      </c>
      <c r="I22" s="8">
        <v>1400</v>
      </c>
      <c r="J22" s="8">
        <v>0</v>
      </c>
      <c r="K22" s="8">
        <v>0</v>
      </c>
      <c r="L22" s="8"/>
      <c r="M22" s="9"/>
      <c r="N22" s="8">
        <v>8.01</v>
      </c>
      <c r="O22" s="8"/>
      <c r="P22" s="8">
        <v>57473.9</v>
      </c>
      <c r="Q22" s="8">
        <v>431268</v>
      </c>
      <c r="R22" s="8">
        <v>0.36893999999999999</v>
      </c>
      <c r="S22" s="8">
        <v>5.815E-2</v>
      </c>
      <c r="T22" s="8">
        <v>0.32356000000000001</v>
      </c>
      <c r="U22" s="8">
        <v>0.21496999999999999</v>
      </c>
      <c r="V22" s="8"/>
      <c r="W22" s="8"/>
      <c r="X22" s="8"/>
      <c r="Y22" s="8"/>
      <c r="Z22" s="8">
        <v>208474.23</v>
      </c>
      <c r="AA22" s="8">
        <f t="shared" si="0"/>
        <v>488741.9</v>
      </c>
      <c r="AB22" s="8"/>
      <c r="AC22" s="8"/>
      <c r="AD22" s="9"/>
      <c r="AE22" s="8" t="s">
        <v>46</v>
      </c>
    </row>
    <row r="23" spans="1:31" ht="15.75" customHeight="1" x14ac:dyDescent="0.25">
      <c r="A23" s="7">
        <v>42644</v>
      </c>
      <c r="B23" s="8">
        <v>2016</v>
      </c>
      <c r="C23" s="8">
        <v>10</v>
      </c>
      <c r="D23" s="8">
        <v>31</v>
      </c>
      <c r="E23" s="10">
        <v>0.01</v>
      </c>
      <c r="F23" s="8">
        <v>4.6199999999999998E-2</v>
      </c>
      <c r="G23" s="8">
        <v>0.18</v>
      </c>
      <c r="H23" s="8">
        <v>1400</v>
      </c>
      <c r="I23" s="8">
        <v>1400</v>
      </c>
      <c r="J23" s="8">
        <v>0</v>
      </c>
      <c r="K23" s="8">
        <v>0</v>
      </c>
      <c r="L23" s="8"/>
      <c r="M23" s="9"/>
      <c r="N23" s="8">
        <v>8.01</v>
      </c>
      <c r="O23" s="8"/>
      <c r="P23" s="8">
        <v>47491.5</v>
      </c>
      <c r="Q23" s="8">
        <v>294300.3</v>
      </c>
      <c r="R23" s="8">
        <v>0.36893999999999999</v>
      </c>
      <c r="S23" s="8">
        <v>5.815E-2</v>
      </c>
      <c r="T23" s="8">
        <v>0.32356000000000001</v>
      </c>
      <c r="U23" s="8">
        <v>0.21496999999999999</v>
      </c>
      <c r="V23" s="8">
        <v>605.6</v>
      </c>
      <c r="W23" s="8">
        <f>5392.6+7824.4</f>
        <v>13217</v>
      </c>
      <c r="X23" s="8"/>
      <c r="Y23" s="8"/>
      <c r="Z23" s="8">
        <v>153498.57</v>
      </c>
      <c r="AA23" s="8">
        <f t="shared" si="0"/>
        <v>341791.8</v>
      </c>
      <c r="AB23" s="8"/>
      <c r="AC23" s="8"/>
      <c r="AD23" s="8"/>
      <c r="AE23" s="8" t="s">
        <v>46</v>
      </c>
    </row>
    <row r="24" spans="1:31" ht="15.75" customHeight="1" x14ac:dyDescent="0.25">
      <c r="A24" s="7">
        <v>42675</v>
      </c>
      <c r="B24" s="8">
        <v>2016</v>
      </c>
      <c r="C24" s="8">
        <v>11</v>
      </c>
      <c r="D24" s="8">
        <v>30</v>
      </c>
      <c r="E24" s="10">
        <v>8.9999999999999993E-3</v>
      </c>
      <c r="F24" s="8">
        <v>4.1500000000000002E-2</v>
      </c>
      <c r="G24" s="8">
        <v>0.18</v>
      </c>
      <c r="H24" s="8">
        <v>1400</v>
      </c>
      <c r="I24" s="8">
        <v>1400</v>
      </c>
      <c r="J24" s="8">
        <v>1373.4</v>
      </c>
      <c r="K24" s="8">
        <v>1625.4</v>
      </c>
      <c r="L24" s="8"/>
      <c r="M24" s="9"/>
      <c r="N24" s="8">
        <v>8.01</v>
      </c>
      <c r="O24" s="8"/>
      <c r="P24" s="8">
        <v>56436</v>
      </c>
      <c r="Q24" s="8">
        <v>421238.8</v>
      </c>
      <c r="R24" s="8">
        <v>0.36893999999999999</v>
      </c>
      <c r="S24" s="8">
        <v>5.815E-2</v>
      </c>
      <c r="T24" s="8">
        <v>0.32356000000000001</v>
      </c>
      <c r="U24" s="8">
        <v>0.21496999999999999</v>
      </c>
      <c r="V24" s="8">
        <v>2134.9</v>
      </c>
      <c r="W24" s="8">
        <f>16818.1+0</f>
        <v>16818.099999999999</v>
      </c>
      <c r="X24" s="8"/>
      <c r="Y24" s="8"/>
      <c r="Z24" s="8">
        <v>210531.9</v>
      </c>
      <c r="AA24" s="8">
        <f t="shared" si="0"/>
        <v>477674.8</v>
      </c>
      <c r="AB24" s="8">
        <f>115.1+149.39</f>
        <v>264.49</v>
      </c>
      <c r="AC24" s="8"/>
      <c r="AD24" s="8"/>
      <c r="AE24" s="8" t="s">
        <v>46</v>
      </c>
    </row>
    <row r="25" spans="1:31" ht="15.75" customHeight="1" x14ac:dyDescent="0.25">
      <c r="A25" s="7">
        <v>42705</v>
      </c>
      <c r="B25" s="8">
        <v>2016</v>
      </c>
      <c r="C25" s="8">
        <v>12</v>
      </c>
      <c r="D25" s="8">
        <v>31</v>
      </c>
      <c r="E25" s="10">
        <v>9.2999999999999999E-2</v>
      </c>
      <c r="F25" s="8">
        <v>4.2700000000000002E-2</v>
      </c>
      <c r="G25" s="8">
        <v>0.18</v>
      </c>
      <c r="H25" s="8">
        <v>1400</v>
      </c>
      <c r="I25" s="8">
        <v>1400</v>
      </c>
      <c r="J25" s="8">
        <v>1167.5999999999999</v>
      </c>
      <c r="K25" s="8">
        <v>1284.4000000000001</v>
      </c>
      <c r="L25" s="8"/>
      <c r="M25" s="9"/>
      <c r="N25" s="8">
        <v>8.01</v>
      </c>
      <c r="O25" s="8"/>
      <c r="P25" s="8">
        <v>46766.8</v>
      </c>
      <c r="Q25" s="8">
        <v>402552.4</v>
      </c>
      <c r="R25" s="8">
        <v>0.36893999999999999</v>
      </c>
      <c r="S25" s="8">
        <v>5.815E-2</v>
      </c>
      <c r="T25" s="8">
        <v>0.32356000000000001</v>
      </c>
      <c r="U25" s="8">
        <v>0.21496999999999999</v>
      </c>
      <c r="V25" s="8">
        <v>6686.4</v>
      </c>
      <c r="W25" s="8">
        <f>47804.8+1666.6</f>
        <v>49471.4</v>
      </c>
      <c r="X25" s="8"/>
      <c r="Y25" s="8"/>
      <c r="Z25" s="8">
        <v>188148</v>
      </c>
      <c r="AA25" s="8">
        <f t="shared" si="0"/>
        <v>449319.2</v>
      </c>
      <c r="AB25" s="8"/>
      <c r="AC25" s="8"/>
      <c r="AD25" s="8"/>
      <c r="AE25" s="8" t="s">
        <v>46</v>
      </c>
    </row>
    <row r="26" spans="1:31" ht="15.75" customHeight="1" x14ac:dyDescent="0.25">
      <c r="A26" s="11">
        <v>42736</v>
      </c>
      <c r="B26" s="8">
        <v>2017</v>
      </c>
      <c r="C26" s="8">
        <v>1</v>
      </c>
      <c r="D26" s="8">
        <v>31</v>
      </c>
      <c r="E26" s="10">
        <v>9.2999999999999992E-3</v>
      </c>
      <c r="F26" s="8">
        <v>4.2700000000000002E-2</v>
      </c>
      <c r="G26" s="8">
        <v>0.18</v>
      </c>
      <c r="H26" s="8">
        <v>1400</v>
      </c>
      <c r="I26" s="8">
        <v>1400</v>
      </c>
      <c r="J26" s="8">
        <v>1167.5999999999999</v>
      </c>
      <c r="K26" s="8">
        <v>1284.4000000000001</v>
      </c>
      <c r="L26" s="8"/>
      <c r="M26" s="9"/>
      <c r="N26" s="8">
        <v>8.01</v>
      </c>
      <c r="O26" s="8"/>
      <c r="P26" s="8">
        <v>46766.8</v>
      </c>
      <c r="Q26" s="8">
        <v>402552.4</v>
      </c>
      <c r="R26" s="8">
        <v>0.36893999999999999</v>
      </c>
      <c r="S26" s="21">
        <v>5.815E-2</v>
      </c>
      <c r="T26" s="8">
        <v>0.32356000000000001</v>
      </c>
      <c r="U26" s="8">
        <v>0.21496999999999999</v>
      </c>
      <c r="V26" s="8">
        <v>6686.4</v>
      </c>
      <c r="W26" s="8">
        <v>47804.800000000003</v>
      </c>
      <c r="X26" s="8"/>
      <c r="Y26" s="8"/>
      <c r="Z26" s="8">
        <v>188148</v>
      </c>
      <c r="AA26" s="8">
        <v>449319.15</v>
      </c>
      <c r="AB26" s="8"/>
      <c r="AC26" s="8"/>
      <c r="AD26" s="8"/>
      <c r="AE26" s="8" t="s">
        <v>46</v>
      </c>
    </row>
    <row r="27" spans="1:31" ht="15.75" customHeight="1" x14ac:dyDescent="0.25">
      <c r="A27" s="11">
        <v>42767</v>
      </c>
      <c r="B27" s="8">
        <v>2017</v>
      </c>
      <c r="C27" s="8">
        <v>2</v>
      </c>
      <c r="D27" s="8">
        <v>30</v>
      </c>
      <c r="E27" s="10">
        <v>1.1299999999999999E-2</v>
      </c>
      <c r="F27" s="8">
        <v>5.2299999999999999E-2</v>
      </c>
      <c r="G27" s="8">
        <v>0.18</v>
      </c>
      <c r="H27" s="8">
        <v>1400</v>
      </c>
      <c r="I27" s="8">
        <v>1400</v>
      </c>
      <c r="J27" s="8">
        <v>944.2</v>
      </c>
      <c r="K27" s="8">
        <v>1159.2</v>
      </c>
      <c r="L27" s="8"/>
      <c r="M27" s="9"/>
      <c r="N27" s="8">
        <v>8.01</v>
      </c>
      <c r="O27" s="8"/>
      <c r="P27" s="8">
        <v>56065.8</v>
      </c>
      <c r="Q27" s="8">
        <v>417388.79999999999</v>
      </c>
      <c r="R27" s="8">
        <v>0.36893999999999999</v>
      </c>
      <c r="S27" s="21">
        <v>5.815E-2</v>
      </c>
      <c r="T27" s="8">
        <v>0.32356000000000001</v>
      </c>
      <c r="U27" s="8">
        <v>0.21496999999999999</v>
      </c>
      <c r="V27" s="8">
        <v>0</v>
      </c>
      <c r="W27" s="8">
        <v>0</v>
      </c>
      <c r="X27" s="8"/>
      <c r="Y27" s="8"/>
      <c r="Z27" s="8">
        <v>204232.34</v>
      </c>
      <c r="AA27" s="8">
        <v>473453.82</v>
      </c>
      <c r="AB27" s="8"/>
      <c r="AC27" s="8"/>
      <c r="AD27" s="8"/>
      <c r="AE27" s="8" t="s">
        <v>46</v>
      </c>
    </row>
    <row r="28" spans="1:31" ht="15.75" customHeight="1" x14ac:dyDescent="0.25">
      <c r="A28" s="11">
        <v>42795</v>
      </c>
      <c r="B28" s="8">
        <v>2017</v>
      </c>
      <c r="C28" s="8">
        <v>3</v>
      </c>
      <c r="D28" s="8">
        <v>28</v>
      </c>
      <c r="E28" s="10">
        <v>1.14E-2</v>
      </c>
      <c r="F28" s="8">
        <v>0.52900000000000003</v>
      </c>
      <c r="G28" s="8">
        <v>0.18</v>
      </c>
      <c r="H28" s="8">
        <v>1400</v>
      </c>
      <c r="I28" s="8">
        <v>1400</v>
      </c>
      <c r="J28" s="8">
        <v>1386.8</v>
      </c>
      <c r="K28" s="8">
        <v>1601</v>
      </c>
      <c r="L28" s="8"/>
      <c r="M28" s="9"/>
      <c r="N28" s="8">
        <v>8.01</v>
      </c>
      <c r="O28" s="8"/>
      <c r="P28" s="8">
        <v>57676.7</v>
      </c>
      <c r="Q28" s="8">
        <v>544436.80000000005</v>
      </c>
      <c r="R28" s="8">
        <v>0.36893999999999999</v>
      </c>
      <c r="S28" s="21">
        <v>5.815E-2</v>
      </c>
      <c r="T28" s="8">
        <v>0.32356000000000001</v>
      </c>
      <c r="U28" s="8">
        <v>0.21496999999999999</v>
      </c>
      <c r="V28" s="8">
        <v>19703.7</v>
      </c>
      <c r="W28" s="8">
        <v>135765.4</v>
      </c>
      <c r="X28" s="8"/>
      <c r="Y28" s="8"/>
      <c r="Z28" s="8">
        <v>256132.43</v>
      </c>
      <c r="AA28" s="8">
        <v>602113.47</v>
      </c>
      <c r="AB28" s="8">
        <v>860.04000000000008</v>
      </c>
      <c r="AC28" s="8"/>
      <c r="AD28" s="8"/>
      <c r="AE28" s="8" t="s">
        <v>46</v>
      </c>
    </row>
    <row r="29" spans="1:31" ht="15.75" customHeight="1" x14ac:dyDescent="0.25">
      <c r="A29" s="11">
        <v>42826</v>
      </c>
      <c r="B29" s="8">
        <v>2017</v>
      </c>
      <c r="C29" s="8">
        <v>4</v>
      </c>
      <c r="D29" s="8">
        <v>33</v>
      </c>
      <c r="E29" s="10">
        <v>9.9000000000000008E-3</v>
      </c>
      <c r="F29" s="8">
        <v>4.5600000000000002E-2</v>
      </c>
      <c r="G29" s="8">
        <v>0.18</v>
      </c>
      <c r="H29" s="8">
        <v>1400</v>
      </c>
      <c r="I29" s="8">
        <v>1400</v>
      </c>
      <c r="J29" s="8">
        <v>1381.8</v>
      </c>
      <c r="K29" s="8">
        <v>1517</v>
      </c>
      <c r="L29" s="8"/>
      <c r="M29" s="9"/>
      <c r="N29" s="8">
        <v>8.01</v>
      </c>
      <c r="O29" s="8"/>
      <c r="P29" s="8">
        <v>70051.100000000006</v>
      </c>
      <c r="Q29" s="8">
        <v>533399.4</v>
      </c>
      <c r="R29" s="8">
        <v>0.36893999999999999</v>
      </c>
      <c r="S29" s="21">
        <v>5.815E-2</v>
      </c>
      <c r="T29" s="8">
        <v>0.32356000000000001</v>
      </c>
      <c r="U29" s="8">
        <v>0.21496999999999999</v>
      </c>
      <c r="V29" s="8">
        <v>11898.2</v>
      </c>
      <c r="W29" s="8">
        <v>73188.2</v>
      </c>
      <c r="X29" s="8"/>
      <c r="Y29" s="8"/>
      <c r="Z29" s="8">
        <v>267226.43</v>
      </c>
      <c r="AA29" s="8">
        <v>603450.32999999996</v>
      </c>
      <c r="AB29" s="8">
        <v>10606.08</v>
      </c>
      <c r="AC29" s="8">
        <v>2194.37</v>
      </c>
      <c r="AD29" s="8"/>
      <c r="AE29" s="8" t="s">
        <v>46</v>
      </c>
    </row>
    <row r="30" spans="1:31" ht="15.75" customHeight="1" x14ac:dyDescent="0.25">
      <c r="A30" s="11">
        <v>42856</v>
      </c>
      <c r="B30" s="8">
        <v>2017</v>
      </c>
      <c r="C30" s="8">
        <v>5</v>
      </c>
      <c r="D30" s="8">
        <v>29</v>
      </c>
      <c r="E30" s="10">
        <v>1.2E-2</v>
      </c>
      <c r="F30" s="8">
        <v>5.5399999999999998E-2</v>
      </c>
      <c r="G30" s="8">
        <v>0.18</v>
      </c>
      <c r="H30" s="8">
        <v>1400</v>
      </c>
      <c r="I30" s="8">
        <v>1400</v>
      </c>
      <c r="J30" s="8">
        <v>1291.9000000000001</v>
      </c>
      <c r="K30" s="8">
        <v>1431.4</v>
      </c>
      <c r="L30" s="8"/>
      <c r="M30" s="9"/>
      <c r="N30" s="8">
        <v>8.01</v>
      </c>
      <c r="O30" s="8"/>
      <c r="P30" s="8">
        <v>59212.4</v>
      </c>
      <c r="Q30" s="8">
        <v>469502</v>
      </c>
      <c r="R30" s="8">
        <v>0.36893999999999999</v>
      </c>
      <c r="S30" s="8">
        <v>5.815E-2</v>
      </c>
      <c r="T30" s="8">
        <v>0.31818999999999997</v>
      </c>
      <c r="U30" s="8">
        <v>0.20960000000000001</v>
      </c>
      <c r="V30" s="8">
        <v>6175.7</v>
      </c>
      <c r="W30" s="8">
        <v>38652.400000000001</v>
      </c>
      <c r="X30" s="8"/>
      <c r="Y30" s="8"/>
      <c r="Z30" s="8">
        <v>212548.97</v>
      </c>
      <c r="AA30" s="8">
        <v>528714.48</v>
      </c>
      <c r="AB30" s="8"/>
      <c r="AC30" s="8">
        <v>15861.41</v>
      </c>
      <c r="AD30" s="8"/>
      <c r="AE30" s="8" t="s">
        <v>46</v>
      </c>
    </row>
    <row r="31" spans="1:31" ht="15.75" customHeight="1" x14ac:dyDescent="0.25">
      <c r="A31" s="11">
        <v>42887</v>
      </c>
      <c r="B31" s="8">
        <v>2017</v>
      </c>
      <c r="C31" s="8">
        <v>6</v>
      </c>
      <c r="D31" s="8">
        <v>30</v>
      </c>
      <c r="E31" s="10">
        <v>1.15E-2</v>
      </c>
      <c r="F31" s="8">
        <v>5.2699999999999997E-2</v>
      </c>
      <c r="G31" s="8">
        <v>0.18</v>
      </c>
      <c r="H31" s="8">
        <v>1400</v>
      </c>
      <c r="I31" s="8">
        <v>1400</v>
      </c>
      <c r="J31" s="8">
        <v>1162.5999999999999</v>
      </c>
      <c r="K31" s="8">
        <v>1163.4000000000001</v>
      </c>
      <c r="L31" s="8"/>
      <c r="M31" s="9"/>
      <c r="N31" s="8">
        <v>8.01</v>
      </c>
      <c r="O31" s="8"/>
      <c r="P31" s="8">
        <v>59655.8</v>
      </c>
      <c r="Q31" s="8">
        <v>445003.9</v>
      </c>
      <c r="R31" s="8">
        <v>0.36893999999999999</v>
      </c>
      <c r="S31" s="8">
        <v>5.815E-2</v>
      </c>
      <c r="T31" s="8">
        <v>0.31818999999999997</v>
      </c>
      <c r="U31" s="8">
        <v>0.20960000000000001</v>
      </c>
      <c r="V31" s="8">
        <v>2808.5</v>
      </c>
      <c r="W31" s="8">
        <v>23541.599999999999</v>
      </c>
      <c r="X31" s="8"/>
      <c r="Y31" s="8"/>
      <c r="Z31" s="8">
        <v>231106.78</v>
      </c>
      <c r="AA31" s="8">
        <v>504659.61</v>
      </c>
      <c r="AB31" s="8"/>
      <c r="AC31" s="8">
        <v>14130.45</v>
      </c>
      <c r="AD31" s="8"/>
      <c r="AE31" s="8" t="s">
        <v>46</v>
      </c>
    </row>
    <row r="32" spans="1:31" ht="15.75" customHeight="1" x14ac:dyDescent="0.25">
      <c r="A32" s="11">
        <v>42917</v>
      </c>
      <c r="B32" s="8">
        <v>2017</v>
      </c>
      <c r="C32" s="8">
        <v>7</v>
      </c>
      <c r="D32" s="8">
        <v>33</v>
      </c>
      <c r="E32" s="10">
        <v>1.1599999999999999E-2</v>
      </c>
      <c r="F32" s="8">
        <v>5.3499999999999999E-2</v>
      </c>
      <c r="G32" s="8">
        <v>0.18</v>
      </c>
      <c r="H32" s="8">
        <v>1400</v>
      </c>
      <c r="I32" s="8">
        <v>1400</v>
      </c>
      <c r="J32" s="8">
        <v>1070.2</v>
      </c>
      <c r="K32" s="8">
        <v>1087.8</v>
      </c>
      <c r="L32" s="8"/>
      <c r="M32" s="9"/>
      <c r="N32" s="8">
        <v>8.17727</v>
      </c>
      <c r="O32" s="8"/>
      <c r="P32" s="8">
        <v>63765.2</v>
      </c>
      <c r="Q32" s="8">
        <v>479746.1</v>
      </c>
      <c r="R32" s="8">
        <v>0.37324000000000002</v>
      </c>
      <c r="S32" s="8">
        <v>5.6849999999999998E-2</v>
      </c>
      <c r="T32" s="8">
        <v>0.31818999999999997</v>
      </c>
      <c r="U32" s="8">
        <v>0.20960000000000001</v>
      </c>
      <c r="V32" s="8">
        <v>421.1</v>
      </c>
      <c r="W32" s="8">
        <v>2966.3</v>
      </c>
      <c r="X32" s="8"/>
      <c r="Y32" s="8"/>
      <c r="Z32" s="8">
        <v>231933.76</v>
      </c>
      <c r="AA32" s="8">
        <v>402496.6</v>
      </c>
      <c r="AB32" s="8">
        <v>2218.17</v>
      </c>
      <c r="AC32" s="8"/>
      <c r="AD32" s="8"/>
      <c r="AE32" s="8" t="s">
        <v>46</v>
      </c>
    </row>
    <row r="33" spans="1:31" ht="15.75" customHeight="1" x14ac:dyDescent="0.25">
      <c r="A33" s="11">
        <v>42948</v>
      </c>
      <c r="B33" s="8">
        <v>2017</v>
      </c>
      <c r="C33" s="8">
        <v>8</v>
      </c>
      <c r="D33" s="8">
        <v>28</v>
      </c>
      <c r="E33" s="10">
        <v>1.26E-2</v>
      </c>
      <c r="F33" s="8">
        <v>5.8299999999999998E-2</v>
      </c>
      <c r="G33" s="8">
        <v>0.18</v>
      </c>
      <c r="H33" s="8">
        <v>1400</v>
      </c>
      <c r="I33" s="8">
        <v>1400</v>
      </c>
      <c r="J33" s="21">
        <v>1070.2</v>
      </c>
      <c r="K33" s="8">
        <v>107.8</v>
      </c>
      <c r="L33" s="8"/>
      <c r="M33" s="9"/>
      <c r="N33" s="8">
        <v>10.77</v>
      </c>
      <c r="O33" s="8"/>
      <c r="P33" s="8">
        <v>54911.199999999997</v>
      </c>
      <c r="Q33" s="8">
        <v>394598.2</v>
      </c>
      <c r="R33" s="8">
        <v>0.43986999999999998</v>
      </c>
      <c r="S33" s="8">
        <v>3.6769999999999997E-2</v>
      </c>
      <c r="T33" s="8">
        <v>0.34899000000000002</v>
      </c>
      <c r="U33" s="8">
        <v>0.22885</v>
      </c>
      <c r="V33" s="8">
        <v>1728.1</v>
      </c>
      <c r="W33" s="8">
        <v>13274.1</v>
      </c>
      <c r="X33" s="8"/>
      <c r="Y33" s="8"/>
      <c r="Z33" s="8">
        <v>217013.75</v>
      </c>
      <c r="AA33" s="8">
        <v>406698.6</v>
      </c>
      <c r="AB33" s="8">
        <v>10088.450000000001</v>
      </c>
      <c r="AC33" s="8">
        <v>1592.9099999999999</v>
      </c>
      <c r="AD33" s="8"/>
      <c r="AE33" s="8" t="s">
        <v>46</v>
      </c>
    </row>
    <row r="34" spans="1:31" ht="15.75" customHeight="1" x14ac:dyDescent="0.25">
      <c r="A34" s="11">
        <v>42979</v>
      </c>
      <c r="B34" s="8">
        <v>2017</v>
      </c>
      <c r="C34" s="8">
        <v>9</v>
      </c>
      <c r="D34" s="8">
        <v>33</v>
      </c>
      <c r="E34" s="10">
        <v>8.0000000000000002E-3</v>
      </c>
      <c r="F34" s="8">
        <v>3.6700000000000003E-2</v>
      </c>
      <c r="G34" s="8">
        <v>0.18</v>
      </c>
      <c r="H34" s="8">
        <v>1400</v>
      </c>
      <c r="I34" s="8">
        <v>1400</v>
      </c>
      <c r="J34" s="8">
        <v>0</v>
      </c>
      <c r="K34" s="8">
        <v>998.8</v>
      </c>
      <c r="L34" s="8"/>
      <c r="M34" s="9"/>
      <c r="N34" s="8">
        <v>10.77</v>
      </c>
      <c r="O34" s="8"/>
      <c r="P34" s="8">
        <v>61373.3</v>
      </c>
      <c r="Q34" s="8">
        <v>469526.8</v>
      </c>
      <c r="R34" s="8">
        <v>0.43986999999999998</v>
      </c>
      <c r="S34" s="8">
        <v>3.6769999999999997E-2</v>
      </c>
      <c r="T34" s="8">
        <v>0.34899000000000002</v>
      </c>
      <c r="U34" s="8">
        <v>0.22885</v>
      </c>
      <c r="V34" s="8">
        <v>1831.2</v>
      </c>
      <c r="W34" s="8">
        <v>15712</v>
      </c>
      <c r="X34" s="8"/>
      <c r="Y34" s="8"/>
      <c r="Z34" s="8">
        <v>247139.45</v>
      </c>
      <c r="AA34" s="8">
        <v>530846.1</v>
      </c>
      <c r="AB34" s="8">
        <v>1635.3899999999999</v>
      </c>
      <c r="AC34" s="8">
        <v>17171.61</v>
      </c>
      <c r="AD34" s="8"/>
      <c r="AE34" s="8" t="s">
        <v>46</v>
      </c>
    </row>
    <row r="35" spans="1:31" ht="15.75" customHeight="1" x14ac:dyDescent="0.25">
      <c r="A35" s="11">
        <v>43009</v>
      </c>
      <c r="B35" s="8">
        <v>2017</v>
      </c>
      <c r="C35" s="8">
        <v>10</v>
      </c>
      <c r="D35" s="8">
        <v>29</v>
      </c>
      <c r="E35" s="10">
        <v>7.1999999999999998E-3</v>
      </c>
      <c r="F35" s="8">
        <v>3.3399999999999999E-2</v>
      </c>
      <c r="G35" s="8">
        <v>0.18</v>
      </c>
      <c r="H35" s="8">
        <v>1400</v>
      </c>
      <c r="I35" s="8">
        <v>1400</v>
      </c>
      <c r="J35" s="8">
        <v>1268.4000000000001</v>
      </c>
      <c r="K35" s="8">
        <v>1454</v>
      </c>
      <c r="L35" s="8"/>
      <c r="M35" s="9"/>
      <c r="N35" s="8">
        <v>10.77</v>
      </c>
      <c r="O35" s="8"/>
      <c r="P35" s="8">
        <v>59960</v>
      </c>
      <c r="Q35" s="8">
        <v>456851.6</v>
      </c>
      <c r="R35" s="8">
        <v>0.43986999999999998</v>
      </c>
      <c r="S35" s="8">
        <v>3.6769999999999997E-2</v>
      </c>
      <c r="T35" s="8">
        <v>0.34899000000000002</v>
      </c>
      <c r="U35" s="8">
        <v>0.22885</v>
      </c>
      <c r="V35" s="8">
        <v>7104.1</v>
      </c>
      <c r="W35" s="8">
        <v>44190.9</v>
      </c>
      <c r="X35" s="8"/>
      <c r="Y35" s="8"/>
      <c r="Z35" s="8">
        <v>236093.36</v>
      </c>
      <c r="AA35" s="8">
        <v>463348.2</v>
      </c>
      <c r="AB35" s="8">
        <v>11407.12</v>
      </c>
      <c r="AC35" s="8">
        <v>2303.3500000000004</v>
      </c>
      <c r="AD35" s="8"/>
      <c r="AE35" s="8" t="s">
        <v>46</v>
      </c>
    </row>
    <row r="36" spans="1:31" ht="15.75" customHeight="1" x14ac:dyDescent="0.25">
      <c r="A36" s="11">
        <v>43040</v>
      </c>
      <c r="B36" s="8">
        <v>2017</v>
      </c>
      <c r="C36" s="8">
        <v>11</v>
      </c>
      <c r="D36" s="8">
        <v>31</v>
      </c>
      <c r="E36" s="10">
        <v>7.0000000000000001E-3</v>
      </c>
      <c r="F36" s="8">
        <v>3.2199999999999999E-2</v>
      </c>
      <c r="G36" s="8">
        <v>0.18</v>
      </c>
      <c r="H36" s="8">
        <v>1400</v>
      </c>
      <c r="I36" s="8">
        <v>1400</v>
      </c>
      <c r="J36" s="8">
        <v>1361.6</v>
      </c>
      <c r="K36" s="8">
        <v>1545.6</v>
      </c>
      <c r="L36" s="8"/>
      <c r="M36" s="9"/>
      <c r="N36" s="8">
        <v>10.77</v>
      </c>
      <c r="O36" s="8"/>
      <c r="P36" s="8">
        <v>59442.6</v>
      </c>
      <c r="Q36" s="8">
        <v>488330</v>
      </c>
      <c r="R36" s="8">
        <v>0.43986999999999998</v>
      </c>
      <c r="S36" s="8">
        <v>3.6769999999999997E-2</v>
      </c>
      <c r="T36" s="8">
        <v>0.34899000000000002</v>
      </c>
      <c r="U36" s="8">
        <v>0.22885</v>
      </c>
      <c r="V36" s="8">
        <v>8154.8</v>
      </c>
      <c r="W36" s="8">
        <v>1422.3</v>
      </c>
      <c r="X36" s="8"/>
      <c r="Y36" s="8"/>
      <c r="Z36" s="8">
        <v>260930.32</v>
      </c>
      <c r="AA36" s="8">
        <v>547772.6</v>
      </c>
      <c r="AB36" s="8"/>
      <c r="AC36" s="8">
        <v>24570.26</v>
      </c>
      <c r="AD36" s="8"/>
      <c r="AE36" s="8" t="s">
        <v>46</v>
      </c>
    </row>
    <row r="37" spans="1:31" ht="15.75" customHeight="1" x14ac:dyDescent="0.25">
      <c r="A37" s="11">
        <v>43070</v>
      </c>
      <c r="B37" s="8">
        <v>2017</v>
      </c>
      <c r="C37" s="8">
        <v>12</v>
      </c>
      <c r="D37" s="8">
        <v>32</v>
      </c>
      <c r="E37" s="10">
        <v>8.8000000000000005E-3</v>
      </c>
      <c r="F37" s="8">
        <v>4.07E-2</v>
      </c>
      <c r="G37" s="8">
        <v>0.18</v>
      </c>
      <c r="H37" s="8">
        <v>1400</v>
      </c>
      <c r="I37" s="8">
        <v>1400</v>
      </c>
      <c r="J37" s="8">
        <v>1207.9000000000001</v>
      </c>
      <c r="K37" s="8">
        <v>1427.2</v>
      </c>
      <c r="L37" s="8"/>
      <c r="M37" s="9"/>
      <c r="N37" s="8">
        <v>10.77</v>
      </c>
      <c r="O37" s="8"/>
      <c r="P37" s="8">
        <v>68477.899999999994</v>
      </c>
      <c r="Q37" s="8">
        <v>539184.69999999995</v>
      </c>
      <c r="R37" s="8">
        <v>0.43986999999999998</v>
      </c>
      <c r="S37" s="8">
        <v>3.6769999999999997E-2</v>
      </c>
      <c r="T37" s="8">
        <v>0.34899000000000002</v>
      </c>
      <c r="U37" s="8">
        <v>0.22885</v>
      </c>
      <c r="V37" s="8">
        <v>9838.5</v>
      </c>
      <c r="W37" s="8">
        <v>1323.6</v>
      </c>
      <c r="X37" s="8"/>
      <c r="Y37" s="8"/>
      <c r="Z37" s="8">
        <v>294762.75</v>
      </c>
      <c r="AA37" s="8">
        <v>607662.6</v>
      </c>
      <c r="AB37" s="8"/>
      <c r="AC37" s="8">
        <v>35138.47</v>
      </c>
      <c r="AD37" s="8"/>
      <c r="AE37" s="8" t="s">
        <v>46</v>
      </c>
    </row>
    <row r="38" spans="1:31" ht="15.75" customHeight="1" x14ac:dyDescent="0.25">
      <c r="A38" s="7">
        <v>43101</v>
      </c>
      <c r="B38" s="8">
        <v>2018</v>
      </c>
      <c r="C38" s="8">
        <v>1</v>
      </c>
      <c r="D38" s="8">
        <v>29</v>
      </c>
      <c r="E38" s="8">
        <v>9.1000000000000004E-3</v>
      </c>
      <c r="F38" s="8">
        <v>4.1599999999999998E-2</v>
      </c>
      <c r="G38" s="8">
        <v>0.18</v>
      </c>
      <c r="H38" s="8">
        <v>1400</v>
      </c>
      <c r="I38" s="8">
        <v>1400</v>
      </c>
      <c r="J38" s="8">
        <v>1106.3</v>
      </c>
      <c r="K38" s="8">
        <v>1342.3</v>
      </c>
      <c r="L38" s="8"/>
      <c r="M38" s="9"/>
      <c r="N38" s="8">
        <v>10.77</v>
      </c>
      <c r="O38" s="8"/>
      <c r="P38" s="8">
        <v>46514.8</v>
      </c>
      <c r="Q38" s="8">
        <v>466741.5</v>
      </c>
      <c r="R38" s="8">
        <v>0.43986999999999998</v>
      </c>
      <c r="S38" s="8">
        <v>3.6769999999999997E-2</v>
      </c>
      <c r="T38" s="8">
        <v>0.34899000000000002</v>
      </c>
      <c r="U38" s="8">
        <v>0.22885</v>
      </c>
      <c r="V38" s="8">
        <v>5790.8</v>
      </c>
      <c r="W38" s="8">
        <v>41235.199999999997</v>
      </c>
      <c r="X38" s="8"/>
      <c r="Y38" s="8"/>
      <c r="Z38" s="8">
        <v>217087.98</v>
      </c>
      <c r="AA38" s="8">
        <v>513256.3</v>
      </c>
      <c r="AB38" s="8">
        <v>0</v>
      </c>
      <c r="AC38" s="8">
        <v>15650.72</v>
      </c>
      <c r="AD38" s="8"/>
      <c r="AE38" s="8" t="s">
        <v>46</v>
      </c>
    </row>
    <row r="39" spans="1:31" ht="15.75" customHeight="1" x14ac:dyDescent="0.25">
      <c r="A39" s="7">
        <v>43132</v>
      </c>
      <c r="B39" s="8">
        <v>2018</v>
      </c>
      <c r="C39" s="8">
        <v>2</v>
      </c>
      <c r="D39" s="8">
        <v>30</v>
      </c>
      <c r="E39" s="8">
        <v>1.0699999999999999E-2</v>
      </c>
      <c r="F39" s="8">
        <v>4.9099999999999998E-2</v>
      </c>
      <c r="G39" s="8">
        <v>0.18</v>
      </c>
      <c r="H39" s="8">
        <v>1400</v>
      </c>
      <c r="I39" s="8">
        <v>1400</v>
      </c>
      <c r="J39" s="8">
        <v>939.1</v>
      </c>
      <c r="K39" s="8">
        <v>1191.0999999999999</v>
      </c>
      <c r="L39" s="8"/>
      <c r="M39" s="9"/>
      <c r="N39" s="8">
        <v>10.77</v>
      </c>
      <c r="O39" s="8"/>
      <c r="P39" s="8">
        <v>51952.1</v>
      </c>
      <c r="Q39" s="8">
        <v>478717.7</v>
      </c>
      <c r="R39" s="8">
        <v>0.43986999999999998</v>
      </c>
      <c r="S39" s="8">
        <v>3.6769999999999997E-2</v>
      </c>
      <c r="T39" s="8">
        <v>0.34899000000000002</v>
      </c>
      <c r="U39" s="8">
        <v>0.22885</v>
      </c>
      <c r="V39" s="8">
        <v>5755.7</v>
      </c>
      <c r="W39" s="8">
        <v>42178.9</v>
      </c>
      <c r="X39" s="8"/>
      <c r="Y39" s="8"/>
      <c r="Z39" s="8">
        <v>227330</v>
      </c>
      <c r="AA39" s="8">
        <v>530669.80000000005</v>
      </c>
      <c r="AB39" s="8">
        <v>0</v>
      </c>
      <c r="AC39" s="8"/>
      <c r="AD39" s="8"/>
      <c r="AE39" s="8" t="s">
        <v>46</v>
      </c>
    </row>
    <row r="40" spans="1:31" ht="15.75" customHeight="1" x14ac:dyDescent="0.25">
      <c r="A40" s="7">
        <v>43160</v>
      </c>
      <c r="B40" s="8">
        <v>2018</v>
      </c>
      <c r="C40" s="8">
        <v>3</v>
      </c>
      <c r="D40" s="8">
        <v>28</v>
      </c>
      <c r="E40" s="8">
        <v>1.0200000000000001E-2</v>
      </c>
      <c r="F40" s="8">
        <v>4.6800000000000001E-2</v>
      </c>
      <c r="G40" s="8">
        <v>0.18</v>
      </c>
      <c r="H40" s="8">
        <v>1400</v>
      </c>
      <c r="I40" s="8">
        <v>1400</v>
      </c>
      <c r="J40" s="8">
        <v>1438.1</v>
      </c>
      <c r="K40" s="8">
        <v>1574.2</v>
      </c>
      <c r="L40" s="8"/>
      <c r="M40" s="9"/>
      <c r="N40" s="8">
        <v>10.77</v>
      </c>
      <c r="O40" s="8"/>
      <c r="P40" s="8">
        <v>55441.3</v>
      </c>
      <c r="Q40" s="8">
        <v>480901.1</v>
      </c>
      <c r="R40" s="8">
        <v>0.43986999999999998</v>
      </c>
      <c r="S40" s="8">
        <v>3.6769999999999997E-2</v>
      </c>
      <c r="T40" s="8">
        <v>0.34899000000000002</v>
      </c>
      <c r="U40" s="8">
        <v>0.22885</v>
      </c>
      <c r="V40" s="8">
        <v>8975.2000000000007</v>
      </c>
      <c r="W40" s="8">
        <v>60990.5</v>
      </c>
      <c r="X40" s="8"/>
      <c r="Y40" s="8"/>
      <c r="Z40" s="8">
        <v>237184.3</v>
      </c>
      <c r="AA40" s="8">
        <v>536342.4</v>
      </c>
      <c r="AB40" s="8">
        <v>0</v>
      </c>
      <c r="AC40" s="8"/>
      <c r="AD40" s="8"/>
      <c r="AE40" s="8" t="s">
        <v>46</v>
      </c>
    </row>
    <row r="41" spans="1:31" ht="15.75" customHeight="1" x14ac:dyDescent="0.25">
      <c r="A41" s="7">
        <v>43191</v>
      </c>
      <c r="B41" s="8">
        <v>2018</v>
      </c>
      <c r="C41" s="8">
        <v>4</v>
      </c>
      <c r="D41" s="8">
        <v>32</v>
      </c>
      <c r="E41" s="8">
        <v>8.0000000000000002E-3</v>
      </c>
      <c r="F41" s="8">
        <v>3.7100000000000001E-2</v>
      </c>
      <c r="G41" s="8">
        <v>0.18</v>
      </c>
      <c r="H41" s="8">
        <v>1400</v>
      </c>
      <c r="I41" s="8">
        <v>1400</v>
      </c>
      <c r="J41" s="8">
        <v>1278.5</v>
      </c>
      <c r="K41" s="8">
        <v>1395.2</v>
      </c>
      <c r="L41" s="8"/>
      <c r="M41" s="9"/>
      <c r="N41" s="8">
        <v>10.77</v>
      </c>
      <c r="O41" s="8"/>
      <c r="P41" s="8">
        <v>84936.2</v>
      </c>
      <c r="Q41" s="8">
        <v>629192.69999999995</v>
      </c>
      <c r="R41" s="8">
        <v>0.43986999999999998</v>
      </c>
      <c r="S41" s="8">
        <v>3.6769999999999997E-2</v>
      </c>
      <c r="T41" s="8">
        <v>0.34899000000000002</v>
      </c>
      <c r="U41" s="8">
        <v>0.22885</v>
      </c>
      <c r="V41" s="8">
        <v>17125.099999999999</v>
      </c>
      <c r="W41" s="8">
        <v>99353.8</v>
      </c>
      <c r="X41" s="8"/>
      <c r="Y41" s="8"/>
      <c r="Z41" s="8">
        <v>302834.68</v>
      </c>
      <c r="AA41" s="8">
        <v>714128.9</v>
      </c>
      <c r="AB41" s="8">
        <v>0</v>
      </c>
      <c r="AC41" s="8"/>
      <c r="AD41" s="8"/>
      <c r="AE41" s="8" t="s">
        <v>46</v>
      </c>
    </row>
    <row r="42" spans="1:31" ht="15.75" customHeight="1" x14ac:dyDescent="0.25">
      <c r="A42" s="7">
        <v>43221</v>
      </c>
      <c r="B42" s="8">
        <v>2018</v>
      </c>
      <c r="C42" s="8">
        <v>5</v>
      </c>
      <c r="D42" s="8">
        <v>30</v>
      </c>
      <c r="E42" s="8">
        <v>8.9999999999999993E-3</v>
      </c>
      <c r="F42" s="8">
        <v>4.1200000000000001E-2</v>
      </c>
      <c r="G42" s="8">
        <v>0.18</v>
      </c>
      <c r="H42" s="8">
        <v>1400</v>
      </c>
      <c r="I42" s="8">
        <v>1400</v>
      </c>
      <c r="J42" s="8">
        <v>1370</v>
      </c>
      <c r="K42" s="8">
        <v>1450.7</v>
      </c>
      <c r="L42" s="8"/>
      <c r="M42" s="9"/>
      <c r="N42" s="8">
        <v>10.77</v>
      </c>
      <c r="O42" s="8"/>
      <c r="P42" s="8">
        <v>67031.8</v>
      </c>
      <c r="Q42" s="8">
        <v>519119.5</v>
      </c>
      <c r="R42" s="8">
        <v>0.43986999999999998</v>
      </c>
      <c r="S42" s="8">
        <v>3.6769999999999997E-2</v>
      </c>
      <c r="T42" s="8">
        <v>0.34899000000000002</v>
      </c>
      <c r="U42" s="8">
        <v>0.22885</v>
      </c>
      <c r="V42" s="8">
        <v>11008.6</v>
      </c>
      <c r="W42" s="8">
        <v>66379.100000000006</v>
      </c>
      <c r="X42" s="8"/>
      <c r="Y42" s="8"/>
      <c r="Z42" s="8">
        <v>253189.61</v>
      </c>
      <c r="AA42" s="8">
        <v>586151.30000000005</v>
      </c>
      <c r="AB42" s="8">
        <v>723.2</v>
      </c>
      <c r="AC42" s="8"/>
      <c r="AD42" s="8"/>
      <c r="AE42" s="8" t="s">
        <v>46</v>
      </c>
    </row>
    <row r="43" spans="1:31" ht="15.75" customHeight="1" x14ac:dyDescent="0.25">
      <c r="A43" s="7">
        <v>43252</v>
      </c>
      <c r="B43" s="8">
        <v>2018</v>
      </c>
      <c r="C43" s="8">
        <v>6</v>
      </c>
      <c r="D43" s="8">
        <v>32</v>
      </c>
      <c r="E43" s="8">
        <v>5.7999999999999996E-3</v>
      </c>
      <c r="F43" s="8">
        <v>2.69E-2</v>
      </c>
      <c r="G43" s="8">
        <v>0.18</v>
      </c>
      <c r="H43" s="8">
        <v>1400</v>
      </c>
      <c r="I43" s="8">
        <v>1400</v>
      </c>
      <c r="J43" s="8">
        <v>1199.5</v>
      </c>
      <c r="K43" s="8">
        <v>1238.2</v>
      </c>
      <c r="L43" s="8"/>
      <c r="M43" s="9"/>
      <c r="N43" s="8">
        <v>10.77</v>
      </c>
      <c r="O43" s="8"/>
      <c r="P43" s="8">
        <v>60678</v>
      </c>
      <c r="Q43" s="8">
        <v>467907.5</v>
      </c>
      <c r="R43" s="8">
        <v>0.43986999999999998</v>
      </c>
      <c r="S43" s="8">
        <v>3.6769999999999997E-2</v>
      </c>
      <c r="T43" s="8">
        <v>0.34899000000000002</v>
      </c>
      <c r="U43" s="8">
        <v>0.22885</v>
      </c>
      <c r="V43" s="8">
        <v>6878.8</v>
      </c>
      <c r="W43" s="8">
        <v>39115.699999999997</v>
      </c>
      <c r="X43" s="8"/>
      <c r="Y43" s="8"/>
      <c r="Z43" s="8">
        <v>232041.39</v>
      </c>
      <c r="AA43" s="8">
        <v>528585.5</v>
      </c>
      <c r="AB43" s="8">
        <v>6039.03</v>
      </c>
      <c r="AC43" s="8">
        <v>2276.56</v>
      </c>
      <c r="AD43" s="8"/>
      <c r="AE43" s="8" t="s">
        <v>46</v>
      </c>
    </row>
    <row r="44" spans="1:31" ht="15.75" customHeight="1" x14ac:dyDescent="0.25">
      <c r="A44" s="7">
        <v>43282</v>
      </c>
      <c r="B44" s="8">
        <v>2018</v>
      </c>
      <c r="C44" s="8">
        <v>7</v>
      </c>
      <c r="D44" s="8">
        <v>29</v>
      </c>
      <c r="E44" s="8">
        <v>6.3E-3</v>
      </c>
      <c r="F44" s="8">
        <v>2.92E-2</v>
      </c>
      <c r="G44" s="8">
        <v>0.18</v>
      </c>
      <c r="H44" s="8">
        <v>1400</v>
      </c>
      <c r="I44" s="8">
        <v>1400</v>
      </c>
      <c r="J44" s="8">
        <v>1180.2</v>
      </c>
      <c r="K44" s="8">
        <v>1176</v>
      </c>
      <c r="L44" s="8"/>
      <c r="M44" s="9"/>
      <c r="N44" s="8">
        <v>10.77</v>
      </c>
      <c r="O44" s="8"/>
      <c r="P44" s="8">
        <v>60880.1</v>
      </c>
      <c r="Q44" s="8">
        <v>431640.8</v>
      </c>
      <c r="R44" s="8">
        <v>0.43986999999999998</v>
      </c>
      <c r="S44" s="8">
        <v>3.6769999999999997E-2</v>
      </c>
      <c r="T44" s="8">
        <v>0.34899000000000002</v>
      </c>
      <c r="U44" s="8">
        <v>0.22885</v>
      </c>
      <c r="V44" s="8">
        <v>5293.1</v>
      </c>
      <c r="W44" s="8">
        <v>27310.3</v>
      </c>
      <c r="X44" s="8"/>
      <c r="Y44" s="8"/>
      <c r="Z44" s="8">
        <v>242930.02</v>
      </c>
      <c r="AA44" s="8">
        <v>492520.9</v>
      </c>
      <c r="AB44" s="8"/>
      <c r="AC44" s="8">
        <v>30270.36</v>
      </c>
      <c r="AD44" s="8"/>
      <c r="AE44" s="8" t="s">
        <v>46</v>
      </c>
    </row>
    <row r="45" spans="1:31" ht="15.75" customHeight="1" x14ac:dyDescent="0.25">
      <c r="A45" s="7">
        <v>43313</v>
      </c>
      <c r="B45" s="8">
        <v>2018</v>
      </c>
      <c r="C45" s="8">
        <v>8</v>
      </c>
      <c r="D45" s="8">
        <v>31</v>
      </c>
      <c r="E45" s="8">
        <v>5.8999999999999999E-3</v>
      </c>
      <c r="F45" s="8">
        <v>2.7199999999999998E-2</v>
      </c>
      <c r="G45" s="8">
        <v>0.18</v>
      </c>
      <c r="H45" s="8">
        <v>1400</v>
      </c>
      <c r="I45" s="8">
        <v>1400</v>
      </c>
      <c r="J45" s="8">
        <v>1160.9000000000001</v>
      </c>
      <c r="K45" s="8">
        <v>1186.9000000000001</v>
      </c>
      <c r="L45" s="8"/>
      <c r="M45" s="9"/>
      <c r="N45" s="8">
        <v>11.17</v>
      </c>
      <c r="O45" s="8"/>
      <c r="P45" s="8">
        <v>62498.7</v>
      </c>
      <c r="Q45" s="8">
        <v>442960.1</v>
      </c>
      <c r="R45" s="8">
        <v>0.47503000000000001</v>
      </c>
      <c r="S45" s="8">
        <v>5.7279999999999998E-2</v>
      </c>
      <c r="T45" s="8">
        <v>0.41154000000000002</v>
      </c>
      <c r="U45" s="8">
        <v>0.25807999999999998</v>
      </c>
      <c r="V45" s="8">
        <v>6362.6</v>
      </c>
      <c r="W45" s="8">
        <v>36031.599999999999</v>
      </c>
      <c r="X45" s="8"/>
      <c r="Y45" s="8"/>
      <c r="Z45" s="8">
        <v>282517.84999999998</v>
      </c>
      <c r="AA45" s="8">
        <v>505458.8</v>
      </c>
      <c r="AB45" s="8"/>
      <c r="AC45" s="8">
        <v>31054</v>
      </c>
      <c r="AD45" s="8"/>
      <c r="AE45" s="8" t="s">
        <v>46</v>
      </c>
    </row>
    <row r="46" spans="1:31" ht="15.75" customHeight="1" x14ac:dyDescent="0.25">
      <c r="A46" s="7">
        <v>43344</v>
      </c>
      <c r="B46" s="8">
        <v>2018</v>
      </c>
      <c r="C46" s="8">
        <v>9</v>
      </c>
      <c r="D46" s="8">
        <v>32</v>
      </c>
      <c r="E46" s="8">
        <v>8.9999999999999993E-3</v>
      </c>
      <c r="F46" s="8">
        <v>4.1399999999999999E-2</v>
      </c>
      <c r="G46" s="8">
        <v>0.18</v>
      </c>
      <c r="H46" s="8">
        <v>1400</v>
      </c>
      <c r="I46" s="8">
        <v>1400</v>
      </c>
      <c r="J46" s="8">
        <v>1087.8</v>
      </c>
      <c r="K46" s="8">
        <v>1116.4000000000001</v>
      </c>
      <c r="L46" s="8"/>
      <c r="M46" s="9"/>
      <c r="N46" s="8">
        <v>11.17</v>
      </c>
      <c r="O46" s="8"/>
      <c r="P46" s="8">
        <v>58810.3</v>
      </c>
      <c r="Q46" s="8">
        <v>438786.6</v>
      </c>
      <c r="R46" s="8">
        <v>0.47503000000000001</v>
      </c>
      <c r="S46" s="8">
        <v>5.7279999999999998E-2</v>
      </c>
      <c r="T46" s="8">
        <v>0.41154000000000002</v>
      </c>
      <c r="U46" s="8">
        <v>0.25807999999999998</v>
      </c>
      <c r="V46" s="8">
        <v>4196.3999999999996</v>
      </c>
      <c r="W46" s="8">
        <v>27751.1</v>
      </c>
      <c r="X46" s="8"/>
      <c r="Y46" s="8"/>
      <c r="Z46" s="8">
        <v>282682.28000000003</v>
      </c>
      <c r="AA46" s="8">
        <v>497596.9</v>
      </c>
      <c r="AB46" s="8"/>
      <c r="AC46" s="8">
        <v>30698.92</v>
      </c>
      <c r="AD46" s="8"/>
      <c r="AE46" s="8" t="s">
        <v>46</v>
      </c>
    </row>
    <row r="47" spans="1:31" ht="15.75" customHeight="1" x14ac:dyDescent="0.25">
      <c r="A47" s="7">
        <v>43374</v>
      </c>
      <c r="B47" s="8">
        <v>2018</v>
      </c>
      <c r="C47" s="8">
        <v>10</v>
      </c>
      <c r="D47" s="8">
        <v>29</v>
      </c>
      <c r="E47" s="8">
        <v>9.2999999999999992E-3</v>
      </c>
      <c r="F47" s="8">
        <v>4.2599999999999999E-2</v>
      </c>
      <c r="G47" s="8">
        <v>0.18</v>
      </c>
      <c r="H47" s="8">
        <v>1400</v>
      </c>
      <c r="I47" s="8">
        <v>1400</v>
      </c>
      <c r="J47" s="8">
        <v>1310.4000000000001</v>
      </c>
      <c r="K47" s="8">
        <v>1423.8</v>
      </c>
      <c r="L47" s="8"/>
      <c r="M47" s="9"/>
      <c r="N47" s="8">
        <v>11.17</v>
      </c>
      <c r="O47" s="8"/>
      <c r="P47" s="8">
        <v>67688.5</v>
      </c>
      <c r="Q47" s="8">
        <v>498665.6</v>
      </c>
      <c r="R47" s="8">
        <v>0.47503000000000001</v>
      </c>
      <c r="S47" s="8">
        <v>5.7279999999999998E-2</v>
      </c>
      <c r="T47" s="8">
        <v>0.41154000000000002</v>
      </c>
      <c r="U47" s="8">
        <v>0.25807999999999998</v>
      </c>
      <c r="V47" s="8">
        <v>7754</v>
      </c>
      <c r="W47" s="8">
        <v>40195.1</v>
      </c>
      <c r="X47" s="8"/>
      <c r="Y47" s="8"/>
      <c r="Z47" s="8">
        <v>320561.5</v>
      </c>
      <c r="AA47" s="8">
        <v>566354.1</v>
      </c>
      <c r="AB47" s="8"/>
      <c r="AC47" s="8">
        <v>34953.78</v>
      </c>
      <c r="AD47" s="8"/>
      <c r="AE47" s="8" t="s">
        <v>46</v>
      </c>
    </row>
    <row r="48" spans="1:31" ht="15.75" customHeight="1" x14ac:dyDescent="0.25">
      <c r="A48" s="7">
        <v>43405</v>
      </c>
      <c r="B48" s="8">
        <v>2018</v>
      </c>
      <c r="C48" s="8">
        <v>11</v>
      </c>
      <c r="D48" s="8">
        <v>33</v>
      </c>
      <c r="E48" s="8">
        <v>8.5000000000000006E-3</v>
      </c>
      <c r="F48" s="8">
        <v>3.9399999999999998E-2</v>
      </c>
      <c r="G48" s="8">
        <v>0.18</v>
      </c>
      <c r="H48" s="8">
        <v>1400</v>
      </c>
      <c r="I48" s="8">
        <v>1400</v>
      </c>
      <c r="J48" s="8">
        <v>1005.5</v>
      </c>
      <c r="K48" s="8">
        <v>1101.2</v>
      </c>
      <c r="L48" s="8"/>
      <c r="M48" s="9"/>
      <c r="N48" s="8">
        <v>11.17</v>
      </c>
      <c r="O48" s="8"/>
      <c r="P48" s="8">
        <v>65275.6</v>
      </c>
      <c r="Q48" s="8">
        <v>503420</v>
      </c>
      <c r="R48" s="8">
        <v>0.47503000000000001</v>
      </c>
      <c r="S48" s="8">
        <v>5.7279999999999998E-2</v>
      </c>
      <c r="T48" s="8">
        <v>0.41154000000000002</v>
      </c>
      <c r="U48" s="8">
        <v>0.25807999999999998</v>
      </c>
      <c r="V48" s="8">
        <v>7544.9</v>
      </c>
      <c r="W48" s="8">
        <v>44122.3</v>
      </c>
      <c r="X48" s="8"/>
      <c r="Y48" s="8"/>
      <c r="Z48" s="8">
        <v>313746.3</v>
      </c>
      <c r="AA48" s="8">
        <v>568695.6</v>
      </c>
      <c r="AB48" s="8">
        <v>1062.52</v>
      </c>
      <c r="AC48" s="8">
        <v>29751.07</v>
      </c>
      <c r="AD48" s="8"/>
      <c r="AE48" s="8" t="s">
        <v>46</v>
      </c>
    </row>
    <row r="49" spans="1:31" ht="15.75" customHeight="1" x14ac:dyDescent="0.25">
      <c r="A49" s="7">
        <v>43435</v>
      </c>
      <c r="B49" s="8">
        <v>2018</v>
      </c>
      <c r="C49" s="8">
        <v>12</v>
      </c>
      <c r="D49" s="8">
        <v>29</v>
      </c>
      <c r="E49" s="8">
        <v>1.0800000000000001E-2</v>
      </c>
      <c r="F49" s="8">
        <v>4.9599999999999998E-2</v>
      </c>
      <c r="G49" s="8">
        <v>0.18</v>
      </c>
      <c r="H49" s="8">
        <v>1400</v>
      </c>
      <c r="I49" s="8">
        <v>1400</v>
      </c>
      <c r="J49" s="8">
        <v>1283.5</v>
      </c>
      <c r="K49" s="8">
        <v>1533.8</v>
      </c>
      <c r="L49" s="8"/>
      <c r="M49" s="9"/>
      <c r="N49" s="8">
        <v>11.17</v>
      </c>
      <c r="O49" s="8"/>
      <c r="P49" s="8">
        <v>12479.8</v>
      </c>
      <c r="Q49" s="8">
        <v>446821.8</v>
      </c>
      <c r="R49" s="8">
        <v>0.47503000000000001</v>
      </c>
      <c r="S49" s="8">
        <v>5.7279999999999998E-2</v>
      </c>
      <c r="T49" s="8">
        <v>0.41154000000000002</v>
      </c>
      <c r="U49" s="8">
        <v>0.25807999999999998</v>
      </c>
      <c r="V49" s="8">
        <v>8924.7999999999993</v>
      </c>
      <c r="W49" s="8">
        <v>56475.1</v>
      </c>
      <c r="X49" s="8"/>
      <c r="Y49" s="8"/>
      <c r="Z49" s="8">
        <v>266194.02</v>
      </c>
      <c r="AA49" s="8">
        <v>459301.6</v>
      </c>
      <c r="AB49" s="8">
        <v>5358.41</v>
      </c>
      <c r="AC49" s="8"/>
      <c r="AD49" s="8"/>
      <c r="AE49" s="8" t="s">
        <v>46</v>
      </c>
    </row>
    <row r="50" spans="1:31" ht="15.75" customHeight="1" x14ac:dyDescent="0.25">
      <c r="A50" s="7">
        <v>43466</v>
      </c>
      <c r="B50" s="8">
        <v>2019</v>
      </c>
      <c r="C50" s="8">
        <v>1</v>
      </c>
      <c r="D50" s="8">
        <v>30</v>
      </c>
      <c r="E50" s="8">
        <v>1.0800000000000001E-2</v>
      </c>
      <c r="F50" s="8">
        <v>4.9599999999999998E-2</v>
      </c>
      <c r="G50" s="8">
        <v>0.18</v>
      </c>
      <c r="H50" s="8">
        <v>1400</v>
      </c>
      <c r="I50" s="8">
        <v>1400</v>
      </c>
      <c r="J50" s="8">
        <v>1258.3</v>
      </c>
      <c r="K50" s="8">
        <v>1559.9</v>
      </c>
      <c r="L50" s="8"/>
      <c r="M50" s="9"/>
      <c r="N50" s="8">
        <v>11.17</v>
      </c>
      <c r="O50" s="8"/>
      <c r="P50" s="8">
        <v>48326.7</v>
      </c>
      <c r="Q50" s="8">
        <v>452707.1</v>
      </c>
      <c r="R50" s="8">
        <v>0.47503000000000001</v>
      </c>
      <c r="S50" s="8">
        <v>5.7279999999999998E-2</v>
      </c>
      <c r="T50" s="8">
        <v>0.41154000000000002</v>
      </c>
      <c r="U50" s="8">
        <v>0.25807999999999998</v>
      </c>
      <c r="V50" s="8">
        <v>10608.2</v>
      </c>
      <c r="W50" s="8">
        <f>74001.9+0</f>
        <v>74001.899999999994</v>
      </c>
      <c r="X50" s="8"/>
      <c r="Y50" s="8"/>
      <c r="Z50" s="8">
        <v>253859.49</v>
      </c>
      <c r="AA50" s="8">
        <f t="shared" ref="AA50:AA61" si="1">P50+Q50</f>
        <v>501033.8</v>
      </c>
      <c r="AB50" s="8">
        <v>0</v>
      </c>
      <c r="AC50" s="8">
        <v>0</v>
      </c>
      <c r="AD50" s="8">
        <v>0</v>
      </c>
      <c r="AE50" s="8" t="s">
        <v>46</v>
      </c>
    </row>
    <row r="51" spans="1:31" ht="15.75" customHeight="1" x14ac:dyDescent="0.25">
      <c r="A51" s="7">
        <v>43497</v>
      </c>
      <c r="B51" s="8">
        <v>2019</v>
      </c>
      <c r="C51" s="8">
        <v>2</v>
      </c>
      <c r="D51" s="8">
        <v>32</v>
      </c>
      <c r="E51" s="8">
        <v>9.5999999999999992E-3</v>
      </c>
      <c r="F51" s="10">
        <v>4.3999999999999997E-2</v>
      </c>
      <c r="G51" s="8">
        <v>0.18</v>
      </c>
      <c r="H51" s="8">
        <v>1400</v>
      </c>
      <c r="I51" s="8">
        <v>1400</v>
      </c>
      <c r="J51" s="8">
        <v>0</v>
      </c>
      <c r="K51" s="8">
        <v>1039.9000000000001</v>
      </c>
      <c r="L51" s="8"/>
      <c r="M51" s="9"/>
      <c r="N51" s="8">
        <v>11.17</v>
      </c>
      <c r="O51" s="8"/>
      <c r="P51" s="8">
        <v>61923.1</v>
      </c>
      <c r="Q51" s="8">
        <v>561112.4</v>
      </c>
      <c r="R51" s="8">
        <v>0.47503000000000001</v>
      </c>
      <c r="S51" s="8">
        <v>5.7279999999999998E-2</v>
      </c>
      <c r="T51" s="8">
        <v>0.41154000000000002</v>
      </c>
      <c r="U51" s="8">
        <v>0.25807999999999998</v>
      </c>
      <c r="V51" s="8">
        <v>14563.7</v>
      </c>
      <c r="W51" s="8">
        <f>99169.8+0</f>
        <v>99169.8</v>
      </c>
      <c r="X51" s="8"/>
      <c r="Y51" s="8"/>
      <c r="Z51" s="8">
        <v>306528.99</v>
      </c>
      <c r="AA51" s="8">
        <f t="shared" si="1"/>
        <v>623035.5</v>
      </c>
      <c r="AB51" s="8">
        <v>0</v>
      </c>
      <c r="AC51" s="8">
        <v>0</v>
      </c>
      <c r="AD51" s="8">
        <v>0</v>
      </c>
      <c r="AE51" s="8" t="s">
        <v>46</v>
      </c>
    </row>
    <row r="52" spans="1:31" ht="15.75" customHeight="1" x14ac:dyDescent="0.25">
      <c r="A52" s="7">
        <v>43525</v>
      </c>
      <c r="B52" s="8">
        <v>2019</v>
      </c>
      <c r="C52" s="8">
        <v>3</v>
      </c>
      <c r="D52" s="8">
        <v>30</v>
      </c>
      <c r="E52" s="8">
        <v>1.11E-2</v>
      </c>
      <c r="F52" s="10">
        <v>5.0999999999999997E-2</v>
      </c>
      <c r="G52" s="8">
        <v>0.18</v>
      </c>
      <c r="H52" s="8">
        <v>1400</v>
      </c>
      <c r="I52" s="8">
        <v>1400</v>
      </c>
      <c r="J52" s="8">
        <v>0</v>
      </c>
      <c r="K52" s="8">
        <v>1425.5</v>
      </c>
      <c r="L52" s="8"/>
      <c r="M52" s="9"/>
      <c r="N52" s="8">
        <v>11.17</v>
      </c>
      <c r="O52" s="8"/>
      <c r="P52" s="8">
        <v>67196</v>
      </c>
      <c r="Q52" s="8">
        <v>524148.7</v>
      </c>
      <c r="R52" s="8">
        <v>0.47503000000000001</v>
      </c>
      <c r="S52" s="8">
        <v>5.7279999999999998E-2</v>
      </c>
      <c r="T52" s="8">
        <v>0.41154000000000002</v>
      </c>
      <c r="U52" s="8">
        <v>0.25807999999999998</v>
      </c>
      <c r="V52" s="8">
        <v>15316.4</v>
      </c>
      <c r="W52" s="8">
        <v>90817.4</v>
      </c>
      <c r="X52" s="8"/>
      <c r="Y52" s="8"/>
      <c r="Z52" s="8">
        <v>297435.84999999998</v>
      </c>
      <c r="AA52" s="8">
        <f t="shared" si="1"/>
        <v>591344.69999999995</v>
      </c>
      <c r="AB52" s="8">
        <v>0</v>
      </c>
      <c r="AC52" s="8">
        <v>0</v>
      </c>
      <c r="AD52" s="8">
        <v>0</v>
      </c>
      <c r="AE52" s="8" t="s">
        <v>46</v>
      </c>
    </row>
    <row r="53" spans="1:31" ht="15.75" customHeight="1" x14ac:dyDescent="0.25">
      <c r="A53" s="7">
        <v>43556</v>
      </c>
      <c r="B53" s="8">
        <v>2019</v>
      </c>
      <c r="C53" s="8">
        <v>4</v>
      </c>
      <c r="D53" s="8">
        <v>29</v>
      </c>
      <c r="E53" s="8">
        <v>1.0200000000000001E-2</v>
      </c>
      <c r="F53" s="8">
        <v>4.7199999999999999E-2</v>
      </c>
      <c r="G53" s="8">
        <v>0.18</v>
      </c>
      <c r="H53" s="8">
        <v>1400</v>
      </c>
      <c r="I53" s="8">
        <v>1400</v>
      </c>
      <c r="J53" s="8">
        <v>1464.1</v>
      </c>
      <c r="K53" s="8">
        <v>1664</v>
      </c>
      <c r="L53" s="8"/>
      <c r="M53" s="9"/>
      <c r="N53" s="8">
        <v>11.17</v>
      </c>
      <c r="O53" s="8"/>
      <c r="P53" s="8">
        <v>77599</v>
      </c>
      <c r="Q53" s="8">
        <v>551728.6</v>
      </c>
      <c r="R53" s="8">
        <v>0.47503000000000001</v>
      </c>
      <c r="S53" s="8">
        <v>5.7279999999999998E-2</v>
      </c>
      <c r="T53" s="8">
        <v>0.41154000000000002</v>
      </c>
      <c r="U53" s="8">
        <v>0.25807999999999998</v>
      </c>
      <c r="V53" s="8">
        <v>16471.099999999999</v>
      </c>
      <c r="W53" s="8">
        <v>93475.4</v>
      </c>
      <c r="X53" s="8"/>
      <c r="Y53" s="8"/>
      <c r="Z53" s="8">
        <v>322952.25</v>
      </c>
      <c r="AA53" s="8">
        <f t="shared" si="1"/>
        <v>629327.6</v>
      </c>
      <c r="AB53" s="8">
        <v>0</v>
      </c>
      <c r="AC53" s="8">
        <v>0</v>
      </c>
      <c r="AD53" s="8">
        <v>0</v>
      </c>
      <c r="AE53" s="8" t="s">
        <v>46</v>
      </c>
    </row>
    <row r="54" spans="1:31" ht="15.75" customHeight="1" x14ac:dyDescent="0.25">
      <c r="A54" s="7">
        <v>43586</v>
      </c>
      <c r="B54" s="8">
        <v>2019</v>
      </c>
      <c r="C54" s="8">
        <v>5</v>
      </c>
      <c r="D54" s="8">
        <v>32</v>
      </c>
      <c r="E54" s="8">
        <v>7.3000000000000001E-3</v>
      </c>
      <c r="F54" s="8">
        <v>3.3399999999999999E-2</v>
      </c>
      <c r="G54" s="8">
        <v>0.18</v>
      </c>
      <c r="H54" s="8">
        <v>1400</v>
      </c>
      <c r="I54" s="8">
        <v>1400</v>
      </c>
      <c r="J54" s="8">
        <v>1411.2</v>
      </c>
      <c r="K54" s="8">
        <v>1533</v>
      </c>
      <c r="L54" s="8"/>
      <c r="M54" s="9"/>
      <c r="N54" s="8">
        <v>11.17</v>
      </c>
      <c r="O54" s="8"/>
      <c r="P54" s="8">
        <v>68075.5</v>
      </c>
      <c r="Q54" s="8">
        <v>531769.1</v>
      </c>
      <c r="R54" s="8">
        <v>0.47503000000000001</v>
      </c>
      <c r="S54" s="8">
        <v>5.7279999999999998E-2</v>
      </c>
      <c r="T54" s="8">
        <v>0.41154000000000002</v>
      </c>
      <c r="U54" s="8">
        <v>0.25807999999999998</v>
      </c>
      <c r="V54" s="8">
        <v>13048.8</v>
      </c>
      <c r="W54" s="8">
        <v>77461.899999999994</v>
      </c>
      <c r="X54" s="8"/>
      <c r="Y54" s="8"/>
      <c r="Z54" s="8">
        <v>303892.33</v>
      </c>
      <c r="AA54" s="8">
        <f t="shared" si="1"/>
        <v>599844.6</v>
      </c>
      <c r="AB54" s="8">
        <f>1229.4+157.39</f>
        <v>1386.79</v>
      </c>
      <c r="AC54" s="8">
        <v>0</v>
      </c>
      <c r="AD54" s="8">
        <v>0</v>
      </c>
      <c r="AE54" s="8" t="s">
        <v>46</v>
      </c>
    </row>
    <row r="55" spans="1:31" ht="15.75" customHeight="1" x14ac:dyDescent="0.25">
      <c r="A55" s="7">
        <v>43617</v>
      </c>
      <c r="B55" s="8">
        <v>2019</v>
      </c>
      <c r="C55" s="8">
        <v>6</v>
      </c>
      <c r="D55" s="8">
        <v>29</v>
      </c>
      <c r="E55" s="8">
        <v>8.5000000000000006E-3</v>
      </c>
      <c r="F55" s="8">
        <v>3.9100000000000003E-2</v>
      </c>
      <c r="G55" s="8">
        <v>0.18</v>
      </c>
      <c r="H55" s="8">
        <v>1400</v>
      </c>
      <c r="I55" s="8">
        <v>1400</v>
      </c>
      <c r="J55" s="8">
        <v>1181</v>
      </c>
      <c r="K55" s="8">
        <v>1281</v>
      </c>
      <c r="L55" s="8"/>
      <c r="M55" s="9"/>
      <c r="N55" s="8">
        <v>11.17</v>
      </c>
      <c r="O55" s="8"/>
      <c r="P55" s="8">
        <v>57229.4</v>
      </c>
      <c r="Q55" s="8">
        <v>433761.3</v>
      </c>
      <c r="R55" s="8">
        <v>0.47503000000000001</v>
      </c>
      <c r="S55" s="8">
        <v>5.7279999999999998E-2</v>
      </c>
      <c r="T55" s="8">
        <v>0.41154000000000002</v>
      </c>
      <c r="U55" s="8">
        <v>0.25807999999999998</v>
      </c>
      <c r="V55" s="8">
        <v>7467.8</v>
      </c>
      <c r="W55" s="8">
        <v>44050.7</v>
      </c>
      <c r="X55" s="8"/>
      <c r="Y55" s="8"/>
      <c r="Z55" s="8">
        <v>253860.52</v>
      </c>
      <c r="AA55" s="8">
        <f t="shared" si="1"/>
        <v>490990.7</v>
      </c>
      <c r="AB55" s="8">
        <f>4615.26+608.92</f>
        <v>5224.18</v>
      </c>
      <c r="AC55" s="8">
        <v>0</v>
      </c>
      <c r="AD55" s="8">
        <v>0</v>
      </c>
      <c r="AE55" s="8" t="s">
        <v>46</v>
      </c>
    </row>
    <row r="56" spans="1:31" ht="15.75" customHeight="1" x14ac:dyDescent="0.25">
      <c r="A56" s="7">
        <v>43647</v>
      </c>
      <c r="B56" s="8">
        <v>2019</v>
      </c>
      <c r="C56" s="8">
        <v>7</v>
      </c>
      <c r="D56" s="8">
        <v>28</v>
      </c>
      <c r="E56" s="8">
        <v>9.1999999999999998E-3</v>
      </c>
      <c r="F56" s="8">
        <v>4.24E-2</v>
      </c>
      <c r="G56" s="8">
        <v>0.18</v>
      </c>
      <c r="H56" s="8">
        <v>1400</v>
      </c>
      <c r="I56" s="8">
        <v>1400</v>
      </c>
      <c r="J56" s="8">
        <v>1134.8</v>
      </c>
      <c r="K56" s="8">
        <v>1175.2</v>
      </c>
      <c r="L56" s="8"/>
      <c r="M56" s="9"/>
      <c r="N56" s="8">
        <v>11.17</v>
      </c>
      <c r="O56" s="8"/>
      <c r="P56" s="8">
        <v>54180.2</v>
      </c>
      <c r="Q56" s="8">
        <v>405040.2</v>
      </c>
      <c r="R56" s="8">
        <v>0.47503000000000001</v>
      </c>
      <c r="S56" s="8">
        <v>5.7279999999999998E-2</v>
      </c>
      <c r="T56" s="8">
        <v>0.41154000000000002</v>
      </c>
      <c r="U56" s="8">
        <v>0.25807999999999998</v>
      </c>
      <c r="V56" s="8">
        <v>5559.3</v>
      </c>
      <c r="W56" s="8">
        <v>33415.4</v>
      </c>
      <c r="X56" s="8"/>
      <c r="Y56" s="8"/>
      <c r="Z56" s="8">
        <v>235724.1</v>
      </c>
      <c r="AA56" s="8">
        <f t="shared" si="1"/>
        <v>459220.4</v>
      </c>
      <c r="AB56" s="8">
        <f>536.12+71.71</f>
        <v>607.83000000000004</v>
      </c>
      <c r="AC56" s="8">
        <v>0</v>
      </c>
      <c r="AD56" s="8">
        <v>0</v>
      </c>
      <c r="AE56" s="8" t="s">
        <v>46</v>
      </c>
    </row>
    <row r="57" spans="1:31" ht="15.75" customHeight="1" x14ac:dyDescent="0.25">
      <c r="A57" s="7">
        <v>43678</v>
      </c>
      <c r="B57" s="8">
        <v>2019</v>
      </c>
      <c r="C57" s="8">
        <v>8</v>
      </c>
      <c r="D57" s="8">
        <v>31</v>
      </c>
      <c r="E57" s="8">
        <v>9.9000000000000008E-3</v>
      </c>
      <c r="F57" s="8">
        <v>4.5400000000000003E-2</v>
      </c>
      <c r="G57" s="8">
        <v>0.18</v>
      </c>
      <c r="H57" s="8">
        <v>1400</v>
      </c>
      <c r="I57" s="8">
        <v>1400</v>
      </c>
      <c r="J57" s="8">
        <v>0</v>
      </c>
      <c r="K57" s="8">
        <v>946.7</v>
      </c>
      <c r="L57" s="8"/>
      <c r="M57" s="9"/>
      <c r="N57" s="8">
        <v>12.90226</v>
      </c>
      <c r="O57" s="8"/>
      <c r="P57" s="8">
        <v>55910.8</v>
      </c>
      <c r="Q57" s="8">
        <v>415130.3</v>
      </c>
      <c r="R57" s="8">
        <v>0.55945999999999996</v>
      </c>
      <c r="S57" s="8">
        <v>7.5029999999999999E-2</v>
      </c>
      <c r="T57" s="8">
        <v>0.40514</v>
      </c>
      <c r="U57" s="8">
        <v>0.24284</v>
      </c>
      <c r="V57" s="8">
        <v>3654.6</v>
      </c>
      <c r="W57" s="8">
        <v>27306.3</v>
      </c>
      <c r="X57" s="8"/>
      <c r="Y57" s="8"/>
      <c r="Z57" s="8">
        <v>259244.7</v>
      </c>
      <c r="AA57" s="8">
        <f t="shared" si="1"/>
        <v>471041.1</v>
      </c>
      <c r="AB57" s="8">
        <f>7195.47+969.1</f>
        <v>8164.5700000000006</v>
      </c>
      <c r="AC57" s="8">
        <f>1323.31+178.22</f>
        <v>1501.53</v>
      </c>
      <c r="AD57" s="8">
        <v>0</v>
      </c>
      <c r="AE57" s="8" t="s">
        <v>46</v>
      </c>
    </row>
    <row r="58" spans="1:31" ht="15.75" customHeight="1" x14ac:dyDescent="0.25">
      <c r="A58" s="7">
        <v>43709</v>
      </c>
      <c r="B58" s="8">
        <v>2019</v>
      </c>
      <c r="C58" s="8">
        <v>9</v>
      </c>
      <c r="D58" s="8">
        <v>32</v>
      </c>
      <c r="E58" s="8">
        <v>9.7999999999999997E-3</v>
      </c>
      <c r="F58" s="8">
        <v>4.4999999999999998E-2</v>
      </c>
      <c r="G58" s="8">
        <v>0.18</v>
      </c>
      <c r="H58" s="8">
        <v>1400</v>
      </c>
      <c r="I58" s="8">
        <v>1400</v>
      </c>
      <c r="J58" s="8">
        <v>1011.4</v>
      </c>
      <c r="K58" s="8">
        <v>1097</v>
      </c>
      <c r="L58" s="8"/>
      <c r="M58" s="9"/>
      <c r="N58" s="8">
        <v>12.96</v>
      </c>
      <c r="O58" s="8"/>
      <c r="P58" s="8">
        <v>27610.1</v>
      </c>
      <c r="Q58" s="8">
        <v>420541</v>
      </c>
      <c r="R58" s="8">
        <v>0.56227000000000005</v>
      </c>
      <c r="S58" s="8">
        <v>7.5620000000000007E-2</v>
      </c>
      <c r="T58" s="8">
        <v>0.40493000000000001</v>
      </c>
      <c r="U58" s="8">
        <v>0.24232999999999999</v>
      </c>
      <c r="V58" s="8">
        <v>2291.5</v>
      </c>
      <c r="W58" s="8">
        <v>16554.3</v>
      </c>
      <c r="X58" s="8"/>
      <c r="Y58" s="8"/>
      <c r="Z58" s="8">
        <v>277921.91999999998</v>
      </c>
      <c r="AA58" s="8">
        <f t="shared" si="1"/>
        <v>448151.1</v>
      </c>
      <c r="AB58" s="8">
        <v>0</v>
      </c>
      <c r="AC58" s="8">
        <f>20776.55+2846.19</f>
        <v>23622.739999999998</v>
      </c>
      <c r="AD58" s="8">
        <v>0</v>
      </c>
      <c r="AE58" s="8" t="s">
        <v>46</v>
      </c>
    </row>
    <row r="59" spans="1:31" ht="15.75" customHeight="1" x14ac:dyDescent="0.25">
      <c r="A59" s="7">
        <v>43739</v>
      </c>
      <c r="B59" s="8">
        <v>2019</v>
      </c>
      <c r="C59" s="8">
        <v>10</v>
      </c>
      <c r="D59" s="8">
        <v>29</v>
      </c>
      <c r="E59" s="8">
        <v>9.7000000000000003E-3</v>
      </c>
      <c r="F59" s="8">
        <v>4.4699999999999997E-2</v>
      </c>
      <c r="G59" s="8">
        <v>0.18</v>
      </c>
      <c r="H59" s="8">
        <v>1400</v>
      </c>
      <c r="I59" s="8">
        <v>1400</v>
      </c>
      <c r="J59" s="8">
        <v>1127.3</v>
      </c>
      <c r="K59" s="8">
        <v>1261.7</v>
      </c>
      <c r="L59" s="8"/>
      <c r="M59" s="9"/>
      <c r="N59" s="8">
        <v>12.96</v>
      </c>
      <c r="O59" s="8"/>
      <c r="P59" s="8">
        <v>54350.3</v>
      </c>
      <c r="Q59" s="8">
        <v>402919</v>
      </c>
      <c r="R59" s="8">
        <v>0.56227000000000005</v>
      </c>
      <c r="S59" s="8">
        <v>7.5620000000000007E-2</v>
      </c>
      <c r="T59" s="8">
        <v>0.40493000000000001</v>
      </c>
      <c r="U59" s="8">
        <v>0.24232999999999999</v>
      </c>
      <c r="V59" s="8">
        <v>7337.2</v>
      </c>
      <c r="W59" s="8">
        <v>42010.3</v>
      </c>
      <c r="X59" s="8"/>
      <c r="Y59" s="8"/>
      <c r="Z59" s="8">
        <v>263562.09000000003</v>
      </c>
      <c r="AA59" s="8">
        <f t="shared" si="1"/>
        <v>457269.3</v>
      </c>
      <c r="AB59" s="8">
        <f>514.03+69.33</f>
        <v>583.36</v>
      </c>
      <c r="AC59" s="8">
        <f>18505.24+2496.19</f>
        <v>21001.43</v>
      </c>
      <c r="AD59" s="8">
        <v>0</v>
      </c>
      <c r="AE59" s="8" t="s">
        <v>46</v>
      </c>
    </row>
    <row r="60" spans="1:31" ht="15.75" customHeight="1" x14ac:dyDescent="0.25">
      <c r="A60" s="7">
        <v>43770</v>
      </c>
      <c r="B60" s="8">
        <v>2019</v>
      </c>
      <c r="C60" s="8">
        <v>11</v>
      </c>
      <c r="D60" s="8">
        <v>33</v>
      </c>
      <c r="E60" s="8">
        <v>8.6E-3</v>
      </c>
      <c r="F60" s="8">
        <v>3.9699999999999999E-2</v>
      </c>
      <c r="G60" s="8">
        <v>0.18</v>
      </c>
      <c r="H60" s="8">
        <v>1400</v>
      </c>
      <c r="I60" s="8">
        <v>1400</v>
      </c>
      <c r="J60" s="8">
        <v>1464.1</v>
      </c>
      <c r="K60" s="8">
        <v>1619.5</v>
      </c>
      <c r="L60" s="8"/>
      <c r="M60" s="9"/>
      <c r="N60" s="8">
        <v>12.96</v>
      </c>
      <c r="O60" s="8"/>
      <c r="P60" s="8">
        <v>72538.8</v>
      </c>
      <c r="Q60" s="8">
        <v>528500.69999999995</v>
      </c>
      <c r="R60" s="8">
        <v>0.56227000000000005</v>
      </c>
      <c r="S60" s="8">
        <v>7.5620000000000007E-2</v>
      </c>
      <c r="T60" s="8">
        <v>0.40493000000000001</v>
      </c>
      <c r="U60" s="8">
        <v>0.24232999999999999</v>
      </c>
      <c r="V60" s="8">
        <v>14994.8</v>
      </c>
      <c r="W60" s="8">
        <v>87038.7</v>
      </c>
      <c r="X60" s="8"/>
      <c r="Y60" s="8"/>
      <c r="Z60" s="8">
        <v>337241.77</v>
      </c>
      <c r="AA60" s="8">
        <f t="shared" si="1"/>
        <v>601039.5</v>
      </c>
      <c r="AB60" s="8">
        <f>8594.72+1179.65</f>
        <v>9774.369999999999</v>
      </c>
      <c r="AC60" s="8">
        <f>3294.84+452.23</f>
        <v>3747.07</v>
      </c>
      <c r="AD60" s="8">
        <v>0</v>
      </c>
      <c r="AE60" s="8" t="s">
        <v>46</v>
      </c>
    </row>
    <row r="61" spans="1:31" ht="15.75" customHeight="1" x14ac:dyDescent="0.25">
      <c r="A61" s="7">
        <v>43800</v>
      </c>
      <c r="B61" s="8">
        <v>2019</v>
      </c>
      <c r="C61" s="8">
        <v>12</v>
      </c>
      <c r="D61" s="8">
        <v>31</v>
      </c>
      <c r="E61" s="8">
        <v>8.8999999999999999E-3</v>
      </c>
      <c r="F61" s="8">
        <v>4.0899999999999999E-2</v>
      </c>
      <c r="G61" s="8">
        <v>0.18</v>
      </c>
      <c r="H61" s="8">
        <v>1400</v>
      </c>
      <c r="I61" s="8">
        <v>1400</v>
      </c>
      <c r="J61" s="8">
        <v>1149.0999999999999</v>
      </c>
      <c r="K61" s="8">
        <v>1302</v>
      </c>
      <c r="L61" s="8"/>
      <c r="M61" s="9"/>
      <c r="N61" s="8">
        <v>12.96</v>
      </c>
      <c r="O61" s="8"/>
      <c r="P61" s="8">
        <v>60725.3</v>
      </c>
      <c r="Q61" s="8">
        <v>465373.4</v>
      </c>
      <c r="R61" s="8">
        <v>0.56227000000000005</v>
      </c>
      <c r="S61" s="8">
        <v>7.5620000000000007E-2</v>
      </c>
      <c r="T61" s="8">
        <v>0.40493000000000001</v>
      </c>
      <c r="U61" s="8">
        <v>0.24232999999999999</v>
      </c>
      <c r="V61" s="8">
        <v>9753.9</v>
      </c>
      <c r="W61" s="8">
        <f>64884.8+0</f>
        <v>64884.800000000003</v>
      </c>
      <c r="X61" s="8"/>
      <c r="Y61" s="8"/>
      <c r="Z61" s="8">
        <v>299623.96999999997</v>
      </c>
      <c r="AA61" s="8">
        <f t="shared" si="1"/>
        <v>526098.70000000007</v>
      </c>
      <c r="AB61" s="8">
        <f>1244.52+162.39</f>
        <v>1406.9099999999999</v>
      </c>
      <c r="AC61" s="8">
        <f>20089.4+2621.41</f>
        <v>22710.81</v>
      </c>
      <c r="AD61" s="8">
        <v>0</v>
      </c>
      <c r="AE61" s="8" t="s">
        <v>46</v>
      </c>
    </row>
    <row r="62" spans="1:31" ht="15.75" customHeight="1" x14ac:dyDescent="0.25">
      <c r="A62" s="11">
        <v>43831</v>
      </c>
      <c r="B62" s="12">
        <v>2020</v>
      </c>
      <c r="C62" s="12">
        <v>1</v>
      </c>
      <c r="D62" s="12">
        <v>29</v>
      </c>
      <c r="E62" s="12">
        <v>8.6E-3</v>
      </c>
      <c r="F62" s="13">
        <v>3.9699999999999999E-2</v>
      </c>
      <c r="G62" s="12">
        <v>0.18</v>
      </c>
      <c r="H62" s="12">
        <v>1400</v>
      </c>
      <c r="I62" s="12">
        <v>1400</v>
      </c>
      <c r="J62" s="12">
        <v>1198.7</v>
      </c>
      <c r="K62" s="14">
        <v>1286</v>
      </c>
      <c r="L62" s="12"/>
      <c r="M62" s="15"/>
      <c r="N62" s="16">
        <v>12.96</v>
      </c>
      <c r="O62" s="12"/>
      <c r="P62" s="12">
        <v>49022.2</v>
      </c>
      <c r="Q62" s="12">
        <v>406632.9</v>
      </c>
      <c r="R62" s="17">
        <v>0.56227000000000005</v>
      </c>
      <c r="S62" s="17">
        <v>7.5620000000000007E-2</v>
      </c>
      <c r="T62" s="17">
        <v>0.40493000000000001</v>
      </c>
      <c r="U62" s="17">
        <v>0.24232999999999999</v>
      </c>
      <c r="V62" s="12">
        <v>8741.9</v>
      </c>
      <c r="W62" s="12">
        <v>61121.599999999999</v>
      </c>
      <c r="X62" s="12"/>
      <c r="Y62" s="12"/>
      <c r="Z62" s="12">
        <v>244906.81</v>
      </c>
      <c r="AA62" s="12">
        <v>455655.1</v>
      </c>
      <c r="AB62" s="18">
        <v>6764.87</v>
      </c>
      <c r="AC62" s="12">
        <v>811.92</v>
      </c>
      <c r="AD62" s="12">
        <v>0</v>
      </c>
      <c r="AE62" s="8" t="s">
        <v>46</v>
      </c>
    </row>
    <row r="63" spans="1:31" ht="15.75" customHeight="1" x14ac:dyDescent="0.25">
      <c r="A63" s="11">
        <v>43862</v>
      </c>
      <c r="B63" s="12">
        <v>2020</v>
      </c>
      <c r="C63" s="12">
        <v>2</v>
      </c>
      <c r="D63" s="12">
        <v>32</v>
      </c>
      <c r="E63" s="12">
        <v>9.5999999999999992E-3</v>
      </c>
      <c r="F63" s="13">
        <v>4.41E-2</v>
      </c>
      <c r="G63" s="12">
        <v>0.18</v>
      </c>
      <c r="H63" s="12">
        <v>1400</v>
      </c>
      <c r="I63" s="12">
        <v>1400</v>
      </c>
      <c r="J63" s="12">
        <v>1102.9000000000001</v>
      </c>
      <c r="K63" s="14">
        <v>1260.8</v>
      </c>
      <c r="L63" s="12"/>
      <c r="M63" s="15"/>
      <c r="N63" s="16">
        <v>12.96</v>
      </c>
      <c r="O63" s="12"/>
      <c r="P63" s="12">
        <v>54860.6</v>
      </c>
      <c r="Q63" s="12">
        <v>458691.2</v>
      </c>
      <c r="R63" s="17">
        <v>0.56227000000000005</v>
      </c>
      <c r="S63" s="17">
        <v>7.5620000000000007E-2</v>
      </c>
      <c r="T63" s="17">
        <v>0.40493000000000001</v>
      </c>
      <c r="U63" s="17">
        <v>0.24232999999999999</v>
      </c>
      <c r="V63" s="12">
        <v>9481.7000000000007</v>
      </c>
      <c r="W63" s="12">
        <v>66829.100000000006</v>
      </c>
      <c r="X63" s="12"/>
      <c r="Y63" s="12"/>
      <c r="Z63" s="12">
        <v>274129.59999999998</v>
      </c>
      <c r="AA63" s="12">
        <v>513551.9</v>
      </c>
      <c r="AB63" s="18">
        <v>6656.31</v>
      </c>
      <c r="AC63" s="12">
        <v>796.1</v>
      </c>
      <c r="AD63" s="12">
        <v>0</v>
      </c>
      <c r="AE63" s="8" t="s">
        <v>46</v>
      </c>
    </row>
    <row r="64" spans="1:31" ht="15.75" customHeight="1" x14ac:dyDescent="0.25">
      <c r="A64" s="11">
        <v>43891</v>
      </c>
      <c r="B64" s="12">
        <v>2020</v>
      </c>
      <c r="C64" s="12">
        <v>3</v>
      </c>
      <c r="D64" s="12">
        <v>30</v>
      </c>
      <c r="E64" s="12">
        <v>9.4999999999999998E-3</v>
      </c>
      <c r="F64" s="13">
        <v>4.3900000000000002E-2</v>
      </c>
      <c r="G64" s="12">
        <v>0.18</v>
      </c>
      <c r="H64" s="12">
        <v>1400</v>
      </c>
      <c r="I64" s="12">
        <v>1400</v>
      </c>
      <c r="J64" s="12">
        <v>1291.0999999999999</v>
      </c>
      <c r="K64" s="14">
        <v>1573.3</v>
      </c>
      <c r="L64" s="12"/>
      <c r="M64" s="15"/>
      <c r="N64" s="16">
        <v>12.96</v>
      </c>
      <c r="O64" s="12"/>
      <c r="P64" s="12">
        <v>53632.9</v>
      </c>
      <c r="Q64" s="12">
        <v>421897.1</v>
      </c>
      <c r="R64" s="17">
        <v>0.56227000000000005</v>
      </c>
      <c r="S64" s="17">
        <v>7.5620000000000007E-2</v>
      </c>
      <c r="T64" s="17">
        <v>0.40493000000000001</v>
      </c>
      <c r="U64" s="17">
        <v>0.24232999999999999</v>
      </c>
      <c r="V64" s="12">
        <v>10121.6</v>
      </c>
      <c r="W64" s="12">
        <v>65970.5</v>
      </c>
      <c r="X64" s="12"/>
      <c r="Y64" s="12"/>
      <c r="Z64" s="12">
        <v>259077.41</v>
      </c>
      <c r="AA64" s="12">
        <v>475530.1</v>
      </c>
      <c r="AB64" s="19">
        <v>0</v>
      </c>
      <c r="AC64" s="19">
        <v>0</v>
      </c>
      <c r="AD64" s="12">
        <v>0</v>
      </c>
      <c r="AE64" s="8" t="s">
        <v>46</v>
      </c>
    </row>
    <row r="65" spans="1:31" ht="15.75" customHeight="1" x14ac:dyDescent="0.25">
      <c r="A65" s="11">
        <v>43922</v>
      </c>
      <c r="B65" s="12">
        <v>2020</v>
      </c>
      <c r="C65" s="12">
        <v>4</v>
      </c>
      <c r="D65" s="12">
        <v>28</v>
      </c>
      <c r="E65" s="12">
        <v>2.3E-3</v>
      </c>
      <c r="F65" s="13">
        <v>1.06E-2</v>
      </c>
      <c r="G65" s="12">
        <v>0.18</v>
      </c>
      <c r="H65" s="12">
        <v>1400</v>
      </c>
      <c r="I65" s="12">
        <v>1400</v>
      </c>
      <c r="J65" s="14">
        <v>1155</v>
      </c>
      <c r="K65" s="14">
        <v>1239.8</v>
      </c>
      <c r="L65" s="12"/>
      <c r="M65" s="15"/>
      <c r="N65" s="16">
        <v>12.96</v>
      </c>
      <c r="O65" s="12"/>
      <c r="P65" s="12">
        <v>46047.8</v>
      </c>
      <c r="Q65" s="12">
        <v>379505.3</v>
      </c>
      <c r="R65" s="17">
        <v>0.56227000000000005</v>
      </c>
      <c r="S65" s="17">
        <v>7.5620000000000007E-2</v>
      </c>
      <c r="T65" s="17">
        <v>0.40493000000000001</v>
      </c>
      <c r="U65" s="17">
        <v>0.24232999999999999</v>
      </c>
      <c r="V65" s="12">
        <v>7715.4</v>
      </c>
      <c r="W65" s="12">
        <v>51231.199999999997</v>
      </c>
      <c r="X65" s="12"/>
      <c r="Y65" s="12"/>
      <c r="Z65" s="12">
        <v>213486.21</v>
      </c>
      <c r="AA65" s="12">
        <v>425553</v>
      </c>
      <c r="AB65" s="19">
        <v>0</v>
      </c>
      <c r="AC65" s="19">
        <v>0</v>
      </c>
      <c r="AD65" s="12">
        <v>0</v>
      </c>
      <c r="AE65" s="8" t="s">
        <v>46</v>
      </c>
    </row>
    <row r="66" spans="1:31" ht="15.75" customHeight="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9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5.75" customHeight="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9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5.75" customHeight="1" x14ac:dyDescent="0.2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9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5.75" customHeigh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9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5.75" customHeight="1" x14ac:dyDescent="0.2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9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5.75" customHeight="1" x14ac:dyDescent="0.2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9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5.75" customHeight="1" x14ac:dyDescent="0.2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9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5.75" customHeigh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9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5.75" customHeigh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9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5.75" customHeight="1" x14ac:dyDescent="0.2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9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5.75" customHeight="1" x14ac:dyDescent="0.25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9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5.75" customHeight="1" x14ac:dyDescent="0.25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9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5.75" customHeight="1" x14ac:dyDescent="0.25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9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5.75" customHeight="1" x14ac:dyDescent="0.2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9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5.75" customHeight="1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9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5.75" customHeight="1" x14ac:dyDescent="0.2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5.75" customHeight="1" x14ac:dyDescent="0.2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9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5.75" customHeight="1" x14ac:dyDescent="0.2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5.75" customHeight="1" x14ac:dyDescent="0.2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9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5.75" customHeight="1" x14ac:dyDescent="0.2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5.75" customHeight="1" x14ac:dyDescent="0.2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9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5.75" customHeight="1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5.75" customHeight="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9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9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9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9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5.75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9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 spans="1:31" ht="15.7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9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spans="1:31" ht="15.75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9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spans="1:31" ht="15.75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9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 spans="1:31" ht="15.75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9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 spans="1:31" ht="15.7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9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 spans="1:31" ht="15.7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9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 spans="1:31" ht="15.7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9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 spans="1:31" ht="15.75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9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 spans="1:31" ht="15.7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9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 spans="1:31" ht="15.75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9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 spans="1:31" ht="15.75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9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 spans="1:31" ht="15.75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9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 spans="1:31" ht="15.75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9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 spans="1:31" ht="15.75" customHeight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9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 spans="1:31" ht="15.75" customHeight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9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 spans="1:31" ht="15.75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9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 spans="1:31" ht="15.75" customHeight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9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 spans="1:31" ht="15.75" customHeight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9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 spans="1:31" ht="15.75" customHeight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9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 spans="1:31" ht="15.75" customHeight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9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 spans="1:31" ht="15.75" customHeight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9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 spans="1:31" ht="15.75" customHeight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9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 spans="1:31" ht="15.75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9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 spans="1:31" ht="15.75" customHeight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9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 spans="1:31" ht="15.75" customHeight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9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 spans="1:31" ht="15.75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9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 spans="1:31" ht="15.7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9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 spans="1:31" ht="15.75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9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 spans="1:31" ht="15.75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9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 spans="1:31" ht="15.75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9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 spans="1:31" ht="15.7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9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 spans="1:31" ht="15.75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9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 spans="1:31" ht="15.75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9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 spans="1:31" ht="15.75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9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 spans="1:31" ht="15.75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9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 spans="1:31" ht="15.75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9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 spans="1:31" ht="15.75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9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 spans="1:31" ht="15.75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9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 spans="1:31" ht="15.75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9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 spans="1:31" ht="15.75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9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 spans="1:31" ht="15.7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9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 spans="1:31" ht="15.75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9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 spans="1:31" ht="15.7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9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 spans="1:31" ht="15.75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9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 spans="1:31" ht="15.75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9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 spans="1:31" ht="15.75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9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 spans="1:31" ht="15.7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9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 spans="1:31" ht="15.7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9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</row>
    <row r="156" spans="1:31" ht="15.75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9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</row>
    <row r="157" spans="1:31" ht="15.75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9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 spans="1:31" ht="15.7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9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 spans="1:31" ht="15.75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9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 spans="1:31" ht="15.75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9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 spans="1:31" ht="15.75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9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 spans="1:31" ht="15.75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9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</row>
    <row r="163" spans="1:31" ht="15.75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9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</row>
    <row r="164" spans="1:31" ht="15.75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9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</row>
    <row r="165" spans="1:31" ht="15.75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9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 spans="1:31" ht="15.75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9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</row>
    <row r="167" spans="1:31" ht="15.75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9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</row>
    <row r="168" spans="1:31" ht="15.7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9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</row>
    <row r="169" spans="1:31" ht="15.7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9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</row>
    <row r="170" spans="1:31" ht="15.7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9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</row>
    <row r="171" spans="1:31" ht="15.75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9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 spans="1:31" ht="15.7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9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</row>
    <row r="173" spans="1:31" ht="15.75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9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</row>
    <row r="174" spans="1:31" ht="15.7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9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</row>
    <row r="175" spans="1:31" ht="15.7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9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</row>
    <row r="176" spans="1:31" ht="15.75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</row>
    <row r="177" spans="1:31" ht="15.75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9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</row>
    <row r="178" spans="1:31" ht="15.75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9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 spans="1:31" ht="15.75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9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 spans="1:31" ht="15.75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9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</row>
    <row r="181" spans="1:31" ht="15.75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9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</row>
    <row r="182" spans="1:31" ht="15.75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9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</row>
    <row r="183" spans="1:31" ht="15.75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9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</row>
    <row r="184" spans="1:31" ht="15.7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9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</row>
    <row r="185" spans="1:31" ht="15.75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9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 spans="1:31" ht="15.75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9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 spans="1:31" ht="15.75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9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</row>
    <row r="188" spans="1:31" ht="15.7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9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</row>
    <row r="189" spans="1:31" ht="15.75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9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</row>
    <row r="190" spans="1:31" ht="15.75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9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</row>
    <row r="191" spans="1:31" ht="15.75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9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</row>
    <row r="192" spans="1:31" ht="15.7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9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</row>
    <row r="193" spans="1:31" ht="15.75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9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</row>
    <row r="194" spans="1:31" ht="15.75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9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</row>
    <row r="195" spans="1:31" ht="15.75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9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</row>
    <row r="196" spans="1:31" ht="15.7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9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</row>
    <row r="197" spans="1:31" ht="15.75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9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</row>
    <row r="198" spans="1:31" ht="15.75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9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</row>
    <row r="199" spans="1:31" ht="15.75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9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 spans="1:31" ht="15.7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9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 spans="1:31" ht="15.75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9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</row>
    <row r="202" spans="1:31" ht="15.75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9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</row>
    <row r="203" spans="1:31" ht="15.75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9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</row>
    <row r="204" spans="1:31" ht="15.7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9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</row>
    <row r="205" spans="1:31" ht="15.75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9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</row>
    <row r="206" spans="1:31" ht="15.75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9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</row>
    <row r="207" spans="1:31" ht="15.75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9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</row>
    <row r="208" spans="1:31" ht="15.75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9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</row>
    <row r="209" spans="1:31" ht="15.75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9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</row>
    <row r="210" spans="1:31" ht="15.75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9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</row>
    <row r="211" spans="1:31" ht="15.75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9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</row>
    <row r="212" spans="1:31" ht="15.75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9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</row>
    <row r="213" spans="1:31" ht="15.75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9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</row>
    <row r="214" spans="1:31" ht="15.75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9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</row>
    <row r="215" spans="1:31" ht="15.75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9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</row>
    <row r="216" spans="1:31" ht="15.75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9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</row>
    <row r="217" spans="1:31" ht="15.75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9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</row>
    <row r="218" spans="1:31" ht="15.75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9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</row>
    <row r="219" spans="1:31" ht="15.75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9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</row>
    <row r="220" spans="1:31" ht="15.75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9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</row>
    <row r="221" spans="1:31" ht="15.75" customHeigh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9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</row>
    <row r="222" spans="1:31" ht="15.75" customHeigh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9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</row>
    <row r="223" spans="1:31" ht="15.75" customHeigh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9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</row>
    <row r="224" spans="1:31" ht="15.75" customHeigh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9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</row>
    <row r="225" spans="1:31" ht="15.75" customHeigh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9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</row>
    <row r="226" spans="1:31" ht="15.75" customHeigh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9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</row>
    <row r="227" spans="1:31" ht="15.75" customHeigh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9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</row>
    <row r="228" spans="1:31" ht="15.75" customHeigh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9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</row>
    <row r="229" spans="1:31" ht="15.75" customHeigh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9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</row>
    <row r="230" spans="1:31" ht="15.75" customHeigh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9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</row>
    <row r="231" spans="1:31" ht="15.75" customHeigh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9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</row>
    <row r="232" spans="1:31" ht="15.75" customHeigh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9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</row>
    <row r="233" spans="1:31" ht="15.75" customHeigh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9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</row>
    <row r="234" spans="1:31" ht="15.75" customHeigh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9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</row>
    <row r="235" spans="1:31" ht="15.75" customHeigh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9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</row>
    <row r="236" spans="1:31" ht="15.75" customHeigh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9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</row>
    <row r="237" spans="1:31" ht="15.75" customHeigh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9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</row>
    <row r="238" spans="1:31" ht="15.75" customHeigh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9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</row>
    <row r="239" spans="1:31" ht="15.75" customHeigh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9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</row>
    <row r="240" spans="1:31" ht="15.75" customHeigh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9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</row>
    <row r="241" spans="1:31" ht="15.75" customHeigh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9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</row>
    <row r="242" spans="1:31" ht="15.75" customHeigh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9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</row>
    <row r="243" spans="1:31" ht="15.75" customHeigh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9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</row>
    <row r="244" spans="1:31" ht="15.75" customHeigh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9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</row>
    <row r="245" spans="1:31" ht="15.75" customHeigh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9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</row>
    <row r="246" spans="1:31" ht="15.75" customHeight="1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9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</row>
    <row r="247" spans="1:31" ht="15.75" customHeight="1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9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</row>
    <row r="248" spans="1:31" ht="15.75" customHeight="1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9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</row>
    <row r="249" spans="1:31" ht="15.75" customHeight="1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9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</row>
    <row r="250" spans="1:31" ht="15.75" customHeight="1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9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</row>
    <row r="251" spans="1:31" ht="15.75" customHeight="1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9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</row>
    <row r="252" spans="1:31" ht="15.75" customHeight="1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9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</row>
    <row r="253" spans="1:31" ht="15.75" customHeight="1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9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</row>
    <row r="254" spans="1:31" ht="15.75" customHeight="1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9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</row>
    <row r="255" spans="1:31" ht="15.75" customHeight="1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9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</row>
    <row r="256" spans="1:31" ht="15.75" customHeight="1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9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</row>
    <row r="257" spans="1:31" ht="15.75" customHeight="1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9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</row>
    <row r="258" spans="1:31" ht="15.75" customHeight="1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9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</row>
    <row r="259" spans="1:31" ht="15.75" customHeight="1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9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</row>
    <row r="260" spans="1:31" ht="15.75" customHeight="1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9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</row>
    <row r="261" spans="1:31" ht="15.75" customHeight="1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9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</row>
    <row r="262" spans="1:31" ht="15.75" customHeight="1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9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</row>
    <row r="263" spans="1:31" ht="15.75" customHeight="1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9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</row>
    <row r="264" spans="1:31" ht="15.75" customHeight="1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9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</row>
    <row r="265" spans="1:31" ht="15.75" customHeight="1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9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</row>
    <row r="266" spans="1:31" ht="15.75" customHeight="1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9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</row>
    <row r="267" spans="1:31" ht="15.75" customHeight="1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9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</row>
    <row r="268" spans="1:31" ht="15.75" customHeight="1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9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</row>
    <row r="269" spans="1:31" ht="15.75" customHeight="1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9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</row>
    <row r="270" spans="1:31" ht="15.75" customHeight="1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9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</row>
    <row r="271" spans="1:31" ht="15.75" customHeight="1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9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</row>
    <row r="272" spans="1:31" ht="15.75" customHeight="1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9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</row>
    <row r="273" spans="1:31" ht="15.75" customHeight="1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9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</row>
    <row r="274" spans="1:31" ht="15.75" customHeight="1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9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</row>
    <row r="275" spans="1:31" ht="15.75" customHeight="1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9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</row>
    <row r="276" spans="1:31" ht="15.75" customHeight="1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9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</row>
    <row r="277" spans="1:31" ht="15.75" customHeight="1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9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</row>
    <row r="278" spans="1:31" ht="15.75" customHeight="1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9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</row>
    <row r="279" spans="1:31" ht="15.75" customHeight="1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9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</row>
    <row r="280" spans="1:31" ht="15.75" customHeight="1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9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</row>
    <row r="281" spans="1:31" ht="15.75" customHeight="1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9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</row>
    <row r="282" spans="1:31" ht="15.75" customHeight="1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9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</row>
    <row r="283" spans="1:31" ht="15.75" customHeight="1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9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</row>
    <row r="284" spans="1:31" ht="15.75" customHeight="1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9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</row>
    <row r="285" spans="1:31" ht="15.75" customHeight="1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9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</row>
    <row r="286" spans="1:31" ht="15.75" customHeight="1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9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</row>
    <row r="287" spans="1:31" ht="15.75" customHeight="1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9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</row>
    <row r="288" spans="1:31" ht="15.75" customHeight="1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9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</row>
    <row r="289" spans="1:31" ht="15.75" customHeight="1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9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</row>
    <row r="290" spans="1:31" ht="15.75" customHeight="1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9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</row>
    <row r="291" spans="1:31" ht="15.75" customHeight="1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9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</row>
    <row r="292" spans="1:31" ht="15.75" customHeight="1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9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</row>
    <row r="293" spans="1:31" ht="15.75" customHeight="1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9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</row>
    <row r="294" spans="1:31" ht="15.75" customHeight="1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9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</row>
    <row r="295" spans="1:31" ht="15.75" customHeight="1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9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</row>
    <row r="296" spans="1:31" ht="15.75" customHeight="1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9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</row>
    <row r="297" spans="1:31" ht="15.75" customHeight="1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9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</row>
    <row r="298" spans="1:31" ht="15.75" customHeight="1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9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</row>
    <row r="299" spans="1:31" ht="15.75" customHeight="1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9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</row>
    <row r="300" spans="1:31" ht="15.75" customHeight="1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9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</row>
    <row r="301" spans="1:31" ht="15.75" customHeight="1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9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</row>
    <row r="302" spans="1:31" ht="15.75" customHeight="1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9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</row>
    <row r="303" spans="1:31" ht="15.75" customHeight="1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9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</row>
    <row r="304" spans="1:31" ht="15.75" customHeight="1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9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</row>
    <row r="305" spans="1:31" ht="15.75" customHeight="1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9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</row>
    <row r="306" spans="1:31" ht="15.75" customHeight="1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9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</row>
    <row r="307" spans="1:31" ht="15.75" customHeight="1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9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</row>
    <row r="308" spans="1:31" ht="15.75" customHeight="1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9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</row>
    <row r="309" spans="1:31" ht="15.75" customHeight="1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9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</row>
    <row r="310" spans="1:31" ht="15.75" customHeight="1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9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</row>
    <row r="311" spans="1:31" ht="15.75" customHeight="1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9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</row>
    <row r="312" spans="1:31" ht="15.75" customHeight="1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9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</row>
    <row r="313" spans="1:31" ht="15.75" customHeight="1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9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</row>
    <row r="314" spans="1:31" ht="15.75" customHeight="1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9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</row>
    <row r="315" spans="1:31" ht="15.75" customHeight="1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9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</row>
    <row r="316" spans="1:31" ht="15.75" customHeight="1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9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</row>
    <row r="317" spans="1:31" ht="15.75" customHeight="1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9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</row>
    <row r="318" spans="1:31" ht="15.75" customHeight="1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9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</row>
    <row r="319" spans="1:31" ht="15.75" customHeight="1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9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</row>
    <row r="320" spans="1:31" ht="15.75" customHeight="1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9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</row>
    <row r="321" spans="1:31" ht="15.75" customHeight="1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9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</row>
    <row r="322" spans="1:31" ht="15.75" customHeight="1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9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</row>
    <row r="323" spans="1:31" ht="15.75" customHeight="1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9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</row>
    <row r="324" spans="1:31" ht="15.75" customHeight="1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9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</row>
    <row r="325" spans="1:31" ht="15.75" customHeight="1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9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</row>
    <row r="326" spans="1:31" ht="15.75" customHeight="1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9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</row>
    <row r="327" spans="1:31" ht="15.75" customHeight="1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9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</row>
    <row r="328" spans="1:31" ht="15.75" customHeight="1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9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</row>
    <row r="329" spans="1:31" ht="15.75" customHeight="1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9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</row>
    <row r="330" spans="1:31" ht="15.75" customHeight="1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9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</row>
    <row r="331" spans="1:31" ht="15.75" customHeight="1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9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</row>
    <row r="332" spans="1:31" ht="15.75" customHeight="1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9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</row>
    <row r="333" spans="1:31" ht="15.75" customHeight="1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9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</row>
    <row r="334" spans="1:31" ht="15.75" customHeight="1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9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</row>
    <row r="335" spans="1:31" ht="15.75" customHeight="1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9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</row>
    <row r="336" spans="1:31" ht="15.75" customHeight="1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9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</row>
    <row r="337" spans="1:31" ht="15.75" customHeight="1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9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</row>
    <row r="338" spans="1:31" ht="15.75" customHeight="1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9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</row>
    <row r="339" spans="1:31" ht="15.75" customHeight="1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9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</row>
    <row r="340" spans="1:31" ht="15.75" customHeight="1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9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</row>
    <row r="341" spans="1:31" ht="15.75" customHeight="1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9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</row>
    <row r="342" spans="1:31" ht="15.75" customHeight="1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9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</row>
    <row r="343" spans="1:31" ht="15.75" customHeight="1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9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</row>
    <row r="344" spans="1:31" ht="15.75" customHeight="1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9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</row>
    <row r="345" spans="1:31" ht="15.75" customHeight="1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9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</row>
    <row r="346" spans="1:31" ht="15.75" customHeight="1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9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</row>
    <row r="347" spans="1:31" ht="15.75" customHeight="1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9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</row>
    <row r="348" spans="1:31" ht="15.75" customHeight="1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9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</row>
    <row r="349" spans="1:31" ht="15.75" customHeight="1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9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</row>
    <row r="350" spans="1:31" ht="15.75" customHeight="1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9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</row>
    <row r="351" spans="1:31" ht="15.75" customHeight="1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9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</row>
    <row r="352" spans="1:31" ht="15.75" customHeight="1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9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</row>
    <row r="353" spans="1:31" ht="15.75" customHeight="1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9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</row>
    <row r="354" spans="1:31" ht="15.75" customHeight="1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9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</row>
    <row r="355" spans="1:31" ht="15.75" customHeight="1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9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</row>
    <row r="356" spans="1:31" ht="15.75" customHeight="1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9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</row>
    <row r="357" spans="1:31" ht="15.75" customHeight="1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9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</row>
    <row r="358" spans="1:31" ht="15.75" customHeight="1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9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</row>
    <row r="359" spans="1:31" ht="15.75" customHeight="1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9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</row>
    <row r="360" spans="1:31" ht="15.75" customHeight="1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9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</row>
    <row r="361" spans="1:31" ht="15.75" customHeight="1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9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</row>
    <row r="362" spans="1:31" ht="15.75" customHeight="1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9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</row>
    <row r="363" spans="1:31" ht="15.75" customHeight="1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9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</row>
    <row r="364" spans="1:31" ht="15.75" customHeight="1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9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</row>
    <row r="365" spans="1:31" ht="15.75" customHeight="1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9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</row>
    <row r="366" spans="1:31" ht="15.75" customHeight="1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9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</row>
    <row r="367" spans="1:31" ht="15.75" customHeight="1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9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</row>
    <row r="368" spans="1:31" ht="15.75" customHeight="1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9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</row>
    <row r="369" spans="1:31" ht="15.75" customHeight="1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9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</row>
    <row r="370" spans="1:31" ht="15.75" customHeight="1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9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</row>
    <row r="371" spans="1:31" ht="15.75" customHeight="1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9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</row>
    <row r="372" spans="1:31" ht="15.75" customHeight="1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9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</row>
    <row r="373" spans="1:31" ht="15.75" customHeight="1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9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</row>
    <row r="374" spans="1:31" ht="15.75" customHeight="1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9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</row>
    <row r="375" spans="1:31" ht="15.75" customHeight="1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9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</row>
    <row r="376" spans="1:31" ht="15.75" customHeight="1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9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</row>
    <row r="377" spans="1:31" ht="15.75" customHeight="1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9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</row>
    <row r="378" spans="1:31" ht="15.75" customHeight="1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9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</row>
    <row r="379" spans="1:31" ht="15.75" customHeight="1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9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</row>
    <row r="380" spans="1:31" ht="15.75" customHeight="1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9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</row>
    <row r="381" spans="1:31" ht="15.75" customHeight="1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9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</row>
    <row r="382" spans="1:31" ht="15.75" customHeight="1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9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</row>
    <row r="383" spans="1:31" ht="15.75" customHeight="1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9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</row>
    <row r="384" spans="1:31" ht="15.75" customHeight="1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9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</row>
    <row r="385" spans="1:31" ht="15.75" customHeight="1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9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</row>
    <row r="386" spans="1:31" ht="15.75" customHeight="1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9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</row>
    <row r="387" spans="1:31" ht="15.75" customHeight="1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9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</row>
    <row r="388" spans="1:31" ht="15.75" customHeight="1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9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</row>
    <row r="389" spans="1:31" ht="15.75" customHeight="1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9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</row>
    <row r="390" spans="1:31" ht="15.75" customHeight="1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9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</row>
    <row r="391" spans="1:31" ht="15.75" customHeight="1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9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</row>
    <row r="392" spans="1:31" ht="15.75" customHeight="1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9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</row>
    <row r="393" spans="1:31" ht="15.75" customHeight="1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9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</row>
    <row r="394" spans="1:31" ht="15.75" customHeight="1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9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</row>
    <row r="395" spans="1:31" ht="15.75" customHeight="1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9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</row>
    <row r="396" spans="1:31" ht="15.75" customHeight="1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9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</row>
    <row r="397" spans="1:31" ht="15.75" customHeight="1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9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</row>
    <row r="398" spans="1:31" ht="15.75" customHeight="1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9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</row>
    <row r="399" spans="1:31" ht="15.75" customHeight="1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9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</row>
    <row r="400" spans="1:31" ht="15.75" customHeight="1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9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</row>
    <row r="401" spans="1:31" ht="15.75" customHeight="1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9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</row>
    <row r="402" spans="1:31" ht="15.75" customHeight="1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9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</row>
    <row r="403" spans="1:31" ht="15.75" customHeight="1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9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</row>
    <row r="404" spans="1:31" ht="15.75" customHeight="1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9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</row>
    <row r="405" spans="1:31" ht="15.75" customHeight="1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9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</row>
    <row r="406" spans="1:31" ht="15.75" customHeight="1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9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</row>
    <row r="407" spans="1:31" ht="15.75" customHeight="1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9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</row>
    <row r="408" spans="1:31" ht="15.75" customHeight="1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9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</row>
    <row r="409" spans="1:31" ht="15.75" customHeight="1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9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</row>
    <row r="410" spans="1:31" ht="15.75" customHeight="1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9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</row>
    <row r="411" spans="1:31" ht="15.75" customHeight="1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9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</row>
    <row r="412" spans="1:31" ht="15.75" customHeight="1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9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</row>
    <row r="413" spans="1:31" ht="15.75" customHeight="1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9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</row>
    <row r="414" spans="1:31" ht="15.75" customHeight="1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9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</row>
    <row r="415" spans="1:31" ht="15.75" customHeight="1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9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</row>
    <row r="416" spans="1:31" ht="15.75" customHeight="1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9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</row>
    <row r="417" spans="1:31" ht="15.75" customHeight="1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9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</row>
    <row r="418" spans="1:31" ht="15.75" customHeight="1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9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</row>
    <row r="419" spans="1:31" ht="15.75" customHeight="1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9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</row>
    <row r="420" spans="1:31" ht="15.75" customHeight="1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9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</row>
    <row r="421" spans="1:31" ht="15.75" customHeight="1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9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</row>
    <row r="422" spans="1:31" ht="15.75" customHeight="1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9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</row>
    <row r="423" spans="1:31" ht="15.75" customHeight="1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9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</row>
    <row r="424" spans="1:31" ht="15.75" customHeight="1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9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</row>
    <row r="425" spans="1:31" ht="15.75" customHeight="1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9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</row>
    <row r="426" spans="1:31" ht="15.75" customHeight="1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9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</row>
    <row r="427" spans="1:31" ht="15.75" customHeight="1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9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</row>
    <row r="428" spans="1:31" ht="15.75" customHeight="1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9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</row>
    <row r="429" spans="1:31" ht="15.75" customHeight="1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9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</row>
    <row r="430" spans="1:31" ht="15.75" customHeight="1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9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</row>
    <row r="431" spans="1:31" ht="15.75" customHeight="1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9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</row>
    <row r="432" spans="1:31" ht="15.75" customHeight="1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9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</row>
    <row r="433" spans="1:31" ht="15.75" customHeight="1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9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</row>
    <row r="434" spans="1:31" ht="15.75" customHeight="1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9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</row>
    <row r="435" spans="1:31" ht="15.75" customHeight="1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9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</row>
    <row r="436" spans="1:31" ht="15.75" customHeight="1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9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</row>
    <row r="437" spans="1:31" ht="15.75" customHeight="1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9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</row>
    <row r="438" spans="1:31" ht="15.75" customHeight="1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9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</row>
    <row r="439" spans="1:31" ht="15.75" customHeight="1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9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</row>
    <row r="440" spans="1:31" ht="15.75" customHeight="1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9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</row>
    <row r="441" spans="1:31" ht="15.75" customHeight="1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9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</row>
    <row r="442" spans="1:31" ht="15.75" customHeight="1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9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</row>
    <row r="443" spans="1:31" ht="15.75" customHeight="1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9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</row>
    <row r="444" spans="1:31" ht="15.75" customHeight="1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9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</row>
    <row r="445" spans="1:31" ht="15.75" customHeight="1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9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</row>
    <row r="446" spans="1:31" ht="15.75" customHeight="1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9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</row>
    <row r="447" spans="1:31" ht="15.75" customHeight="1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9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</row>
    <row r="448" spans="1:31" ht="15.75" customHeight="1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9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</row>
    <row r="449" spans="1:31" ht="15.75" customHeight="1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9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</row>
    <row r="450" spans="1:31" ht="15.75" customHeight="1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9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</row>
    <row r="451" spans="1:31" ht="15.75" customHeight="1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9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</row>
    <row r="452" spans="1:31" ht="15.75" customHeight="1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9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</row>
    <row r="453" spans="1:31" ht="15.75" customHeight="1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9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</row>
    <row r="454" spans="1:31" ht="15.75" customHeight="1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9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</row>
    <row r="455" spans="1:31" ht="15.75" customHeight="1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9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</row>
    <row r="456" spans="1:31" ht="15.75" customHeight="1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9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</row>
    <row r="457" spans="1:31" ht="15.75" customHeight="1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9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</row>
    <row r="458" spans="1:31" ht="15.75" customHeight="1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9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59" spans="1:31" ht="15.75" customHeight="1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9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</row>
    <row r="460" spans="1:31" ht="15.75" customHeight="1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9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</row>
    <row r="461" spans="1:31" ht="15.75" customHeight="1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9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</row>
    <row r="462" spans="1:31" ht="15.75" customHeight="1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9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</row>
    <row r="463" spans="1:31" ht="15.75" customHeight="1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9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</row>
    <row r="464" spans="1:31" ht="15.75" customHeight="1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9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</row>
    <row r="465" spans="1:31" ht="15.75" customHeight="1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9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</row>
    <row r="466" spans="1:31" ht="15.75" customHeight="1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9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</row>
    <row r="467" spans="1:31" ht="15.75" customHeight="1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9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</row>
    <row r="468" spans="1:31" ht="15.75" customHeight="1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9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</row>
    <row r="469" spans="1:31" ht="15.75" customHeight="1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9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</row>
    <row r="470" spans="1:31" ht="15.75" customHeight="1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9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</row>
    <row r="471" spans="1:31" ht="15.75" customHeight="1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9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</row>
    <row r="472" spans="1:31" ht="15.75" customHeight="1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9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</row>
    <row r="473" spans="1:31" ht="15.75" customHeight="1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9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</row>
    <row r="474" spans="1:31" ht="15.75" customHeight="1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9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</row>
    <row r="475" spans="1:31" ht="15.75" customHeight="1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9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</row>
    <row r="476" spans="1:31" ht="15.75" customHeight="1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9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</row>
    <row r="477" spans="1:31" ht="15.75" customHeight="1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9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</row>
    <row r="478" spans="1:31" ht="15.75" customHeight="1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9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</row>
    <row r="479" spans="1:31" ht="15.75" customHeight="1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9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</row>
    <row r="480" spans="1:31" ht="15.75" customHeight="1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9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</row>
    <row r="481" spans="1:31" ht="15.75" customHeight="1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9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</row>
    <row r="482" spans="1:31" ht="15.75" customHeight="1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9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</row>
    <row r="483" spans="1:31" ht="15.75" customHeight="1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9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</row>
    <row r="484" spans="1:31" ht="15.75" customHeight="1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9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</row>
    <row r="485" spans="1:31" ht="15.75" customHeight="1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9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</row>
    <row r="486" spans="1:31" ht="15.75" customHeight="1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9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</row>
    <row r="487" spans="1:31" ht="15.75" customHeight="1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9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</row>
    <row r="488" spans="1:31" ht="15.75" customHeight="1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9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</row>
    <row r="489" spans="1:31" ht="15.75" customHeight="1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9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</row>
    <row r="490" spans="1:31" ht="15.75" customHeight="1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9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</row>
    <row r="491" spans="1:31" ht="15.75" customHeight="1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9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</row>
    <row r="492" spans="1:31" ht="15.75" customHeight="1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9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</row>
    <row r="493" spans="1:31" ht="15.75" customHeight="1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9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</row>
    <row r="494" spans="1:31" ht="15.75" customHeight="1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9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</row>
    <row r="495" spans="1:31" ht="15.75" customHeight="1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9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</row>
    <row r="496" spans="1:31" ht="15.75" customHeight="1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9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</row>
    <row r="497" spans="1:31" ht="15.75" customHeight="1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9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</row>
    <row r="498" spans="1:31" ht="15.75" customHeight="1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9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</row>
    <row r="499" spans="1:31" ht="15.75" customHeight="1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9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</row>
    <row r="500" spans="1:31" ht="15.75" customHeight="1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9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</row>
    <row r="501" spans="1:31" ht="15.75" customHeight="1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9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</row>
    <row r="502" spans="1:31" ht="15.75" customHeight="1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9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</row>
    <row r="503" spans="1:31" ht="15.75" customHeight="1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9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</row>
    <row r="504" spans="1:31" ht="15.75" customHeight="1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9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</row>
    <row r="505" spans="1:31" ht="15.75" customHeight="1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9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</row>
    <row r="506" spans="1:31" ht="15.75" customHeight="1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9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</row>
    <row r="507" spans="1:31" ht="15.75" customHeight="1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9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</row>
    <row r="508" spans="1:31" ht="15.75" customHeight="1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9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</row>
    <row r="509" spans="1:31" ht="15.75" customHeight="1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9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</row>
    <row r="510" spans="1:31" ht="15.75" customHeight="1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9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</row>
    <row r="511" spans="1:31" ht="15.75" customHeight="1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9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</row>
    <row r="512" spans="1:31" ht="15.75" customHeight="1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9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</row>
    <row r="513" spans="1:31" ht="15.75" customHeight="1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9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</row>
    <row r="514" spans="1:31" ht="15.75" customHeight="1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9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</row>
    <row r="515" spans="1:31" ht="15.75" customHeight="1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9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</row>
    <row r="516" spans="1:31" ht="15.75" customHeight="1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9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</row>
    <row r="517" spans="1:31" ht="15.75" customHeight="1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9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</row>
    <row r="518" spans="1:31" ht="15.75" customHeight="1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9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</row>
    <row r="519" spans="1:31" ht="15.75" customHeight="1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9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</row>
    <row r="520" spans="1:31" ht="15.75" customHeight="1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9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</row>
    <row r="521" spans="1:31" ht="15.75" customHeight="1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9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</row>
    <row r="522" spans="1:31" ht="15.75" customHeight="1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9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</row>
    <row r="523" spans="1:31" ht="15.75" customHeight="1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9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</row>
    <row r="524" spans="1:31" ht="15.75" customHeight="1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9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</row>
    <row r="525" spans="1:31" ht="15.75" customHeight="1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9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</row>
    <row r="526" spans="1:31" ht="15.75" customHeight="1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9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</row>
    <row r="527" spans="1:31" ht="15.75" customHeight="1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9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</row>
    <row r="528" spans="1:31" ht="15.75" customHeight="1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9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</row>
    <row r="529" spans="1:31" ht="15.75" customHeight="1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9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</row>
    <row r="530" spans="1:31" ht="15.75" customHeight="1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9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</row>
    <row r="531" spans="1:31" ht="15.75" customHeight="1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9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</row>
    <row r="532" spans="1:31" ht="15.75" customHeight="1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9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</row>
    <row r="533" spans="1:31" ht="15.75" customHeight="1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9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</row>
    <row r="534" spans="1:31" ht="15.75" customHeight="1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9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</row>
    <row r="535" spans="1:31" ht="15.75" customHeight="1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9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</row>
    <row r="536" spans="1:31" ht="15.75" customHeight="1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9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</row>
    <row r="537" spans="1:31" ht="15.75" customHeight="1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9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</row>
    <row r="538" spans="1:31" ht="15.75" customHeight="1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9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</row>
    <row r="539" spans="1:31" ht="15.75" customHeight="1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9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</row>
    <row r="540" spans="1:31" ht="15.75" customHeight="1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9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</row>
    <row r="541" spans="1:31" ht="15.75" customHeight="1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9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</row>
    <row r="542" spans="1:31" ht="15.75" customHeight="1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9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</row>
    <row r="543" spans="1:31" ht="15.75" customHeight="1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9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</row>
    <row r="544" spans="1:31" ht="15.75" customHeight="1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9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</row>
    <row r="545" spans="1:31" ht="15.75" customHeight="1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9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</row>
    <row r="546" spans="1:31" ht="15.75" customHeight="1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9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</row>
    <row r="547" spans="1:31" ht="15.75" customHeight="1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9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</row>
    <row r="548" spans="1:31" ht="15.75" customHeight="1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9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</row>
    <row r="549" spans="1:31" ht="15.75" customHeight="1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9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</row>
    <row r="550" spans="1:31" ht="15.75" customHeight="1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9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</row>
    <row r="551" spans="1:31" ht="15.75" customHeight="1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9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</row>
    <row r="552" spans="1:31" ht="15.75" customHeight="1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9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</row>
    <row r="553" spans="1:31" ht="15.75" customHeight="1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9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</row>
    <row r="554" spans="1:31" ht="15.75" customHeight="1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9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</row>
    <row r="555" spans="1:31" ht="15.75" customHeight="1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9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</row>
    <row r="556" spans="1:31" ht="15.75" customHeight="1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9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</row>
    <row r="557" spans="1:31" ht="15.75" customHeight="1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9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</row>
    <row r="558" spans="1:31" ht="15.75" customHeight="1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9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</row>
    <row r="559" spans="1:31" ht="15.75" customHeight="1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9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</row>
    <row r="560" spans="1:31" ht="15.75" customHeight="1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9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</row>
    <row r="561" spans="1:31" ht="15.75" customHeight="1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9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</row>
    <row r="562" spans="1:31" ht="15.75" customHeight="1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9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</row>
    <row r="563" spans="1:31" ht="15.75" customHeight="1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9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</row>
    <row r="564" spans="1:31" ht="15.75" customHeight="1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9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</row>
    <row r="565" spans="1:31" ht="15.75" customHeight="1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9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</row>
    <row r="566" spans="1:31" ht="15.75" customHeight="1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9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</row>
    <row r="567" spans="1:31" ht="15.75" customHeight="1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9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</row>
    <row r="568" spans="1:31" ht="15.75" customHeight="1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9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</row>
    <row r="569" spans="1:31" ht="15.75" customHeight="1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9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</row>
    <row r="570" spans="1:31" ht="15.75" customHeight="1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9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</row>
    <row r="571" spans="1:31" ht="15.75" customHeight="1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9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</row>
    <row r="572" spans="1:31" ht="15.75" customHeight="1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9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</row>
    <row r="573" spans="1:31" ht="15.75" customHeight="1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9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</row>
    <row r="574" spans="1:31" ht="15.75" customHeight="1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9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</row>
    <row r="575" spans="1:31" ht="15.75" customHeight="1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9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</row>
    <row r="576" spans="1:31" ht="15.75" customHeight="1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9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</row>
    <row r="577" spans="1:31" ht="15.75" customHeight="1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9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</row>
    <row r="578" spans="1:31" ht="15.75" customHeight="1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9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</row>
    <row r="579" spans="1:31" ht="15.75" customHeight="1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9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</row>
    <row r="580" spans="1:31" ht="15.75" customHeight="1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9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</row>
    <row r="581" spans="1:31" ht="15.75" customHeight="1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9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</row>
    <row r="582" spans="1:31" ht="15.75" customHeight="1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9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</row>
    <row r="583" spans="1:31" ht="15.75" customHeight="1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9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</row>
    <row r="584" spans="1:31" ht="15.75" customHeight="1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9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</row>
    <row r="585" spans="1:31" ht="15.75" customHeight="1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9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</row>
    <row r="586" spans="1:31" ht="15.75" customHeight="1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9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</row>
    <row r="587" spans="1:31" ht="15.75" customHeight="1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9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</row>
    <row r="588" spans="1:31" ht="15.75" customHeight="1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9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</row>
    <row r="589" spans="1:31" ht="15.75" customHeight="1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9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</row>
    <row r="590" spans="1:31" ht="15.75" customHeight="1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9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</row>
    <row r="591" spans="1:31" ht="15.75" customHeight="1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9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</row>
    <row r="592" spans="1:31" ht="15.75" customHeight="1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9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</row>
    <row r="593" spans="1:31" ht="15.75" customHeight="1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9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</row>
    <row r="594" spans="1:31" ht="15.75" customHeight="1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9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</row>
    <row r="595" spans="1:31" ht="15.75" customHeight="1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9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</row>
    <row r="596" spans="1:31" ht="15.75" customHeight="1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9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</row>
    <row r="597" spans="1:31" ht="15.75" customHeight="1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9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</row>
    <row r="598" spans="1:31" ht="15.75" customHeight="1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9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</row>
    <row r="599" spans="1:31" ht="15.75" customHeight="1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9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</row>
    <row r="600" spans="1:31" ht="15.75" customHeight="1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9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</row>
    <row r="601" spans="1:31" ht="15.75" customHeight="1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9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</row>
    <row r="602" spans="1:31" ht="15.75" customHeight="1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9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</row>
    <row r="603" spans="1:31" ht="15.75" customHeight="1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9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</row>
    <row r="604" spans="1:31" ht="15.75" customHeight="1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9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</row>
    <row r="605" spans="1:31" ht="15.75" customHeight="1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9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</row>
    <row r="606" spans="1:31" ht="15.75" customHeight="1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9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</row>
    <row r="607" spans="1:31" ht="15.75" customHeight="1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9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</row>
    <row r="608" spans="1:31" ht="15.75" customHeight="1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9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</row>
    <row r="609" spans="1:31" ht="15.75" customHeight="1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9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</row>
    <row r="610" spans="1:31" ht="15.75" customHeight="1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9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</row>
    <row r="611" spans="1:31" ht="15.75" customHeight="1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9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</row>
    <row r="612" spans="1:31" ht="15.75" customHeight="1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9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</row>
    <row r="613" spans="1:31" ht="15.75" customHeight="1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9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</row>
    <row r="614" spans="1:31" ht="15.75" customHeight="1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9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</row>
    <row r="615" spans="1:31" ht="15.75" customHeight="1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9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</row>
    <row r="616" spans="1:31" ht="15.75" customHeight="1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9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</row>
    <row r="617" spans="1:31" ht="15.75" customHeight="1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9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</row>
    <row r="618" spans="1:31" ht="15.75" customHeight="1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9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</row>
    <row r="619" spans="1:31" ht="15.75" customHeight="1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9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</row>
    <row r="620" spans="1:31" ht="15.75" customHeight="1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9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</row>
    <row r="621" spans="1:31" ht="15.75" customHeight="1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9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</row>
    <row r="622" spans="1:31" ht="15.75" customHeight="1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9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</row>
    <row r="623" spans="1:31" ht="15.75" customHeight="1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9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</row>
    <row r="624" spans="1:31" ht="15.75" customHeight="1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9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</row>
    <row r="625" spans="1:31" ht="15.75" customHeight="1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9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</row>
    <row r="626" spans="1:31" ht="15.75" customHeight="1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9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</row>
    <row r="627" spans="1:31" ht="15.75" customHeight="1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9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</row>
    <row r="628" spans="1:31" ht="15.75" customHeight="1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9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</row>
    <row r="629" spans="1:31" ht="15.75" customHeight="1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9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</row>
    <row r="630" spans="1:31" ht="15.75" customHeight="1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9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</row>
    <row r="631" spans="1:31" ht="15.75" customHeight="1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9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</row>
    <row r="632" spans="1:31" ht="15.75" customHeight="1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9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</row>
    <row r="633" spans="1:31" ht="15.75" customHeight="1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9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</row>
    <row r="634" spans="1:31" ht="15.75" customHeight="1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9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</row>
    <row r="635" spans="1:31" ht="15.75" customHeight="1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9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</row>
    <row r="636" spans="1:31" ht="15.75" customHeight="1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9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</row>
    <row r="637" spans="1:31" ht="15.75" customHeight="1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9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</row>
    <row r="638" spans="1:31" ht="15.75" customHeight="1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9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</row>
    <row r="639" spans="1:31" ht="15.75" customHeight="1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9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</row>
    <row r="640" spans="1:31" ht="15.75" customHeight="1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9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</row>
    <row r="641" spans="1:31" ht="15.75" customHeight="1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9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</row>
    <row r="642" spans="1:31" ht="15.75" customHeight="1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9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</row>
    <row r="643" spans="1:31" ht="15.75" customHeight="1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9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</row>
    <row r="644" spans="1:31" ht="15.75" customHeight="1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9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</row>
    <row r="645" spans="1:31" ht="15.75" customHeight="1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9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</row>
    <row r="646" spans="1:31" ht="15.75" customHeight="1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9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</row>
    <row r="647" spans="1:31" ht="15.75" customHeight="1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9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</row>
    <row r="648" spans="1:31" ht="15.75" customHeight="1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9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</row>
    <row r="649" spans="1:31" ht="15.75" customHeight="1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9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</row>
    <row r="650" spans="1:31" ht="15.75" customHeight="1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9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</row>
    <row r="651" spans="1:31" ht="15.75" customHeight="1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9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</row>
    <row r="652" spans="1:31" ht="15.75" customHeight="1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9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</row>
    <row r="653" spans="1:31" ht="15.75" customHeight="1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9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</row>
    <row r="654" spans="1:31" ht="15.75" customHeight="1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9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</row>
    <row r="655" spans="1:31" ht="15.75" customHeight="1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9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</row>
    <row r="656" spans="1:31" ht="15.75" customHeight="1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9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</row>
    <row r="657" spans="1:31" ht="15.75" customHeight="1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9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</row>
    <row r="658" spans="1:31" ht="15.75" customHeight="1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9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</row>
    <row r="659" spans="1:31" ht="15.75" customHeight="1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9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</row>
    <row r="660" spans="1:31" ht="15.75" customHeight="1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9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</row>
    <row r="661" spans="1:31" ht="15.75" customHeight="1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9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</row>
    <row r="662" spans="1:31" ht="15.75" customHeight="1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9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</row>
    <row r="663" spans="1:31" ht="15.75" customHeight="1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9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</row>
    <row r="664" spans="1:31" ht="15.75" customHeight="1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9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</row>
    <row r="665" spans="1:31" ht="15.75" customHeight="1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9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</row>
    <row r="666" spans="1:31" ht="15.75" customHeight="1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9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</row>
    <row r="667" spans="1:31" ht="15.75" customHeight="1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9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</row>
    <row r="668" spans="1:31" ht="15.75" customHeight="1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9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</row>
    <row r="669" spans="1:31" ht="15.75" customHeight="1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9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</row>
    <row r="670" spans="1:31" ht="15.75" customHeight="1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9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</row>
    <row r="671" spans="1:31" ht="15.75" customHeight="1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9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</row>
    <row r="672" spans="1:31" ht="15.75" customHeight="1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9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</row>
    <row r="673" spans="1:31" ht="15.75" customHeight="1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9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</row>
    <row r="674" spans="1:31" ht="15.75" customHeight="1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9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</row>
    <row r="675" spans="1:31" ht="15.75" customHeight="1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9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</row>
    <row r="676" spans="1:31" ht="15.75" customHeight="1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9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</row>
    <row r="677" spans="1:31" ht="15.75" customHeight="1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9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</row>
    <row r="678" spans="1:31" ht="15.75" customHeight="1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9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</row>
    <row r="679" spans="1:31" ht="15.75" customHeight="1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9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</row>
    <row r="680" spans="1:31" ht="15.75" customHeight="1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9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</row>
    <row r="681" spans="1:31" ht="15.75" customHeight="1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9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</row>
    <row r="682" spans="1:31" ht="15.75" customHeight="1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9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</row>
    <row r="683" spans="1:31" ht="15.75" customHeight="1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9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</row>
    <row r="684" spans="1:31" ht="15.75" customHeight="1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9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</row>
    <row r="685" spans="1:31" ht="15.75" customHeight="1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9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</row>
    <row r="686" spans="1:31" ht="15.75" customHeight="1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9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</row>
    <row r="687" spans="1:31" ht="15.75" customHeight="1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9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</row>
    <row r="688" spans="1:31" ht="15.75" customHeight="1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9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</row>
    <row r="689" spans="1:31" ht="15.75" customHeight="1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9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</row>
    <row r="690" spans="1:31" ht="15.75" customHeight="1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9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</row>
    <row r="691" spans="1:31" ht="15.75" customHeight="1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9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</row>
    <row r="692" spans="1:31" ht="15.75" customHeight="1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9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</row>
    <row r="693" spans="1:31" ht="15.75" customHeight="1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9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</row>
    <row r="694" spans="1:31" ht="15.75" customHeight="1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9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</row>
    <row r="695" spans="1:31" ht="15.75" customHeight="1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9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</row>
    <row r="696" spans="1:31" ht="15.75" customHeight="1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9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</row>
    <row r="697" spans="1:31" ht="15.75" customHeight="1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9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</row>
    <row r="698" spans="1:31" ht="15.75" customHeight="1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9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</row>
    <row r="699" spans="1:31" ht="15.75" customHeight="1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9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</row>
    <row r="700" spans="1:31" ht="15.75" customHeight="1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9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</row>
    <row r="701" spans="1:31" ht="15.75" customHeight="1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9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</row>
    <row r="702" spans="1:31" ht="15.75" customHeight="1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9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</row>
    <row r="703" spans="1:31" ht="15.75" customHeight="1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9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</row>
    <row r="704" spans="1:31" ht="15.75" customHeight="1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9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</row>
    <row r="705" spans="1:31" ht="15.75" customHeight="1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9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</row>
    <row r="706" spans="1:31" ht="15.75" customHeight="1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9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</row>
    <row r="707" spans="1:31" ht="15.75" customHeight="1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9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</row>
    <row r="708" spans="1:31" ht="15.75" customHeight="1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9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</row>
    <row r="709" spans="1:31" ht="15.75" customHeight="1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9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</row>
    <row r="710" spans="1:31" ht="15.75" customHeight="1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9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</row>
    <row r="711" spans="1:31" ht="15.75" customHeight="1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9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</row>
    <row r="712" spans="1:31" ht="15.75" customHeight="1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9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</row>
    <row r="713" spans="1:31" ht="15.75" customHeight="1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9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</row>
    <row r="714" spans="1:31" ht="15.75" customHeight="1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9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</row>
    <row r="715" spans="1:31" ht="15.75" customHeight="1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9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</row>
    <row r="716" spans="1:31" ht="15.75" customHeight="1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9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</row>
    <row r="717" spans="1:31" ht="15.75" customHeight="1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9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</row>
    <row r="718" spans="1:31" ht="15.75" customHeight="1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9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</row>
    <row r="719" spans="1:31" ht="15.75" customHeight="1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9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</row>
    <row r="720" spans="1:31" ht="15.75" customHeight="1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9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</row>
    <row r="721" spans="1:31" ht="15.75" customHeight="1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9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</row>
    <row r="722" spans="1:31" ht="15.75" customHeight="1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9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</row>
    <row r="723" spans="1:31" ht="15.75" customHeight="1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9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</row>
    <row r="724" spans="1:31" ht="15.75" customHeight="1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9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</row>
    <row r="725" spans="1:31" ht="15.75" customHeight="1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9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</row>
    <row r="726" spans="1:31" ht="15.75" customHeight="1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9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</row>
    <row r="727" spans="1:31" ht="15.75" customHeight="1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9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</row>
    <row r="728" spans="1:31" ht="15.75" customHeight="1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9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</row>
    <row r="729" spans="1:31" ht="15.75" customHeight="1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9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</row>
    <row r="730" spans="1:31" ht="15.75" customHeight="1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9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</row>
    <row r="731" spans="1:31" ht="15.75" customHeight="1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9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</row>
    <row r="732" spans="1:31" ht="15.75" customHeight="1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9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</row>
    <row r="733" spans="1:31" ht="15.75" customHeight="1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9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</row>
    <row r="734" spans="1:31" ht="15.75" customHeight="1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9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</row>
    <row r="735" spans="1:31" ht="15.75" customHeight="1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9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</row>
    <row r="736" spans="1:31" ht="15.75" customHeight="1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9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</row>
    <row r="737" spans="1:31" ht="15.75" customHeight="1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9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</row>
    <row r="738" spans="1:31" ht="15.75" customHeight="1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9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</row>
    <row r="739" spans="1:31" ht="15.75" customHeight="1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9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</row>
    <row r="740" spans="1:31" ht="15.75" customHeight="1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9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</row>
    <row r="741" spans="1:31" ht="15.75" customHeight="1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9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</row>
    <row r="742" spans="1:31" ht="15.75" customHeight="1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9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</row>
    <row r="743" spans="1:31" ht="15.75" customHeight="1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9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</row>
    <row r="744" spans="1:31" ht="15.75" customHeight="1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9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</row>
    <row r="745" spans="1:31" ht="15.75" customHeight="1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9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</row>
    <row r="746" spans="1:31" ht="15.75" customHeight="1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9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</row>
    <row r="747" spans="1:31" ht="15.75" customHeight="1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9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</row>
    <row r="748" spans="1:31" ht="15.75" customHeight="1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9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</row>
    <row r="749" spans="1:31" ht="15.75" customHeight="1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9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</row>
    <row r="750" spans="1:31" ht="15.75" customHeight="1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9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</row>
    <row r="751" spans="1:31" ht="15.75" customHeight="1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9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</row>
    <row r="752" spans="1:31" ht="15.75" customHeight="1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9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</row>
    <row r="753" spans="1:31" ht="15.75" customHeight="1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9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</row>
    <row r="754" spans="1:31" ht="15.75" customHeight="1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9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</row>
    <row r="755" spans="1:31" ht="15.75" customHeight="1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9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</row>
    <row r="756" spans="1:31" ht="15.75" customHeight="1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9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</row>
    <row r="757" spans="1:31" ht="15.75" customHeight="1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9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</row>
    <row r="758" spans="1:31" ht="15.75" customHeight="1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9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</row>
    <row r="759" spans="1:31" ht="15.75" customHeight="1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9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</row>
    <row r="760" spans="1:31" ht="15.75" customHeight="1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9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</row>
    <row r="761" spans="1:31" ht="15.75" customHeight="1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9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</row>
    <row r="762" spans="1:31" ht="15.75" customHeight="1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9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</row>
    <row r="763" spans="1:31" ht="15.75" customHeight="1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9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</row>
    <row r="764" spans="1:31" ht="15.75" customHeight="1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9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</row>
    <row r="765" spans="1:31" ht="15.75" customHeight="1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9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</row>
    <row r="766" spans="1:31" ht="15.75" customHeight="1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9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</row>
    <row r="767" spans="1:31" ht="15.75" customHeight="1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9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</row>
    <row r="768" spans="1:31" ht="15.75" customHeight="1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9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</row>
    <row r="769" spans="1:31" ht="15.75" customHeight="1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9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</row>
    <row r="770" spans="1:31" ht="15.75" customHeight="1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9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</row>
    <row r="771" spans="1:31" ht="15.75" customHeight="1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9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</row>
    <row r="772" spans="1:31" ht="15.75" customHeight="1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9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</row>
    <row r="773" spans="1:31" ht="15.75" customHeight="1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9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</row>
    <row r="774" spans="1:31" ht="15.75" customHeight="1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9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</row>
    <row r="775" spans="1:31" ht="15.75" customHeight="1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9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</row>
    <row r="776" spans="1:31" ht="15.75" customHeight="1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9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</row>
    <row r="777" spans="1:31" ht="15.75" customHeight="1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9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</row>
    <row r="778" spans="1:31" ht="15.75" customHeight="1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9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</row>
    <row r="779" spans="1:31" ht="15.75" customHeight="1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9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</row>
    <row r="780" spans="1:31" ht="15.75" customHeight="1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9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</row>
    <row r="781" spans="1:31" ht="15.75" customHeight="1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9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</row>
    <row r="782" spans="1:31" ht="15.75" customHeight="1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9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</row>
    <row r="783" spans="1:31" ht="15.75" customHeight="1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9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</row>
    <row r="784" spans="1:31" ht="15.75" customHeight="1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9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</row>
    <row r="785" spans="1:31" ht="15.75" customHeight="1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9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</row>
    <row r="786" spans="1:31" ht="15.75" customHeight="1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9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</row>
    <row r="787" spans="1:31" ht="15.75" customHeight="1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9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</row>
    <row r="788" spans="1:31" ht="15.75" customHeight="1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9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</row>
    <row r="789" spans="1:31" ht="15.75" customHeight="1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9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</row>
    <row r="790" spans="1:31" ht="15.75" customHeight="1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9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</row>
    <row r="791" spans="1:31" ht="15.75" customHeight="1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9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</row>
    <row r="792" spans="1:31" ht="15.75" customHeight="1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9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</row>
    <row r="793" spans="1:31" ht="15.75" customHeight="1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9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</row>
    <row r="794" spans="1:31" ht="15.75" customHeight="1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9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</row>
    <row r="795" spans="1:31" ht="15.75" customHeight="1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9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</row>
    <row r="796" spans="1:31" ht="15.75" customHeight="1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9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</row>
    <row r="797" spans="1:31" ht="15.75" customHeight="1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9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</row>
    <row r="798" spans="1:31" ht="15.75" customHeight="1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9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</row>
    <row r="799" spans="1:31" ht="15.75" customHeight="1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9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</row>
    <row r="800" spans="1:31" ht="15.75" customHeight="1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9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</row>
    <row r="801" spans="1:31" ht="15.75" customHeight="1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9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</row>
    <row r="802" spans="1:31" ht="15.75" customHeight="1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9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</row>
    <row r="803" spans="1:31" ht="15.75" customHeight="1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9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</row>
    <row r="804" spans="1:31" ht="15.75" customHeight="1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9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</row>
    <row r="805" spans="1:31" ht="15.75" customHeight="1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9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</row>
    <row r="806" spans="1:31" ht="15.75" customHeight="1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9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</row>
    <row r="807" spans="1:31" ht="15.75" customHeight="1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9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</row>
    <row r="808" spans="1:31" ht="15.75" customHeight="1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9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</row>
    <row r="809" spans="1:31" ht="15.75" customHeight="1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9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</row>
    <row r="810" spans="1:31" ht="15.75" customHeight="1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9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</row>
    <row r="811" spans="1:31" ht="15.75" customHeight="1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9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</row>
    <row r="812" spans="1:31" ht="15.75" customHeight="1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9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</row>
    <row r="813" spans="1:31" ht="15.75" customHeight="1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9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</row>
    <row r="814" spans="1:31" ht="15.75" customHeight="1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9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</row>
    <row r="815" spans="1:31" ht="15.75" customHeight="1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9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</row>
    <row r="816" spans="1:31" ht="15.75" customHeight="1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9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</row>
    <row r="817" spans="1:31" ht="15.75" customHeight="1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9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</row>
    <row r="818" spans="1:31" ht="15.75" customHeight="1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9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</row>
    <row r="819" spans="1:31" ht="15.75" customHeight="1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9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</row>
    <row r="820" spans="1:31" ht="15.75" customHeight="1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9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</row>
    <row r="821" spans="1:31" ht="15.75" customHeight="1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9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</row>
    <row r="822" spans="1:31" ht="15.75" customHeight="1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9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</row>
    <row r="823" spans="1:31" ht="15.75" customHeight="1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9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</row>
    <row r="824" spans="1:31" ht="15.75" customHeight="1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9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</row>
    <row r="825" spans="1:31" ht="15.75" customHeight="1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9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</row>
    <row r="826" spans="1:31" ht="15.75" customHeight="1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9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</row>
    <row r="827" spans="1:31" ht="15.75" customHeight="1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9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</row>
    <row r="828" spans="1:31" ht="15.75" customHeight="1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9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</row>
    <row r="829" spans="1:31" ht="15.75" customHeight="1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9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</row>
    <row r="830" spans="1:31" ht="15.75" customHeight="1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9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</row>
    <row r="831" spans="1:31" ht="15.75" customHeight="1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9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</row>
    <row r="832" spans="1:31" ht="15.75" customHeight="1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9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</row>
    <row r="833" spans="1:31" ht="15.75" customHeight="1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9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</row>
    <row r="834" spans="1:31" ht="15.75" customHeight="1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9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</row>
    <row r="835" spans="1:31" ht="15.75" customHeight="1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9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</row>
    <row r="836" spans="1:31" ht="15.75" customHeight="1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9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</row>
    <row r="837" spans="1:31" ht="15.75" customHeight="1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9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</row>
    <row r="838" spans="1:31" ht="15.75" customHeight="1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9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</row>
    <row r="839" spans="1:31" ht="15.75" customHeight="1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9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</row>
    <row r="840" spans="1:31" ht="15.75" customHeight="1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9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</row>
    <row r="841" spans="1:31" ht="15.75" customHeight="1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9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</row>
    <row r="842" spans="1:31" ht="15.75" customHeight="1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9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</row>
    <row r="843" spans="1:31" ht="15.75" customHeight="1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9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</row>
    <row r="844" spans="1:31" ht="15.75" customHeight="1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9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</row>
    <row r="845" spans="1:31" ht="15.75" customHeight="1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9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</row>
    <row r="846" spans="1:31" ht="15.75" customHeight="1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9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</row>
    <row r="847" spans="1:31" ht="15.75" customHeight="1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9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</row>
    <row r="848" spans="1:31" ht="15.75" customHeight="1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9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</row>
    <row r="849" spans="1:31" ht="15.75" customHeight="1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9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</row>
    <row r="850" spans="1:31" ht="15.75" customHeight="1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9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</row>
    <row r="851" spans="1:31" ht="15.75" customHeight="1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9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</row>
    <row r="852" spans="1:31" ht="15.75" customHeight="1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9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</row>
    <row r="853" spans="1:31" ht="15.75" customHeight="1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9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</row>
    <row r="854" spans="1:31" ht="15.75" customHeight="1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9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</row>
    <row r="855" spans="1:31" ht="15.75" customHeight="1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9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</row>
    <row r="856" spans="1:31" ht="15.75" customHeight="1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9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</row>
    <row r="857" spans="1:31" ht="15.75" customHeight="1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9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</row>
    <row r="858" spans="1:31" ht="15.75" customHeight="1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9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</row>
    <row r="859" spans="1:31" ht="15.75" customHeight="1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9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</row>
    <row r="860" spans="1:31" ht="15.75" customHeight="1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9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</row>
    <row r="861" spans="1:31" ht="15.75" customHeight="1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9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</row>
    <row r="862" spans="1:31" ht="15.75" customHeight="1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9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</row>
    <row r="863" spans="1:31" ht="15.75" customHeight="1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9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</row>
    <row r="864" spans="1:31" ht="15.75" customHeight="1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9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</row>
    <row r="865" spans="1:31" ht="15.75" customHeight="1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9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</row>
    <row r="866" spans="1:31" ht="15.75" customHeight="1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9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</row>
    <row r="867" spans="1:31" ht="15.75" customHeight="1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9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</row>
    <row r="868" spans="1:31" ht="15.75" customHeight="1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9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</row>
    <row r="869" spans="1:31" ht="15.75" customHeight="1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9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</row>
    <row r="870" spans="1:31" ht="15.75" customHeight="1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9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</row>
    <row r="871" spans="1:31" ht="15.75" customHeight="1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9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</row>
    <row r="872" spans="1:31" ht="15.75" customHeight="1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9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</row>
    <row r="873" spans="1:31" ht="15.75" customHeight="1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9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</row>
    <row r="874" spans="1:31" ht="15.75" customHeight="1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9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</row>
    <row r="875" spans="1:31" ht="15.75" customHeight="1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9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</row>
    <row r="876" spans="1:31" ht="15.75" customHeight="1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9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</row>
    <row r="877" spans="1:31" ht="15.75" customHeight="1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9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</row>
    <row r="878" spans="1:31" ht="15.75" customHeight="1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9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</row>
    <row r="879" spans="1:31" ht="15.75" customHeight="1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9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</row>
    <row r="880" spans="1:31" ht="15.75" customHeight="1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9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</row>
    <row r="881" spans="1:31" ht="15.75" customHeight="1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9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</row>
    <row r="882" spans="1:31" ht="15.75" customHeight="1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9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</row>
    <row r="883" spans="1:31" ht="15.75" customHeight="1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9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</row>
    <row r="884" spans="1:31" ht="15.75" customHeight="1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9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</row>
    <row r="885" spans="1:31" ht="15.75" customHeight="1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9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</row>
    <row r="886" spans="1:31" ht="15.75" customHeight="1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9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</row>
    <row r="887" spans="1:31" ht="15.75" customHeight="1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9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</row>
    <row r="888" spans="1:31" ht="15.75" customHeight="1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9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</row>
    <row r="889" spans="1:31" ht="15.75" customHeight="1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9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</row>
    <row r="890" spans="1:31" ht="15.75" customHeight="1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9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</row>
    <row r="891" spans="1:31" ht="15.75" customHeight="1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9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</row>
    <row r="892" spans="1:31" ht="15.75" customHeight="1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9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</row>
    <row r="893" spans="1:31" ht="15.75" customHeight="1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9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</row>
    <row r="894" spans="1:31" ht="15.75" customHeight="1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9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</row>
    <row r="895" spans="1:31" ht="15.75" customHeight="1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9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</row>
    <row r="896" spans="1:31" ht="15.75" customHeight="1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9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</row>
    <row r="897" spans="1:31" ht="15.75" customHeight="1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9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</row>
    <row r="898" spans="1:31" ht="15.75" customHeight="1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9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</row>
    <row r="899" spans="1:31" ht="15.75" customHeight="1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9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</row>
    <row r="900" spans="1:31" ht="15.75" customHeight="1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9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</row>
    <row r="901" spans="1:31" ht="15.75" customHeight="1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9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</row>
    <row r="902" spans="1:31" ht="15.75" customHeight="1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9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</row>
    <row r="903" spans="1:31" ht="15.75" customHeight="1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9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</row>
    <row r="904" spans="1:31" ht="15.75" customHeight="1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9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</row>
    <row r="905" spans="1:31" ht="15.75" customHeight="1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9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</row>
    <row r="906" spans="1:31" ht="15.75" customHeight="1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9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</row>
    <row r="907" spans="1:31" ht="15.75" customHeight="1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9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</row>
    <row r="908" spans="1:31" ht="15.75" customHeight="1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9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</row>
    <row r="909" spans="1:31" ht="15.75" customHeight="1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9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</row>
    <row r="910" spans="1:31" ht="15.75" customHeight="1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9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</row>
    <row r="911" spans="1:31" ht="15.75" customHeight="1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9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</row>
    <row r="912" spans="1:31" ht="15.75" customHeight="1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9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</row>
    <row r="913" spans="1:31" ht="15.75" customHeight="1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9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</row>
    <row r="914" spans="1:31" ht="15.75" customHeight="1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9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</row>
    <row r="915" spans="1:31" ht="15.75" customHeight="1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9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</row>
    <row r="916" spans="1:31" ht="15.75" customHeight="1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9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</row>
    <row r="917" spans="1:31" ht="15.75" customHeight="1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9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</row>
    <row r="918" spans="1:31" ht="15.75" customHeight="1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9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</row>
    <row r="919" spans="1:31" ht="15.75" customHeight="1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9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</row>
    <row r="920" spans="1:31" ht="15.75" customHeight="1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9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</row>
    <row r="921" spans="1:31" ht="15.75" customHeight="1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9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</row>
    <row r="922" spans="1:31" ht="15.75" customHeight="1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9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</row>
    <row r="923" spans="1:31" ht="15.75" customHeight="1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9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</row>
    <row r="924" spans="1:31" ht="15.75" customHeight="1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9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</row>
    <row r="925" spans="1:31" ht="15.75" customHeight="1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9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</row>
    <row r="926" spans="1:31" ht="15.75" customHeight="1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9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</row>
    <row r="927" spans="1:31" ht="15.75" customHeight="1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9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</row>
    <row r="928" spans="1:31" ht="15.75" customHeight="1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9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</row>
    <row r="929" spans="1:31" ht="15.75" customHeight="1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9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</row>
    <row r="930" spans="1:31" ht="15.75" customHeight="1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9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</row>
    <row r="931" spans="1:31" ht="15.75" customHeight="1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9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</row>
    <row r="932" spans="1:31" ht="15.75" customHeight="1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9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</row>
    <row r="933" spans="1:31" ht="15.75" customHeight="1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9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</row>
    <row r="934" spans="1:31" ht="15.75" customHeight="1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9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</row>
    <row r="935" spans="1:31" ht="15.75" customHeight="1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9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</row>
    <row r="936" spans="1:31" ht="15.75" customHeight="1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9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</row>
    <row r="937" spans="1:31" ht="15.75" customHeight="1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9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</row>
    <row r="938" spans="1:31" ht="15.75" customHeight="1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9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</row>
    <row r="939" spans="1:31" ht="15.75" customHeight="1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9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</row>
    <row r="940" spans="1:31" ht="15.75" customHeight="1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9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</row>
    <row r="941" spans="1:31" ht="15.75" customHeight="1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9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</row>
    <row r="942" spans="1:31" ht="15.75" customHeight="1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9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</row>
    <row r="943" spans="1:31" ht="15.75" customHeight="1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9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</row>
    <row r="944" spans="1:31" ht="15.75" customHeight="1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9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</row>
    <row r="945" spans="1:31" ht="15.75" customHeight="1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9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</row>
    <row r="946" spans="1:31" ht="15.75" customHeight="1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9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</row>
    <row r="947" spans="1:31" ht="15.75" customHeight="1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9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</row>
    <row r="948" spans="1:31" ht="15.75" customHeight="1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9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</row>
    <row r="949" spans="1:31" ht="15.75" customHeight="1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9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</row>
    <row r="950" spans="1:31" ht="15.75" customHeight="1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9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</row>
    <row r="951" spans="1:31" ht="15.75" customHeight="1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9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</row>
    <row r="952" spans="1:31" ht="15.75" customHeight="1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9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</row>
    <row r="953" spans="1:31" ht="15.75" customHeight="1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9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</row>
    <row r="954" spans="1:31" ht="15.75" customHeight="1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9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</row>
    <row r="955" spans="1:31" ht="15.75" customHeight="1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9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</row>
    <row r="956" spans="1:31" ht="15.75" customHeight="1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9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</row>
    <row r="957" spans="1:31" ht="15.75" customHeight="1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9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</row>
    <row r="958" spans="1:31" ht="15.75" customHeight="1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9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</row>
    <row r="959" spans="1:31" ht="15.75" customHeight="1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9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</row>
    <row r="960" spans="1:31" ht="15.75" customHeight="1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9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</row>
    <row r="961" spans="1:31" ht="15.75" customHeight="1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9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</row>
    <row r="962" spans="1:31" ht="15.75" customHeight="1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9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</row>
    <row r="963" spans="1:31" ht="15.75" customHeight="1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9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</row>
    <row r="964" spans="1:31" ht="15.75" customHeight="1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9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</row>
    <row r="965" spans="1:31" ht="15.75" customHeight="1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9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</row>
    <row r="966" spans="1:31" ht="15.75" customHeight="1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9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</row>
    <row r="967" spans="1:31" ht="15.75" customHeight="1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9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</row>
    <row r="968" spans="1:31" ht="15.75" customHeight="1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9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</row>
    <row r="969" spans="1:31" ht="15.75" customHeight="1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9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</row>
    <row r="970" spans="1:31" ht="15.75" customHeight="1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9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</row>
    <row r="971" spans="1:31" ht="15.75" customHeight="1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9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</row>
    <row r="972" spans="1:31" ht="15.75" customHeight="1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9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</row>
    <row r="973" spans="1:31" ht="15.75" customHeight="1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9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</row>
    <row r="974" spans="1:31" ht="15.75" customHeight="1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9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</row>
    <row r="975" spans="1:31" ht="15.75" customHeight="1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9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</row>
    <row r="976" spans="1:31" ht="15.75" customHeight="1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9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</row>
    <row r="977" spans="1:31" ht="15.75" customHeight="1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9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</row>
    <row r="978" spans="1:31" ht="15.75" customHeight="1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9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</row>
    <row r="979" spans="1:31" ht="15.75" customHeight="1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9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</row>
    <row r="980" spans="1:31" ht="15.75" customHeight="1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9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</row>
    <row r="981" spans="1:31" ht="15.75" customHeight="1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9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</row>
    <row r="982" spans="1:31" ht="15.75" customHeight="1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9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</row>
    <row r="983" spans="1:31" ht="15.75" customHeight="1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9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</row>
    <row r="984" spans="1:31" ht="15.75" customHeight="1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9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</row>
    <row r="985" spans="1:31" ht="15.75" customHeight="1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9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</row>
    <row r="986" spans="1:31" ht="15.75" customHeight="1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9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</row>
    <row r="987" spans="1:31" ht="15.75" customHeight="1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9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</row>
    <row r="988" spans="1:31" ht="15.75" customHeight="1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9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</row>
    <row r="989" spans="1:31" ht="15.75" customHeight="1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9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</row>
    <row r="990" spans="1:31" ht="15.75" customHeight="1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9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</row>
    <row r="991" spans="1:31" ht="15.75" customHeight="1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9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</row>
    <row r="992" spans="1:31" ht="15.75" customHeight="1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9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</row>
    <row r="993" spans="1:31" ht="15.75" customHeight="1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9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</row>
    <row r="994" spans="1:31" ht="15.75" customHeight="1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9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</row>
    <row r="995" spans="1:31" ht="15.75" customHeight="1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9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</row>
    <row r="996" spans="1:31" ht="15.75" customHeight="1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9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</row>
    <row r="997" spans="1:31" ht="15.75" customHeight="1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9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</row>
    <row r="998" spans="1:31" ht="15.75" customHeight="1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9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</row>
    <row r="999" spans="1:31" ht="15.75" customHeight="1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9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</row>
    <row r="1000" spans="1:31" ht="15.75" customHeight="1" x14ac:dyDescent="0.2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9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</row>
    <row r="1001" spans="1:31" ht="15.75" customHeight="1" x14ac:dyDescent="0.25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9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</row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3907-DA29-480A-98C8-0DBC3D06B234}">
  <dimension ref="A1:A79"/>
  <sheetViews>
    <sheetView topLeftCell="A61" zoomScale="85" zoomScaleNormal="85" workbookViewId="0">
      <selection activeCell="Y41" sqref="Y41:AM41"/>
    </sheetView>
  </sheetViews>
  <sheetFormatPr defaultRowHeight="14.25" x14ac:dyDescent="0.2"/>
  <sheetData>
    <row r="1" spans="1:1" x14ac:dyDescent="0.2">
      <c r="A1" t="s">
        <v>48</v>
      </c>
    </row>
    <row r="40" spans="1:1" x14ac:dyDescent="0.2">
      <c r="A40" t="s">
        <v>50</v>
      </c>
    </row>
    <row r="79" spans="1:1" x14ac:dyDescent="0.2">
      <c r="A79" t="s">
        <v>49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2.625" defaultRowHeight="15" customHeight="1" x14ac:dyDescent="0.2"/>
  <cols>
    <col min="1" max="7" width="10.625" customWidth="1"/>
    <col min="8" max="8" width="23" customWidth="1"/>
    <col min="9" max="9" width="23.875" customWidth="1"/>
    <col min="10" max="10" width="22" customWidth="1"/>
    <col min="11" max="11" width="22.875" customWidth="1"/>
    <col min="12" max="12" width="17.625" customWidth="1"/>
    <col min="13" max="13" width="18.5" customWidth="1"/>
    <col min="14" max="14" width="14.5" customWidth="1"/>
    <col min="15" max="15" width="15.375" customWidth="1"/>
    <col min="16" max="16" width="14.125" customWidth="1"/>
    <col min="17" max="17" width="15.125" customWidth="1"/>
    <col min="18" max="18" width="15.625" customWidth="1"/>
    <col min="19" max="19" width="16.5" customWidth="1"/>
    <col min="20" max="20" width="13.125" customWidth="1"/>
    <col min="21" max="21" width="14.125" customWidth="1"/>
    <col min="22" max="22" width="16.375" customWidth="1"/>
    <col min="23" max="23" width="17.375" customWidth="1"/>
    <col min="24" max="24" width="15.125" customWidth="1"/>
    <col min="25" max="25" width="16" customWidth="1"/>
    <col min="26" max="26" width="12.5" customWidth="1"/>
    <col min="27" max="27" width="12.375" customWidth="1"/>
    <col min="28" max="28" width="14.625" customWidth="1"/>
    <col min="29" max="30" width="15.625" customWidth="1"/>
    <col min="31" max="31" width="13.125" customWidth="1"/>
  </cols>
  <sheetData>
    <row r="1" spans="1:31" x14ac:dyDescent="0.2">
      <c r="A1" s="2" t="s">
        <v>15</v>
      </c>
      <c r="B1" s="2" t="s">
        <v>16</v>
      </c>
      <c r="C1" s="5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</row>
    <row r="2" spans="1:31" x14ac:dyDescent="0.25">
      <c r="A2" s="7">
        <v>42005</v>
      </c>
      <c r="B2" s="8">
        <v>2015</v>
      </c>
      <c r="C2" s="8">
        <v>1</v>
      </c>
      <c r="D2" s="8">
        <v>31</v>
      </c>
      <c r="E2" s="8">
        <v>6.6E-3</v>
      </c>
      <c r="F2" s="8">
        <v>3.0200000000000001E-2</v>
      </c>
      <c r="G2" s="8">
        <v>0.18</v>
      </c>
      <c r="H2" s="8">
        <v>400</v>
      </c>
      <c r="I2" s="8">
        <v>400</v>
      </c>
      <c r="J2" s="8">
        <v>330.1</v>
      </c>
      <c r="K2" s="8">
        <v>357</v>
      </c>
      <c r="L2" s="8"/>
      <c r="M2" s="8"/>
      <c r="N2" s="8">
        <v>7.2061299999999999</v>
      </c>
      <c r="O2" s="8"/>
      <c r="P2" s="21">
        <v>14080</v>
      </c>
      <c r="Q2" s="21">
        <v>133278.39999999999</v>
      </c>
      <c r="R2" s="8">
        <v>0.30130000000000001</v>
      </c>
      <c r="S2" s="21">
        <v>2.179E-2</v>
      </c>
      <c r="T2" s="8">
        <v>0.27045999999999998</v>
      </c>
      <c r="U2" s="8">
        <v>0.16225999999999999</v>
      </c>
      <c r="V2" s="8">
        <v>790.4</v>
      </c>
      <c r="W2" s="8">
        <v>5381.5</v>
      </c>
      <c r="X2" s="8"/>
      <c r="Y2" s="8"/>
      <c r="Z2" s="8">
        <v>44655.7</v>
      </c>
      <c r="AA2" s="21" t="s">
        <v>47</v>
      </c>
      <c r="AB2" s="8"/>
      <c r="AC2" s="8">
        <v>6139.52</v>
      </c>
      <c r="AD2" s="8">
        <v>7256.87</v>
      </c>
      <c r="AE2" s="8" t="s">
        <v>46</v>
      </c>
    </row>
    <row r="3" spans="1:31" x14ac:dyDescent="0.25">
      <c r="A3" s="7">
        <v>42036</v>
      </c>
      <c r="B3" s="8">
        <v>2015</v>
      </c>
      <c r="C3" s="8">
        <v>2</v>
      </c>
      <c r="D3" s="8">
        <v>28</v>
      </c>
      <c r="E3" s="8">
        <v>1.2500000000000001E-2</v>
      </c>
      <c r="F3" s="8">
        <v>5.7000000000000002E-2</v>
      </c>
      <c r="G3" s="8">
        <v>0.18</v>
      </c>
      <c r="H3" s="8">
        <v>400</v>
      </c>
      <c r="I3" s="8">
        <v>400</v>
      </c>
      <c r="J3" s="8">
        <v>401.5</v>
      </c>
      <c r="K3" s="8">
        <v>393.1</v>
      </c>
      <c r="L3" s="8"/>
      <c r="M3" s="8"/>
      <c r="N3" s="8">
        <v>7.77</v>
      </c>
      <c r="O3" s="8"/>
      <c r="P3" s="8">
        <v>15593.3</v>
      </c>
      <c r="Q3" s="8">
        <v>128378.79999999999</v>
      </c>
      <c r="R3" s="8">
        <v>0.32399</v>
      </c>
      <c r="S3" s="8">
        <v>2.179E-2</v>
      </c>
      <c r="T3" s="8">
        <v>0.30051</v>
      </c>
      <c r="U3" s="8">
        <v>0.19231000000000001</v>
      </c>
      <c r="V3" s="8">
        <v>892.9</v>
      </c>
      <c r="W3" s="8">
        <v>4020.9</v>
      </c>
      <c r="X3" s="8"/>
      <c r="Y3" s="8"/>
      <c r="Z3" s="8">
        <v>50619.9</v>
      </c>
      <c r="AA3" s="8">
        <v>143972.09999999998</v>
      </c>
      <c r="AB3" s="8"/>
      <c r="AC3" s="8">
        <v>29374.52</v>
      </c>
      <c r="AD3" s="8"/>
      <c r="AE3" s="8" t="s">
        <v>46</v>
      </c>
    </row>
    <row r="4" spans="1:31" x14ac:dyDescent="0.25">
      <c r="A4" s="7">
        <v>42064</v>
      </c>
      <c r="B4" s="8">
        <v>2015</v>
      </c>
      <c r="C4" s="8">
        <v>3</v>
      </c>
      <c r="D4" s="8">
        <v>31</v>
      </c>
      <c r="E4" s="8">
        <v>9.4999999999999998E-3</v>
      </c>
      <c r="F4" s="8">
        <v>4.36E-2</v>
      </c>
      <c r="G4" s="8">
        <v>0.18</v>
      </c>
      <c r="H4" s="8">
        <v>400</v>
      </c>
      <c r="I4" s="8">
        <v>400</v>
      </c>
      <c r="J4" s="8">
        <v>416.6</v>
      </c>
      <c r="K4" s="8">
        <v>448.6</v>
      </c>
      <c r="L4" s="8"/>
      <c r="M4" s="8"/>
      <c r="N4" s="8">
        <v>7.9153099999999998</v>
      </c>
      <c r="O4" s="8"/>
      <c r="P4" s="8">
        <v>19987.2</v>
      </c>
      <c r="Q4" s="8">
        <v>154744.29999999999</v>
      </c>
      <c r="R4" s="8">
        <v>0.35271000000000002</v>
      </c>
      <c r="S4" s="8">
        <v>4.4110000000000003E-2</v>
      </c>
      <c r="T4" s="8">
        <v>0.33426499999999998</v>
      </c>
      <c r="U4" s="8">
        <v>0.21911</v>
      </c>
      <c r="V4" s="8">
        <v>1206.9000000000001</v>
      </c>
      <c r="W4" s="8">
        <v>6626.2</v>
      </c>
      <c r="X4" s="8"/>
      <c r="Y4" s="8"/>
      <c r="Z4" s="8">
        <v>71485.210000000006</v>
      </c>
      <c r="AA4" s="8">
        <v>174731.5</v>
      </c>
      <c r="AB4" s="8"/>
      <c r="AC4" s="8">
        <v>20122.620000000003</v>
      </c>
      <c r="AD4" s="8">
        <v>19903.97</v>
      </c>
      <c r="AE4" s="8" t="s">
        <v>46</v>
      </c>
    </row>
    <row r="5" spans="1:31" x14ac:dyDescent="0.25">
      <c r="A5" s="7">
        <v>42095</v>
      </c>
      <c r="B5" s="8">
        <v>2015</v>
      </c>
      <c r="C5" s="8">
        <v>4</v>
      </c>
      <c r="D5" s="8">
        <v>30</v>
      </c>
      <c r="E5" s="8">
        <v>6.7000000000000002E-3</v>
      </c>
      <c r="F5" s="8">
        <v>3.0800000000000001E-2</v>
      </c>
      <c r="G5" s="8">
        <v>0.18</v>
      </c>
      <c r="H5" s="8">
        <v>400</v>
      </c>
      <c r="I5" s="8">
        <v>400</v>
      </c>
      <c r="J5" s="8">
        <v>412.4</v>
      </c>
      <c r="K5" s="8">
        <v>435.1</v>
      </c>
      <c r="L5" s="8"/>
      <c r="M5" s="8"/>
      <c r="N5" s="8">
        <v>8.08</v>
      </c>
      <c r="O5" s="8"/>
      <c r="P5" s="8">
        <v>19337.099999999999</v>
      </c>
      <c r="Q5" s="8">
        <v>137819.1</v>
      </c>
      <c r="R5" s="8">
        <v>0.38525999999999999</v>
      </c>
      <c r="S5" s="8">
        <v>6.9409999999999999E-2</v>
      </c>
      <c r="T5" s="8">
        <v>0.36798999999999998</v>
      </c>
      <c r="U5" s="8">
        <v>0.24590999999999999</v>
      </c>
      <c r="V5" s="8">
        <v>842.7</v>
      </c>
      <c r="W5" s="8">
        <v>3717.8</v>
      </c>
      <c r="X5" s="8"/>
      <c r="Y5" s="8"/>
      <c r="Z5" s="8">
        <v>74770.66</v>
      </c>
      <c r="AA5" s="8">
        <v>157156.20000000001</v>
      </c>
      <c r="AB5" s="8"/>
      <c r="AC5" s="8">
        <v>41021.65</v>
      </c>
      <c r="AD5" s="8"/>
      <c r="AE5" s="8" t="s">
        <v>46</v>
      </c>
    </row>
    <row r="6" spans="1:31" x14ac:dyDescent="0.25">
      <c r="A6" s="7">
        <v>42125</v>
      </c>
      <c r="B6" s="8">
        <v>2015</v>
      </c>
      <c r="C6" s="8">
        <v>5</v>
      </c>
      <c r="D6" s="8">
        <v>31</v>
      </c>
      <c r="E6" s="8">
        <v>8.5000000000000006E-3</v>
      </c>
      <c r="F6" s="8">
        <v>3.9E-2</v>
      </c>
      <c r="G6" s="8">
        <v>0.18</v>
      </c>
      <c r="H6" s="8">
        <v>400</v>
      </c>
      <c r="I6" s="8">
        <v>400</v>
      </c>
      <c r="J6" s="8">
        <v>415.8</v>
      </c>
      <c r="K6" s="8">
        <v>426.7</v>
      </c>
      <c r="L6" s="8"/>
      <c r="M6" s="8"/>
      <c r="N6" s="8">
        <v>8.08</v>
      </c>
      <c r="O6" s="8"/>
      <c r="P6" s="8">
        <v>17394.099999999999</v>
      </c>
      <c r="Q6" s="8">
        <v>130229.90000000001</v>
      </c>
      <c r="R6" s="8">
        <v>0.38525999999999999</v>
      </c>
      <c r="S6" s="8">
        <v>6.4100000000000004E-2</v>
      </c>
      <c r="T6" s="8">
        <v>0.36798999999999998</v>
      </c>
      <c r="U6" s="8">
        <v>0.24590999999999999</v>
      </c>
      <c r="V6" s="8">
        <v>846.1</v>
      </c>
      <c r="W6" s="8">
        <v>2741.8</v>
      </c>
      <c r="X6" s="8"/>
      <c r="Y6" s="8"/>
      <c r="Z6" s="8">
        <v>70753.3</v>
      </c>
      <c r="AA6" s="8">
        <v>147624</v>
      </c>
      <c r="AB6" s="8"/>
      <c r="AC6" s="8">
        <v>38425.660000000003</v>
      </c>
      <c r="AD6" s="8"/>
      <c r="AE6" s="8" t="s">
        <v>46</v>
      </c>
    </row>
    <row r="7" spans="1:31" x14ac:dyDescent="0.25">
      <c r="A7" s="7">
        <v>42156</v>
      </c>
      <c r="B7" s="8">
        <v>2015</v>
      </c>
      <c r="C7" s="8">
        <v>6</v>
      </c>
      <c r="D7" s="8">
        <v>30</v>
      </c>
      <c r="E7" s="8">
        <v>7.9000000000000008E-3</v>
      </c>
      <c r="F7" s="8">
        <v>3.6400000000000002E-2</v>
      </c>
      <c r="G7" s="8">
        <v>0.18</v>
      </c>
      <c r="H7" s="8">
        <v>400</v>
      </c>
      <c r="I7" s="8">
        <v>400</v>
      </c>
      <c r="J7" s="8">
        <v>404</v>
      </c>
      <c r="K7" s="8">
        <v>386.4</v>
      </c>
      <c r="L7" s="8"/>
      <c r="M7" s="8"/>
      <c r="N7" s="8">
        <v>8.08</v>
      </c>
      <c r="O7" s="8"/>
      <c r="P7" s="8">
        <v>17451.599999999999</v>
      </c>
      <c r="Q7" s="8">
        <v>125393.5</v>
      </c>
      <c r="R7" s="8">
        <v>0.38525999999999999</v>
      </c>
      <c r="S7" s="8">
        <v>6.4100000000000004E-2</v>
      </c>
      <c r="T7" s="8">
        <v>0.36798999999999998</v>
      </c>
      <c r="U7" s="8">
        <v>0.24590999999999999</v>
      </c>
      <c r="V7" s="8">
        <v>1017.5</v>
      </c>
      <c r="W7" s="8">
        <v>2818.4</v>
      </c>
      <c r="X7" s="8"/>
      <c r="Y7" s="8"/>
      <c r="Z7" s="8">
        <v>67916.61</v>
      </c>
      <c r="AA7" s="8">
        <v>142845.1</v>
      </c>
      <c r="AB7" s="8"/>
      <c r="AC7" s="8">
        <v>37257.54</v>
      </c>
      <c r="AD7" s="8"/>
      <c r="AE7" s="8" t="s">
        <v>46</v>
      </c>
    </row>
    <row r="8" spans="1:31" x14ac:dyDescent="0.25">
      <c r="A8" s="7">
        <v>42186</v>
      </c>
      <c r="B8" s="8">
        <v>2015</v>
      </c>
      <c r="C8" s="8">
        <v>7</v>
      </c>
      <c r="D8" s="8">
        <v>31</v>
      </c>
      <c r="E8" s="8">
        <v>8.3999999999999995E-3</v>
      </c>
      <c r="F8" s="8">
        <v>3.8900000000000004E-2</v>
      </c>
      <c r="G8" s="8">
        <v>0.18</v>
      </c>
      <c r="H8" s="8">
        <v>400</v>
      </c>
      <c r="I8" s="8">
        <v>400</v>
      </c>
      <c r="J8" s="8">
        <v>369.6</v>
      </c>
      <c r="K8" s="8">
        <v>326.8</v>
      </c>
      <c r="L8" s="8"/>
      <c r="M8" s="8"/>
      <c r="N8" s="8">
        <v>7.9631299999999996</v>
      </c>
      <c r="O8" s="8"/>
      <c r="P8" s="8">
        <v>19247</v>
      </c>
      <c r="Q8" s="8">
        <v>135506</v>
      </c>
      <c r="R8" s="8">
        <v>0.38270999999999999</v>
      </c>
      <c r="S8" s="8">
        <v>7.2239999999999999E-2</v>
      </c>
      <c r="T8" s="8">
        <v>0.38373999999999997</v>
      </c>
      <c r="U8" s="8">
        <v>0.25759333333333329</v>
      </c>
      <c r="V8" s="8">
        <v>935.1</v>
      </c>
      <c r="W8" s="8">
        <v>2807.5</v>
      </c>
      <c r="X8" s="8"/>
      <c r="Y8" s="8"/>
      <c r="Z8" s="8">
        <v>75901.22</v>
      </c>
      <c r="AA8" s="8">
        <v>154753</v>
      </c>
      <c r="AB8" s="8"/>
      <c r="AC8" s="8">
        <v>29441.5</v>
      </c>
      <c r="AD8" s="8">
        <v>12503.32</v>
      </c>
      <c r="AE8" s="8" t="s">
        <v>46</v>
      </c>
    </row>
    <row r="9" spans="1:31" x14ac:dyDescent="0.25">
      <c r="A9" s="7">
        <v>42217</v>
      </c>
      <c r="B9" s="8">
        <v>2015</v>
      </c>
      <c r="C9" s="8">
        <v>8</v>
      </c>
      <c r="D9" s="8">
        <v>31</v>
      </c>
      <c r="E9" s="8">
        <v>6.0000000000000001E-3</v>
      </c>
      <c r="F9" s="8">
        <v>2.75E-2</v>
      </c>
      <c r="G9" s="8">
        <v>0.18</v>
      </c>
      <c r="H9" s="8">
        <v>400</v>
      </c>
      <c r="I9" s="8">
        <v>400</v>
      </c>
      <c r="J9" s="8">
        <v>352</v>
      </c>
      <c r="K9" s="8">
        <v>353.6</v>
      </c>
      <c r="L9" s="8"/>
      <c r="M9" s="8"/>
      <c r="N9" s="8">
        <v>7.74</v>
      </c>
      <c r="O9" s="8"/>
      <c r="P9" s="8">
        <v>19889.3</v>
      </c>
      <c r="Q9" s="8">
        <v>133409.5</v>
      </c>
      <c r="R9" s="8">
        <v>0.37784000000000001</v>
      </c>
      <c r="S9" s="8">
        <v>7.7630000000000005E-2</v>
      </c>
      <c r="T9" s="8">
        <v>0.36024</v>
      </c>
      <c r="U9" s="8">
        <v>0.22595999999999999</v>
      </c>
      <c r="V9" s="8">
        <v>907.2</v>
      </c>
      <c r="W9" s="8">
        <v>2772</v>
      </c>
      <c r="X9" s="8"/>
      <c r="Y9" s="8"/>
      <c r="Z9" s="8">
        <v>79865.440000000002</v>
      </c>
      <c r="AA9" s="8">
        <v>153298.79999999999</v>
      </c>
      <c r="AB9" s="8"/>
      <c r="AC9" s="8">
        <v>8430.92</v>
      </c>
      <c r="AD9" s="8"/>
      <c r="AE9" s="8" t="s">
        <v>46</v>
      </c>
    </row>
    <row r="10" spans="1:31" x14ac:dyDescent="0.25">
      <c r="A10" s="7">
        <v>42248</v>
      </c>
      <c r="B10" s="8">
        <v>2015</v>
      </c>
      <c r="C10" s="8">
        <v>9</v>
      </c>
      <c r="D10" s="8">
        <v>30</v>
      </c>
      <c r="E10" s="8">
        <v>1.1200000000000002E-2</v>
      </c>
      <c r="F10" s="8">
        <v>5.1399999999999994E-2</v>
      </c>
      <c r="G10" s="8">
        <v>0.18</v>
      </c>
      <c r="H10" s="8">
        <v>400</v>
      </c>
      <c r="I10" s="8">
        <v>400</v>
      </c>
      <c r="J10" s="8">
        <v>325.10000000000002</v>
      </c>
      <c r="K10" s="8">
        <v>311.60000000000002</v>
      </c>
      <c r="L10" s="8"/>
      <c r="M10" s="8"/>
      <c r="N10" s="8">
        <v>7.74</v>
      </c>
      <c r="O10" s="8"/>
      <c r="P10" s="8">
        <v>14941.3</v>
      </c>
      <c r="Q10" s="8">
        <v>120934.9</v>
      </c>
      <c r="R10" s="8">
        <v>0.37784000000000001</v>
      </c>
      <c r="S10" s="8">
        <v>7.7630000000000005E-2</v>
      </c>
      <c r="T10" s="8">
        <v>0.36024</v>
      </c>
      <c r="U10" s="8">
        <v>0.22595999999999999</v>
      </c>
      <c r="V10" s="8">
        <v>805.6</v>
      </c>
      <c r="W10" s="8">
        <v>1819.9</v>
      </c>
      <c r="X10" s="8"/>
      <c r="Y10" s="8"/>
      <c r="Z10" s="8">
        <v>71824.990000000005</v>
      </c>
      <c r="AA10" s="8">
        <v>135876.19999999998</v>
      </c>
      <c r="AB10" s="8"/>
      <c r="AC10" s="8">
        <v>6934.9</v>
      </c>
      <c r="AD10" s="8"/>
      <c r="AE10" s="8" t="s">
        <v>46</v>
      </c>
    </row>
    <row r="11" spans="1:31" x14ac:dyDescent="0.25">
      <c r="A11" s="7">
        <v>42278</v>
      </c>
      <c r="B11" s="8">
        <v>2015</v>
      </c>
      <c r="C11" s="8">
        <v>10</v>
      </c>
      <c r="D11" s="8">
        <v>31</v>
      </c>
      <c r="E11" s="8">
        <v>1.18E-2</v>
      </c>
      <c r="F11" s="8">
        <v>5.4600000000000003E-2</v>
      </c>
      <c r="G11" s="8">
        <v>0.18</v>
      </c>
      <c r="H11" s="8">
        <v>400</v>
      </c>
      <c r="I11" s="8">
        <v>400</v>
      </c>
      <c r="J11" s="8">
        <v>479.6</v>
      </c>
      <c r="K11" s="8">
        <v>478.8</v>
      </c>
      <c r="L11" s="8"/>
      <c r="M11" s="8"/>
      <c r="N11" s="8">
        <v>7.74</v>
      </c>
      <c r="O11" s="8"/>
      <c r="P11" s="8">
        <v>20946.7</v>
      </c>
      <c r="Q11" s="8">
        <v>142763.20000000001</v>
      </c>
      <c r="R11" s="8">
        <v>0.37784000000000001</v>
      </c>
      <c r="S11" s="8">
        <v>7.7630000000000005E-2</v>
      </c>
      <c r="T11" s="8">
        <v>0.36024</v>
      </c>
      <c r="U11" s="8">
        <v>0.22595999999999999</v>
      </c>
      <c r="V11" s="8">
        <v>1719.9</v>
      </c>
      <c r="W11" s="8">
        <v>6323.4</v>
      </c>
      <c r="X11" s="8"/>
      <c r="Y11" s="8"/>
      <c r="Z11" s="8">
        <v>89186.84</v>
      </c>
      <c r="AA11" s="8">
        <v>163709.90000000002</v>
      </c>
      <c r="AB11" s="8"/>
      <c r="AC11" s="8">
        <v>7366.93</v>
      </c>
      <c r="AD11" s="8"/>
      <c r="AE11" s="8" t="s">
        <v>46</v>
      </c>
    </row>
    <row r="12" spans="1:31" x14ac:dyDescent="0.25">
      <c r="A12" s="7">
        <v>42309</v>
      </c>
      <c r="B12" s="8">
        <v>2015</v>
      </c>
      <c r="C12" s="8">
        <v>11</v>
      </c>
      <c r="D12" s="8">
        <v>30</v>
      </c>
      <c r="E12" s="8">
        <v>1.1000000000000001E-2</v>
      </c>
      <c r="F12" s="8">
        <v>5.0599999999999999E-2</v>
      </c>
      <c r="G12" s="8">
        <v>0.18</v>
      </c>
      <c r="H12" s="8">
        <v>400</v>
      </c>
      <c r="I12" s="8">
        <v>400</v>
      </c>
      <c r="J12" s="8">
        <v>520.79999999999995</v>
      </c>
      <c r="K12" s="8">
        <v>494.8</v>
      </c>
      <c r="L12" s="8"/>
      <c r="M12" s="8"/>
      <c r="N12" s="8">
        <v>7.74</v>
      </c>
      <c r="O12" s="8"/>
      <c r="P12" s="8">
        <v>22475</v>
      </c>
      <c r="Q12" s="8">
        <v>154042.4</v>
      </c>
      <c r="R12" s="8">
        <v>0.37784000000000001</v>
      </c>
      <c r="S12" s="8">
        <v>7.7630000000000005E-2</v>
      </c>
      <c r="T12" s="8">
        <v>0.36024</v>
      </c>
      <c r="U12" s="8">
        <v>0.22595999999999999</v>
      </c>
      <c r="V12" s="8">
        <v>1769.5</v>
      </c>
      <c r="W12" s="8">
        <v>5828.2</v>
      </c>
      <c r="X12" s="8"/>
      <c r="Y12" s="8"/>
      <c r="Z12" s="8">
        <v>95845.01</v>
      </c>
      <c r="AA12" s="8">
        <v>176517.4</v>
      </c>
      <c r="AB12" s="8"/>
      <c r="AC12" s="8">
        <v>7943.2699999999995</v>
      </c>
      <c r="AD12" s="8"/>
      <c r="AE12" s="8" t="s">
        <v>46</v>
      </c>
    </row>
    <row r="13" spans="1:31" x14ac:dyDescent="0.25">
      <c r="A13" s="7">
        <v>42339</v>
      </c>
      <c r="B13" s="8">
        <v>2015</v>
      </c>
      <c r="C13" s="8">
        <v>12</v>
      </c>
      <c r="D13" s="8">
        <v>31</v>
      </c>
      <c r="E13" s="8">
        <v>1.1000000000000001E-2</v>
      </c>
      <c r="F13" s="8">
        <v>5.0999999999999997E-2</v>
      </c>
      <c r="G13" s="8">
        <v>0.18</v>
      </c>
      <c r="H13" s="8">
        <v>400</v>
      </c>
      <c r="I13" s="8">
        <v>400</v>
      </c>
      <c r="J13" s="8">
        <v>493.1</v>
      </c>
      <c r="K13" s="8">
        <v>517.4</v>
      </c>
      <c r="L13" s="8"/>
      <c r="M13" s="8"/>
      <c r="N13" s="8">
        <v>7.74</v>
      </c>
      <c r="O13" s="8"/>
      <c r="P13" s="8">
        <v>22970.6</v>
      </c>
      <c r="Q13" s="8">
        <v>169925.7</v>
      </c>
      <c r="R13" s="8">
        <v>0.37784000000000001</v>
      </c>
      <c r="S13" s="8">
        <v>7.7630000000000005E-2</v>
      </c>
      <c r="T13" s="8">
        <v>0.36024</v>
      </c>
      <c r="U13" s="8">
        <v>0.22595999999999999</v>
      </c>
      <c r="V13" s="8">
        <v>2538.5</v>
      </c>
      <c r="W13" s="8">
        <v>8464.2999999999993</v>
      </c>
      <c r="X13" s="8"/>
      <c r="Y13" s="8"/>
      <c r="Z13" s="8">
        <v>103157.88</v>
      </c>
      <c r="AA13" s="8">
        <v>192896.30000000002</v>
      </c>
      <c r="AB13" s="8"/>
      <c r="AC13" s="8">
        <v>8680.32</v>
      </c>
      <c r="AD13" s="8"/>
      <c r="AE13" s="8" t="s">
        <v>46</v>
      </c>
    </row>
    <row r="14" spans="1:31" x14ac:dyDescent="0.25">
      <c r="A14" s="7">
        <v>42370</v>
      </c>
      <c r="B14" s="8">
        <v>2016</v>
      </c>
      <c r="C14" s="8">
        <v>1</v>
      </c>
      <c r="D14" s="8">
        <v>31</v>
      </c>
      <c r="E14" s="8">
        <v>9.2999999999999992E-3</v>
      </c>
      <c r="F14" s="8">
        <v>4.2599999999999999E-2</v>
      </c>
      <c r="G14" s="8">
        <v>0.18</v>
      </c>
      <c r="H14" s="8">
        <v>400</v>
      </c>
      <c r="I14" s="8">
        <v>400</v>
      </c>
      <c r="J14" s="8">
        <v>420</v>
      </c>
      <c r="K14" s="8">
        <v>458.6</v>
      </c>
      <c r="L14" s="8"/>
      <c r="M14" s="8"/>
      <c r="N14" s="8">
        <v>7.74</v>
      </c>
      <c r="O14" s="8"/>
      <c r="P14" s="8">
        <v>15478.7</v>
      </c>
      <c r="Q14" s="8">
        <v>148543.5</v>
      </c>
      <c r="R14" s="8">
        <v>0.37784000000000001</v>
      </c>
      <c r="S14" s="8">
        <v>7.7630000000000005E-2</v>
      </c>
      <c r="T14" s="8">
        <v>0.36024</v>
      </c>
      <c r="U14" s="8">
        <v>0.22595999999999999</v>
      </c>
      <c r="V14" s="8">
        <v>2234.4</v>
      </c>
      <c r="W14" s="8">
        <f>9717.1+45.6</f>
        <v>9762.7000000000007</v>
      </c>
      <c r="X14" s="8"/>
      <c r="Y14" s="8"/>
      <c r="Z14" s="8">
        <v>83801.63</v>
      </c>
      <c r="AA14" s="8">
        <f t="shared" ref="AA14:AA25" si="0">P14+Q14</f>
        <v>164022.20000000001</v>
      </c>
      <c r="AB14" s="8"/>
      <c r="AC14" s="8">
        <f>6684.45+696.54</f>
        <v>7380.99</v>
      </c>
      <c r="AD14" s="8"/>
      <c r="AE14" s="8" t="s">
        <v>46</v>
      </c>
    </row>
    <row r="15" spans="1:31" x14ac:dyDescent="0.25">
      <c r="A15" s="7">
        <v>42401</v>
      </c>
      <c r="B15" s="8">
        <v>2016</v>
      </c>
      <c r="C15" s="8">
        <v>2</v>
      </c>
      <c r="D15" s="8">
        <v>29</v>
      </c>
      <c r="E15" s="8">
        <v>9.1999999999999998E-3</v>
      </c>
      <c r="F15" s="8">
        <v>4.2200000000000001E-2</v>
      </c>
      <c r="G15" s="8">
        <v>0.18</v>
      </c>
      <c r="H15" s="8">
        <v>400</v>
      </c>
      <c r="I15" s="8">
        <v>400</v>
      </c>
      <c r="J15" s="8">
        <v>342.7</v>
      </c>
      <c r="K15" s="8">
        <v>430.9</v>
      </c>
      <c r="L15" s="8"/>
      <c r="M15" s="8"/>
      <c r="N15" s="8">
        <v>7.74</v>
      </c>
      <c r="O15" s="8"/>
      <c r="P15" s="8">
        <v>16802.900000000001</v>
      </c>
      <c r="Q15" s="8">
        <v>162906</v>
      </c>
      <c r="R15" s="8">
        <v>0.37784000000000001</v>
      </c>
      <c r="S15" s="8">
        <v>7.7630000000000005E-2</v>
      </c>
      <c r="T15" s="8">
        <v>0.36024</v>
      </c>
      <c r="U15" s="8">
        <v>0.22595999999999999</v>
      </c>
      <c r="V15" s="8">
        <v>2239.4</v>
      </c>
      <c r="W15" s="8">
        <f>9476.7+196.6</f>
        <v>9673.3000000000011</v>
      </c>
      <c r="X15" s="8"/>
      <c r="Y15" s="8"/>
      <c r="Z15" s="8">
        <v>88354.5</v>
      </c>
      <c r="AA15" s="8">
        <f t="shared" si="0"/>
        <v>179708.9</v>
      </c>
      <c r="AB15" s="8"/>
      <c r="AC15" s="8">
        <f>6141.77+637.3</f>
        <v>6779.0700000000006</v>
      </c>
      <c r="AD15" s="8"/>
      <c r="AE15" s="8" t="s">
        <v>46</v>
      </c>
    </row>
    <row r="16" spans="1:31" x14ac:dyDescent="0.25">
      <c r="A16" s="7">
        <v>42430</v>
      </c>
      <c r="B16" s="8">
        <v>2016</v>
      </c>
      <c r="C16" s="8">
        <v>3</v>
      </c>
      <c r="D16" s="8">
        <v>31</v>
      </c>
      <c r="E16" s="8">
        <v>1.0200000000000001E-2</v>
      </c>
      <c r="F16" s="8">
        <v>4.7E-2</v>
      </c>
      <c r="G16" s="8">
        <v>0.18</v>
      </c>
      <c r="H16" s="8">
        <v>400</v>
      </c>
      <c r="I16" s="8">
        <v>400</v>
      </c>
      <c r="J16" s="8">
        <v>609.79999999999995</v>
      </c>
      <c r="K16" s="8">
        <v>556.9</v>
      </c>
      <c r="L16" s="8"/>
      <c r="M16" s="8"/>
      <c r="N16" s="8">
        <v>7.74</v>
      </c>
      <c r="O16" s="8"/>
      <c r="P16" s="8">
        <v>26893</v>
      </c>
      <c r="Q16" s="8">
        <v>171365.3</v>
      </c>
      <c r="R16" s="8">
        <v>0.37784000000000001</v>
      </c>
      <c r="S16" s="8">
        <v>7.7630000000000005E-2</v>
      </c>
      <c r="T16" s="8">
        <v>0.36024</v>
      </c>
      <c r="U16" s="8">
        <v>0.22595999999999999</v>
      </c>
      <c r="V16" s="8">
        <v>4045.2</v>
      </c>
      <c r="W16" s="8">
        <f>13601.1+88.8</f>
        <v>13689.9</v>
      </c>
      <c r="X16" s="8"/>
      <c r="Y16" s="8"/>
      <c r="Z16" s="8">
        <v>104171.93</v>
      </c>
      <c r="AA16" s="8">
        <f t="shared" si="0"/>
        <v>198258.3</v>
      </c>
      <c r="AB16" s="8">
        <f>1083+170.04</f>
        <v>1253.04</v>
      </c>
      <c r="AC16" s="8">
        <f>2974.94+466.71</f>
        <v>3441.65</v>
      </c>
      <c r="AD16" s="8"/>
      <c r="AE16" s="8" t="s">
        <v>46</v>
      </c>
    </row>
    <row r="17" spans="1:31" x14ac:dyDescent="0.25">
      <c r="A17" s="7">
        <v>42461</v>
      </c>
      <c r="B17" s="8">
        <v>2016</v>
      </c>
      <c r="C17" s="8">
        <v>4</v>
      </c>
      <c r="D17" s="8">
        <v>30</v>
      </c>
      <c r="E17" s="8">
        <v>8.9999999999999993E-3</v>
      </c>
      <c r="F17" s="8">
        <v>4.1200000000000001E-2</v>
      </c>
      <c r="G17" s="8">
        <v>0.18</v>
      </c>
      <c r="H17" s="8">
        <v>400</v>
      </c>
      <c r="I17" s="8">
        <v>400</v>
      </c>
      <c r="J17" s="8">
        <v>614</v>
      </c>
      <c r="K17" s="8">
        <v>558.6</v>
      </c>
      <c r="L17" s="8"/>
      <c r="M17" s="8"/>
      <c r="N17" s="8">
        <v>7.74</v>
      </c>
      <c r="O17" s="8"/>
      <c r="P17" s="8">
        <v>28753.8</v>
      </c>
      <c r="Q17" s="8">
        <v>196730.7</v>
      </c>
      <c r="R17" s="8">
        <v>0.37784000000000001</v>
      </c>
      <c r="S17" s="8">
        <v>7.7630000000000005E-2</v>
      </c>
      <c r="T17" s="8">
        <v>0.36024</v>
      </c>
      <c r="U17" s="8">
        <v>0.22595999999999999</v>
      </c>
      <c r="V17" s="8">
        <v>4270.1000000000004</v>
      </c>
      <c r="W17" s="8">
        <f>19792.5+28.4</f>
        <v>19820.900000000001</v>
      </c>
      <c r="X17" s="8"/>
      <c r="Y17" s="8"/>
      <c r="Z17" s="8">
        <v>111256.22</v>
      </c>
      <c r="AA17" s="8">
        <f t="shared" si="0"/>
        <v>225484.5</v>
      </c>
      <c r="AB17" s="8">
        <f>1663.65+280.59</f>
        <v>1944.24</v>
      </c>
      <c r="AC17" s="8"/>
      <c r="AD17" s="8"/>
      <c r="AE17" s="8" t="s">
        <v>46</v>
      </c>
    </row>
    <row r="18" spans="1:31" x14ac:dyDescent="0.25">
      <c r="A18" s="7">
        <v>42491</v>
      </c>
      <c r="B18" s="8">
        <v>2016</v>
      </c>
      <c r="C18" s="8">
        <v>5</v>
      </c>
      <c r="D18" s="8">
        <v>31</v>
      </c>
      <c r="E18" s="8">
        <v>1.2200000000000001E-2</v>
      </c>
      <c r="F18" s="8">
        <v>5.62E-2</v>
      </c>
      <c r="G18" s="8">
        <v>0.18</v>
      </c>
      <c r="H18" s="8">
        <v>500</v>
      </c>
      <c r="I18" s="8">
        <v>500</v>
      </c>
      <c r="J18" s="8">
        <v>644.29999999999995</v>
      </c>
      <c r="K18" s="8">
        <v>628.29999999999995</v>
      </c>
      <c r="L18" s="8"/>
      <c r="M18" s="8"/>
      <c r="N18" s="8">
        <v>7.74</v>
      </c>
      <c r="O18" s="8"/>
      <c r="P18" s="8">
        <v>24466.3</v>
      </c>
      <c r="Q18" s="8">
        <v>169505.9</v>
      </c>
      <c r="R18" s="8">
        <v>0.37784000000000001</v>
      </c>
      <c r="S18" s="8">
        <v>7.7630000000000005E-2</v>
      </c>
      <c r="T18" s="8">
        <v>0.36024</v>
      </c>
      <c r="U18" s="8">
        <v>0.22595999999999999</v>
      </c>
      <c r="V18" s="8">
        <v>2404.9</v>
      </c>
      <c r="W18" s="8">
        <f>10069.7+2094.8</f>
        <v>12164.5</v>
      </c>
      <c r="X18" s="8"/>
      <c r="Y18" s="8"/>
      <c r="Z18" s="8">
        <v>96137.33</v>
      </c>
      <c r="AA18" s="8">
        <f t="shared" si="0"/>
        <v>193972.19999999998</v>
      </c>
      <c r="AB18" s="8"/>
      <c r="AC18" s="8"/>
      <c r="AD18" s="8"/>
      <c r="AE18" s="8" t="s">
        <v>46</v>
      </c>
    </row>
    <row r="19" spans="1:31" x14ac:dyDescent="0.25">
      <c r="A19" s="7">
        <v>42522</v>
      </c>
      <c r="B19" s="8">
        <v>2016</v>
      </c>
      <c r="C19" s="8">
        <v>6</v>
      </c>
      <c r="D19" s="8">
        <v>30</v>
      </c>
      <c r="E19" s="8">
        <v>1.2200000000000001E-2</v>
      </c>
      <c r="F19" s="8">
        <v>5.62E-2</v>
      </c>
      <c r="G19" s="8">
        <v>0.18</v>
      </c>
      <c r="H19" s="8">
        <v>500</v>
      </c>
      <c r="I19" s="8">
        <v>500</v>
      </c>
      <c r="J19" s="8">
        <v>446.9</v>
      </c>
      <c r="K19" s="8">
        <v>394</v>
      </c>
      <c r="L19" s="8"/>
      <c r="M19" s="8"/>
      <c r="N19" s="8">
        <v>7.74</v>
      </c>
      <c r="O19" s="8"/>
      <c r="P19" s="8">
        <v>19145.900000000001</v>
      </c>
      <c r="Q19" s="8">
        <v>155715.4</v>
      </c>
      <c r="R19" s="8">
        <v>0.37784000000000001</v>
      </c>
      <c r="S19" s="8">
        <v>7.7630000000000005E-2</v>
      </c>
      <c r="T19" s="8">
        <v>0.36024</v>
      </c>
      <c r="U19" s="8">
        <v>0.22595999999999999</v>
      </c>
      <c r="V19" s="8">
        <v>1410.8</v>
      </c>
      <c r="W19" s="8">
        <f>5360.3+2947.8</f>
        <v>8308.1</v>
      </c>
      <c r="X19" s="8"/>
      <c r="Y19" s="8"/>
      <c r="Z19" s="8">
        <v>81262.23</v>
      </c>
      <c r="AA19" s="8">
        <f t="shared" si="0"/>
        <v>174861.3</v>
      </c>
      <c r="AB19" s="8"/>
      <c r="AC19" s="8"/>
      <c r="AD19" s="8"/>
      <c r="AE19" s="8" t="s">
        <v>46</v>
      </c>
    </row>
    <row r="20" spans="1:31" x14ac:dyDescent="0.25">
      <c r="A20" s="7">
        <v>42552</v>
      </c>
      <c r="B20" s="8">
        <v>2016</v>
      </c>
      <c r="C20" s="8">
        <v>7</v>
      </c>
      <c r="D20" s="8">
        <v>31</v>
      </c>
      <c r="E20" s="8">
        <v>1.1299999999999999E-2</v>
      </c>
      <c r="F20" s="8">
        <v>5.21E-2</v>
      </c>
      <c r="G20" s="8">
        <v>0.18</v>
      </c>
      <c r="H20" s="8">
        <v>500</v>
      </c>
      <c r="I20" s="8">
        <v>500</v>
      </c>
      <c r="J20" s="8">
        <v>459.5</v>
      </c>
      <c r="K20" s="8">
        <v>404</v>
      </c>
      <c r="L20" s="8"/>
      <c r="M20" s="8"/>
      <c r="N20" s="8">
        <v>7.8358100000000004</v>
      </c>
      <c r="O20" s="8"/>
      <c r="P20" s="8">
        <f>26501</f>
        <v>26501</v>
      </c>
      <c r="Q20" s="8">
        <v>163384.79999999999</v>
      </c>
      <c r="R20" s="8">
        <f>(0.37468)</f>
        <v>0.37468000000000001</v>
      </c>
      <c r="S20" s="8">
        <v>7.0720000000000005E-2</v>
      </c>
      <c r="T20" s="8">
        <f>(0.37468+T19)/2</f>
        <v>0.36746000000000001</v>
      </c>
      <c r="U20" s="8">
        <f>(U19+0.21497)/2</f>
        <v>0.22046499999999999</v>
      </c>
      <c r="V20" s="8">
        <v>3498</v>
      </c>
      <c r="W20" s="8">
        <f>14124.4+2.7</f>
        <v>14127.1</v>
      </c>
      <c r="X20" s="8"/>
      <c r="Y20" s="8"/>
      <c r="Z20" s="8">
        <v>87825.96</v>
      </c>
      <c r="AA20" s="8">
        <f t="shared" si="0"/>
        <v>189885.8</v>
      </c>
      <c r="AB20" s="8"/>
      <c r="AC20" s="8"/>
      <c r="AD20" s="8"/>
      <c r="AE20" s="8" t="s">
        <v>46</v>
      </c>
    </row>
    <row r="21" spans="1:31" ht="15.75" customHeight="1" x14ac:dyDescent="0.25">
      <c r="A21" s="7">
        <v>42583</v>
      </c>
      <c r="B21" s="8">
        <v>2016</v>
      </c>
      <c r="C21" s="8">
        <v>8</v>
      </c>
      <c r="D21" s="8">
        <v>31</v>
      </c>
      <c r="E21" s="8">
        <v>1.26E-2</v>
      </c>
      <c r="F21" s="8">
        <v>5.8200000000000002E-2</v>
      </c>
      <c r="G21" s="8">
        <v>0.18</v>
      </c>
      <c r="H21" s="8">
        <v>500</v>
      </c>
      <c r="I21" s="8">
        <v>500</v>
      </c>
      <c r="J21" s="8">
        <v>484.7</v>
      </c>
      <c r="K21" s="8">
        <v>450</v>
      </c>
      <c r="L21" s="8"/>
      <c r="M21" s="8"/>
      <c r="N21" s="8">
        <v>8.01</v>
      </c>
      <c r="O21" s="8"/>
      <c r="P21" s="8">
        <v>23303.1</v>
      </c>
      <c r="Q21" s="8">
        <v>148848</v>
      </c>
      <c r="R21" s="8">
        <v>0.36893999999999999</v>
      </c>
      <c r="S21" s="8">
        <v>5.815E-2</v>
      </c>
      <c r="T21" s="8">
        <v>0.32356000000000001</v>
      </c>
      <c r="U21" s="8">
        <v>0.21496999999999999</v>
      </c>
      <c r="V21" s="8">
        <v>2391.6999999999998</v>
      </c>
      <c r="W21" s="8">
        <f>11761.9+35.9</f>
        <v>11797.8</v>
      </c>
      <c r="X21" s="8"/>
      <c r="Y21" s="8"/>
      <c r="Z21" s="8">
        <v>76410.399999999994</v>
      </c>
      <c r="AA21" s="8">
        <f t="shared" si="0"/>
        <v>172151.1</v>
      </c>
      <c r="AB21" s="8"/>
      <c r="AC21" s="8"/>
      <c r="AD21" s="8"/>
      <c r="AE21" s="8" t="s">
        <v>46</v>
      </c>
    </row>
    <row r="22" spans="1:31" ht="15.75" customHeight="1" x14ac:dyDescent="0.25">
      <c r="A22" s="7">
        <v>42614</v>
      </c>
      <c r="B22" s="8">
        <v>2016</v>
      </c>
      <c r="C22" s="8">
        <v>9</v>
      </c>
      <c r="D22" s="8">
        <v>30</v>
      </c>
      <c r="E22" s="8">
        <v>1.0200000000000001E-2</v>
      </c>
      <c r="F22" s="8">
        <v>4.7300000000000002E-2</v>
      </c>
      <c r="G22" s="8">
        <v>0.18</v>
      </c>
      <c r="H22" s="8">
        <v>500</v>
      </c>
      <c r="I22" s="8">
        <v>500</v>
      </c>
      <c r="J22" s="8">
        <v>426.7</v>
      </c>
      <c r="K22" s="8">
        <v>392.3</v>
      </c>
      <c r="L22" s="8"/>
      <c r="M22" s="8"/>
      <c r="N22" s="8">
        <v>8.01</v>
      </c>
      <c r="O22" s="8"/>
      <c r="P22" s="8">
        <v>20422.099999999999</v>
      </c>
      <c r="Q22" s="8">
        <v>152405</v>
      </c>
      <c r="R22" s="8">
        <v>0.36893999999999999</v>
      </c>
      <c r="S22" s="8">
        <v>5.815E-2</v>
      </c>
      <c r="T22" s="8">
        <v>0.32356000000000001</v>
      </c>
      <c r="U22" s="8">
        <v>0.21496999999999999</v>
      </c>
      <c r="V22" s="8">
        <v>1419.2</v>
      </c>
      <c r="W22" s="8">
        <f>6440.7+566</f>
        <v>7006.7</v>
      </c>
      <c r="X22" s="8"/>
      <c r="Y22" s="8"/>
      <c r="Z22" s="8">
        <v>73813.850000000006</v>
      </c>
      <c r="AA22" s="8">
        <f t="shared" si="0"/>
        <v>172827.1</v>
      </c>
      <c r="AB22" s="8"/>
      <c r="AC22" s="8"/>
      <c r="AD22" s="8"/>
      <c r="AE22" s="8" t="s">
        <v>46</v>
      </c>
    </row>
    <row r="23" spans="1:31" ht="15.75" customHeight="1" x14ac:dyDescent="0.25">
      <c r="A23" s="7">
        <v>42644</v>
      </c>
      <c r="B23" s="8">
        <v>2016</v>
      </c>
      <c r="C23" s="8">
        <v>10</v>
      </c>
      <c r="D23" s="8">
        <v>31</v>
      </c>
      <c r="E23" s="8">
        <v>0.01</v>
      </c>
      <c r="F23" s="8">
        <v>4.6199999999999998E-2</v>
      </c>
      <c r="G23" s="8">
        <v>0.18</v>
      </c>
      <c r="H23" s="8">
        <v>500</v>
      </c>
      <c r="I23" s="8">
        <v>500</v>
      </c>
      <c r="J23" s="8">
        <v>408.2</v>
      </c>
      <c r="K23" s="8">
        <v>384.7</v>
      </c>
      <c r="L23" s="8"/>
      <c r="M23" s="8"/>
      <c r="N23" s="8">
        <v>8.01</v>
      </c>
      <c r="O23" s="8"/>
      <c r="P23" s="8">
        <v>20508.599999999999</v>
      </c>
      <c r="Q23" s="8">
        <v>140315.70000000001</v>
      </c>
      <c r="R23" s="8">
        <v>0.36893999999999999</v>
      </c>
      <c r="S23" s="8">
        <v>5.815E-2</v>
      </c>
      <c r="T23" s="8">
        <v>0.32356000000000001</v>
      </c>
      <c r="U23" s="8">
        <v>0.21496999999999999</v>
      </c>
      <c r="V23" s="8">
        <v>1110.3</v>
      </c>
      <c r="W23" s="8">
        <f>4994+492.2</f>
        <v>5486.2</v>
      </c>
      <c r="X23" s="8"/>
      <c r="Y23" s="8"/>
      <c r="Z23" s="8">
        <v>69692.100000000006</v>
      </c>
      <c r="AA23" s="8">
        <f t="shared" si="0"/>
        <v>160824.30000000002</v>
      </c>
      <c r="AB23" s="8"/>
      <c r="AC23" s="8"/>
      <c r="AD23" s="8"/>
      <c r="AE23" s="8" t="s">
        <v>46</v>
      </c>
    </row>
    <row r="24" spans="1:31" ht="15.75" customHeight="1" x14ac:dyDescent="0.25">
      <c r="A24" s="7">
        <v>42675</v>
      </c>
      <c r="B24" s="8">
        <v>2016</v>
      </c>
      <c r="C24" s="8">
        <v>11</v>
      </c>
      <c r="D24" s="8">
        <v>30</v>
      </c>
      <c r="E24" s="8">
        <v>8.9999999999999993E-3</v>
      </c>
      <c r="F24" s="8">
        <v>4.1500000000000002E-2</v>
      </c>
      <c r="G24" s="8">
        <v>0.18</v>
      </c>
      <c r="H24" s="8">
        <v>500</v>
      </c>
      <c r="I24" s="8">
        <v>500</v>
      </c>
      <c r="J24" s="8">
        <v>557.79999999999995</v>
      </c>
      <c r="K24" s="8">
        <v>579.6</v>
      </c>
      <c r="L24" s="8"/>
      <c r="M24" s="8"/>
      <c r="N24" s="8">
        <v>8.01</v>
      </c>
      <c r="O24" s="8"/>
      <c r="P24" s="8">
        <v>22567.4</v>
      </c>
      <c r="Q24" s="8">
        <v>167213.29999999999</v>
      </c>
      <c r="R24" s="8">
        <v>0.36893999999999999</v>
      </c>
      <c r="S24" s="8">
        <v>5.815E-2</v>
      </c>
      <c r="T24" s="8">
        <v>0.32356000000000001</v>
      </c>
      <c r="U24" s="8">
        <v>0.21496999999999999</v>
      </c>
      <c r="V24" s="8">
        <v>1810.4</v>
      </c>
      <c r="W24" s="8">
        <f>8266.2+632.5</f>
        <v>8898.7000000000007</v>
      </c>
      <c r="X24" s="8"/>
      <c r="Y24" s="8"/>
      <c r="Z24" s="8">
        <v>83657.23</v>
      </c>
      <c r="AA24" s="8">
        <f t="shared" si="0"/>
        <v>189780.69999999998</v>
      </c>
      <c r="AB24" s="8">
        <f>1012.63+131</f>
        <v>1143.6300000000001</v>
      </c>
      <c r="AC24" s="8"/>
      <c r="AD24" s="8"/>
      <c r="AE24" s="8" t="s">
        <v>46</v>
      </c>
    </row>
    <row r="25" spans="1:31" ht="15.75" customHeight="1" x14ac:dyDescent="0.25">
      <c r="A25" s="7">
        <v>42705</v>
      </c>
      <c r="B25" s="8">
        <v>2016</v>
      </c>
      <c r="C25" s="8">
        <v>12</v>
      </c>
      <c r="D25" s="8">
        <v>31</v>
      </c>
      <c r="E25" s="8">
        <v>9.4000000000000004E-3</v>
      </c>
      <c r="F25" s="8">
        <v>4.3099999999999999E-2</v>
      </c>
      <c r="G25" s="8">
        <v>0.18</v>
      </c>
      <c r="H25" s="8">
        <v>500</v>
      </c>
      <c r="I25" s="8">
        <v>500</v>
      </c>
      <c r="J25" s="8">
        <v>425</v>
      </c>
      <c r="K25" s="8">
        <v>483.8</v>
      </c>
      <c r="L25" s="8"/>
      <c r="M25" s="8"/>
      <c r="N25" s="8">
        <v>8.01</v>
      </c>
      <c r="O25" s="8"/>
      <c r="P25" s="8">
        <v>20263.099999999999</v>
      </c>
      <c r="Q25" s="8">
        <v>152726.9</v>
      </c>
      <c r="R25" s="8">
        <v>0.36893999999999999</v>
      </c>
      <c r="S25" s="8">
        <v>5.815E-2</v>
      </c>
      <c r="T25" s="8">
        <v>0.32356000000000001</v>
      </c>
      <c r="U25" s="8">
        <v>0.21496999999999999</v>
      </c>
      <c r="V25" s="8">
        <v>1171</v>
      </c>
      <c r="W25" s="8">
        <f>6246.9+502.5</f>
        <v>6749.4</v>
      </c>
      <c r="X25" s="8"/>
      <c r="Y25" s="8"/>
      <c r="Z25" s="8">
        <v>75062.02</v>
      </c>
      <c r="AA25" s="8">
        <f t="shared" si="0"/>
        <v>172990</v>
      </c>
      <c r="AB25" s="8">
        <f>1263.94+167.69</f>
        <v>1431.63</v>
      </c>
      <c r="AC25" s="8"/>
      <c r="AD25" s="8"/>
      <c r="AE25" s="8" t="s">
        <v>46</v>
      </c>
    </row>
    <row r="26" spans="1:31" ht="15.75" customHeight="1" x14ac:dyDescent="0.25">
      <c r="A26" s="11">
        <v>42736</v>
      </c>
      <c r="B26" s="8">
        <v>2017</v>
      </c>
      <c r="C26" s="8">
        <v>1</v>
      </c>
      <c r="D26" s="8">
        <v>30</v>
      </c>
      <c r="E26" s="8">
        <v>9.2999999999999992E-3</v>
      </c>
      <c r="F26" s="8">
        <v>4.2700000000000002E-2</v>
      </c>
      <c r="G26" s="8">
        <v>0.18</v>
      </c>
      <c r="H26" s="8">
        <v>500</v>
      </c>
      <c r="I26" s="8">
        <v>500</v>
      </c>
      <c r="J26" s="8">
        <v>386.4</v>
      </c>
      <c r="K26" s="8">
        <v>444.4</v>
      </c>
      <c r="L26" s="8"/>
      <c r="M26" s="8"/>
      <c r="N26" s="8">
        <v>8.01</v>
      </c>
      <c r="O26" s="8"/>
      <c r="P26" s="8">
        <v>15847.2</v>
      </c>
      <c r="Q26" s="8">
        <v>117748.3</v>
      </c>
      <c r="R26" s="8">
        <v>0.36893999999999999</v>
      </c>
      <c r="S26" s="21">
        <v>5.815E-2</v>
      </c>
      <c r="T26" s="8">
        <v>0.32356000000000001</v>
      </c>
      <c r="U26" s="8">
        <v>0.21496999999999999</v>
      </c>
      <c r="V26" s="8">
        <v>2439.8000000000002</v>
      </c>
      <c r="W26" s="8">
        <v>12997.5</v>
      </c>
      <c r="X26" s="8"/>
      <c r="Y26" s="8"/>
      <c r="Z26" s="8">
        <v>69249.600000000006</v>
      </c>
      <c r="AA26" s="8">
        <v>167798.2</v>
      </c>
      <c r="AB26" s="8"/>
      <c r="AC26" s="8"/>
      <c r="AD26" s="8"/>
      <c r="AE26" s="8" t="s">
        <v>46</v>
      </c>
    </row>
    <row r="27" spans="1:31" ht="15.75" customHeight="1" x14ac:dyDescent="0.25">
      <c r="A27" s="11">
        <v>42767</v>
      </c>
      <c r="B27" s="8">
        <v>2017</v>
      </c>
      <c r="C27" s="8">
        <v>2</v>
      </c>
      <c r="D27" s="8">
        <v>32</v>
      </c>
      <c r="E27" s="8">
        <v>1.1299999999999999E-2</v>
      </c>
      <c r="F27" s="8">
        <v>5.2299999999999999E-2</v>
      </c>
      <c r="G27" s="8">
        <v>0.18</v>
      </c>
      <c r="H27" s="8">
        <v>500</v>
      </c>
      <c r="I27" s="8">
        <v>500</v>
      </c>
      <c r="J27" s="8">
        <v>457</v>
      </c>
      <c r="K27" s="8">
        <v>502.3</v>
      </c>
      <c r="L27" s="8"/>
      <c r="M27" s="8"/>
      <c r="N27" s="8">
        <v>8.01</v>
      </c>
      <c r="O27" s="8"/>
      <c r="P27" s="8">
        <v>19273.2</v>
      </c>
      <c r="Q27" s="8">
        <v>137652.1</v>
      </c>
      <c r="R27" s="8">
        <v>0.36893999999999999</v>
      </c>
      <c r="S27" s="21">
        <v>5.815E-2</v>
      </c>
      <c r="T27" s="8">
        <v>0.32356000000000001</v>
      </c>
      <c r="U27" s="8">
        <v>0.21496999999999999</v>
      </c>
      <c r="V27" s="8">
        <v>2773.7</v>
      </c>
      <c r="W27" s="8">
        <v>15673.1</v>
      </c>
      <c r="X27" s="8"/>
      <c r="Y27" s="8"/>
      <c r="Z27" s="8">
        <v>81299.77</v>
      </c>
      <c r="AA27" s="8">
        <v>194792.43</v>
      </c>
      <c r="AB27" s="8"/>
      <c r="AC27" s="8"/>
      <c r="AD27" s="8"/>
      <c r="AE27" s="8" t="s">
        <v>46</v>
      </c>
    </row>
    <row r="28" spans="1:31" ht="15.75" customHeight="1" x14ac:dyDescent="0.25">
      <c r="A28" s="11">
        <v>42795</v>
      </c>
      <c r="B28" s="8">
        <v>2017</v>
      </c>
      <c r="C28" s="8">
        <v>3</v>
      </c>
      <c r="D28" s="8">
        <v>29</v>
      </c>
      <c r="E28" s="8">
        <v>1.14E-2</v>
      </c>
      <c r="F28" s="8">
        <v>0.52900000000000003</v>
      </c>
      <c r="G28" s="8">
        <v>0.18</v>
      </c>
      <c r="H28" s="8">
        <v>500</v>
      </c>
      <c r="I28" s="8">
        <v>500</v>
      </c>
      <c r="J28" s="8">
        <v>567.79999999999995</v>
      </c>
      <c r="K28" s="8">
        <v>573.70000000000005</v>
      </c>
      <c r="L28" s="8"/>
      <c r="M28" s="8"/>
      <c r="N28" s="8">
        <v>8.01</v>
      </c>
      <c r="O28" s="8"/>
      <c r="P28" s="8">
        <v>14632.8</v>
      </c>
      <c r="Q28" s="8">
        <v>156441</v>
      </c>
      <c r="R28" s="8">
        <v>0.36893999999999999</v>
      </c>
      <c r="S28" s="21">
        <v>5.815E-2</v>
      </c>
      <c r="T28" s="8">
        <v>0.32356000000000001</v>
      </c>
      <c r="U28" s="8">
        <v>0.21496999999999999</v>
      </c>
      <c r="V28" s="8">
        <v>3894.5</v>
      </c>
      <c r="W28" s="8">
        <v>21224.9</v>
      </c>
      <c r="X28" s="8"/>
      <c r="Y28" s="8"/>
      <c r="Z28" s="8">
        <v>98432.41</v>
      </c>
      <c r="AA28" s="8">
        <v>220635.24</v>
      </c>
      <c r="AB28" s="8">
        <v>1882.6399999999999</v>
      </c>
      <c r="AC28" s="8"/>
      <c r="AD28" s="8"/>
      <c r="AE28" s="8" t="s">
        <v>46</v>
      </c>
    </row>
    <row r="29" spans="1:31" ht="15.75" customHeight="1" x14ac:dyDescent="0.25">
      <c r="A29" s="11">
        <v>42826</v>
      </c>
      <c r="B29" s="8">
        <v>2017</v>
      </c>
      <c r="C29" s="8">
        <v>4</v>
      </c>
      <c r="D29" s="8">
        <v>30</v>
      </c>
      <c r="E29" s="8">
        <v>9.9000000000000008E-3</v>
      </c>
      <c r="F29" s="8">
        <v>4.5600000000000002E-2</v>
      </c>
      <c r="G29" s="8">
        <v>0.18</v>
      </c>
      <c r="H29" s="8">
        <v>500</v>
      </c>
      <c r="I29" s="8">
        <v>500</v>
      </c>
      <c r="J29" s="8">
        <v>480.5</v>
      </c>
      <c r="K29" s="8">
        <v>506.5</v>
      </c>
      <c r="L29" s="8"/>
      <c r="M29" s="8"/>
      <c r="N29" s="8">
        <v>8.01</v>
      </c>
      <c r="O29" s="8"/>
      <c r="P29" s="8">
        <v>14198.1</v>
      </c>
      <c r="Q29" s="8">
        <v>136557.79999999999</v>
      </c>
      <c r="R29" s="8">
        <v>0.36893999999999999</v>
      </c>
      <c r="S29" s="21">
        <v>5.815E-2</v>
      </c>
      <c r="T29" s="8">
        <v>0.32356000000000001</v>
      </c>
      <c r="U29" s="8">
        <v>0.21496999999999999</v>
      </c>
      <c r="V29" s="8">
        <v>2086.6</v>
      </c>
      <c r="W29" s="8">
        <v>9510.7000000000007</v>
      </c>
      <c r="X29" s="8"/>
      <c r="Y29" s="8"/>
      <c r="Z29" s="8">
        <v>83958.85</v>
      </c>
      <c r="AA29" s="8">
        <v>196115.22</v>
      </c>
      <c r="AB29" s="8">
        <v>2222.62</v>
      </c>
      <c r="AC29" s="8">
        <v>549.5</v>
      </c>
      <c r="AD29" s="8"/>
      <c r="AE29" s="8" t="s">
        <v>46</v>
      </c>
    </row>
    <row r="30" spans="1:31" ht="15.75" customHeight="1" x14ac:dyDescent="0.25">
      <c r="A30" s="11">
        <v>42856</v>
      </c>
      <c r="B30" s="8">
        <v>2017</v>
      </c>
      <c r="C30" s="8">
        <v>5</v>
      </c>
      <c r="D30" s="8">
        <v>29</v>
      </c>
      <c r="E30" s="8">
        <v>1.2E-2</v>
      </c>
      <c r="F30" s="8">
        <v>5.5399999999999998E-2</v>
      </c>
      <c r="G30" s="8">
        <v>0.18</v>
      </c>
      <c r="H30" s="8">
        <v>500</v>
      </c>
      <c r="I30" s="8">
        <v>500</v>
      </c>
      <c r="J30" s="8">
        <v>451.9</v>
      </c>
      <c r="K30" s="8">
        <v>399.8</v>
      </c>
      <c r="L30" s="8"/>
      <c r="M30" s="8"/>
      <c r="N30" s="8">
        <v>8.01</v>
      </c>
      <c r="O30" s="8"/>
      <c r="P30" s="8">
        <v>17352.5</v>
      </c>
      <c r="Q30" s="8">
        <v>108914.4</v>
      </c>
      <c r="R30" s="8">
        <v>0.36893999999999999</v>
      </c>
      <c r="S30" s="8">
        <v>5.815E-2</v>
      </c>
      <c r="T30" s="8">
        <v>0.31818999999999997</v>
      </c>
      <c r="U30" s="8">
        <v>0.20960000000000001</v>
      </c>
      <c r="V30" s="8">
        <v>1258.3</v>
      </c>
      <c r="W30" s="8">
        <v>6978.3</v>
      </c>
      <c r="X30" s="8"/>
      <c r="Y30" s="8"/>
      <c r="Z30" s="8">
        <v>66039.66</v>
      </c>
      <c r="AA30" s="8">
        <v>154706.16</v>
      </c>
      <c r="AB30" s="8"/>
      <c r="AC30" s="8">
        <v>4641.16</v>
      </c>
      <c r="AD30" s="8"/>
      <c r="AE30" s="8" t="s">
        <v>46</v>
      </c>
    </row>
    <row r="31" spans="1:31" ht="15.75" customHeight="1" x14ac:dyDescent="0.25">
      <c r="A31" s="11">
        <v>42887</v>
      </c>
      <c r="B31" s="8">
        <v>2017</v>
      </c>
      <c r="C31" s="8">
        <v>6</v>
      </c>
      <c r="D31" s="8">
        <v>32</v>
      </c>
      <c r="E31" s="8">
        <v>1.15E-2</v>
      </c>
      <c r="F31" s="8">
        <v>5.2699999999999997E-2</v>
      </c>
      <c r="G31" s="8">
        <v>0.18</v>
      </c>
      <c r="H31" s="8">
        <v>500</v>
      </c>
      <c r="I31" s="8">
        <v>500</v>
      </c>
      <c r="J31" s="8">
        <v>414.1</v>
      </c>
      <c r="K31" s="8">
        <v>410.8</v>
      </c>
      <c r="L31" s="8"/>
      <c r="M31" s="8"/>
      <c r="N31" s="8">
        <v>8.01</v>
      </c>
      <c r="O31" s="8"/>
      <c r="P31" s="8">
        <v>19325.5</v>
      </c>
      <c r="Q31" s="8">
        <v>112709.9</v>
      </c>
      <c r="R31" s="8">
        <v>0.36893999999999999</v>
      </c>
      <c r="S31" s="8">
        <v>5.815E-2</v>
      </c>
      <c r="T31" s="8">
        <v>0.31818999999999997</v>
      </c>
      <c r="U31" s="8">
        <v>0.20960000000000001</v>
      </c>
      <c r="V31" s="8">
        <v>1043.3</v>
      </c>
      <c r="W31" s="8">
        <v>3988.5</v>
      </c>
      <c r="X31" s="8"/>
      <c r="Y31" s="8"/>
      <c r="Z31" s="8">
        <v>72252.53</v>
      </c>
      <c r="AA31" s="8">
        <v>160642.79999999999</v>
      </c>
      <c r="AB31" s="8"/>
      <c r="AC31" s="8">
        <v>5841.68</v>
      </c>
      <c r="AD31" s="8"/>
      <c r="AE31" s="8" t="s">
        <v>46</v>
      </c>
    </row>
    <row r="32" spans="1:31" ht="15.75" customHeight="1" x14ac:dyDescent="0.25">
      <c r="A32" s="11">
        <v>42917</v>
      </c>
      <c r="B32" s="8">
        <v>2017</v>
      </c>
      <c r="C32" s="8">
        <v>7</v>
      </c>
      <c r="D32" s="8">
        <v>31</v>
      </c>
      <c r="E32" s="8">
        <v>1.1599999999999999E-2</v>
      </c>
      <c r="F32" s="8">
        <v>5.3499999999999999E-2</v>
      </c>
      <c r="G32" s="8">
        <v>0.18</v>
      </c>
      <c r="H32" s="8">
        <v>500</v>
      </c>
      <c r="I32" s="8">
        <v>500</v>
      </c>
      <c r="J32" s="8">
        <v>373.8</v>
      </c>
      <c r="K32" s="8">
        <v>332.6</v>
      </c>
      <c r="L32" s="8"/>
      <c r="M32" s="8"/>
      <c r="N32" s="8">
        <v>10.77</v>
      </c>
      <c r="O32" s="8"/>
      <c r="P32" s="8">
        <v>20494.599999999999</v>
      </c>
      <c r="Q32" s="8">
        <v>106610.5</v>
      </c>
      <c r="R32" s="8">
        <v>0.37324000000000002</v>
      </c>
      <c r="S32" s="8">
        <v>5.6849999999999998E-2</v>
      </c>
      <c r="T32" s="8">
        <v>0.31818999999999997</v>
      </c>
      <c r="U32" s="8">
        <v>0.20960000000000001</v>
      </c>
      <c r="V32" s="8">
        <v>255.2</v>
      </c>
      <c r="W32" s="8">
        <v>797.2</v>
      </c>
      <c r="X32" s="8"/>
      <c r="Y32" s="8"/>
      <c r="Z32" s="8">
        <v>68397.740000000005</v>
      </c>
      <c r="AA32" s="8">
        <v>152457</v>
      </c>
      <c r="AB32" s="8">
        <v>1574.02</v>
      </c>
      <c r="AC32" s="8"/>
      <c r="AD32" s="8"/>
      <c r="AE32" s="8" t="s">
        <v>46</v>
      </c>
    </row>
    <row r="33" spans="1:31" ht="15.75" customHeight="1" x14ac:dyDescent="0.25">
      <c r="A33" s="11">
        <v>42948</v>
      </c>
      <c r="B33" s="8">
        <v>2017</v>
      </c>
      <c r="C33" s="8">
        <v>8</v>
      </c>
      <c r="D33" s="8">
        <v>32</v>
      </c>
      <c r="E33" s="8">
        <v>1.26E-2</v>
      </c>
      <c r="F33" s="8">
        <v>5.8299999999999998E-2</v>
      </c>
      <c r="G33" s="8">
        <v>0.18</v>
      </c>
      <c r="H33" s="8">
        <v>500</v>
      </c>
      <c r="I33" s="8">
        <v>500</v>
      </c>
      <c r="J33" s="8">
        <v>377.2</v>
      </c>
      <c r="K33" s="8">
        <v>344.4</v>
      </c>
      <c r="L33" s="8"/>
      <c r="M33" s="8"/>
      <c r="N33" s="8">
        <v>10.77</v>
      </c>
      <c r="O33" s="8"/>
      <c r="P33" s="8">
        <v>21580.9</v>
      </c>
      <c r="Q33" s="8">
        <v>116279.29999999999</v>
      </c>
      <c r="R33" s="8">
        <v>0.43986999999999998</v>
      </c>
      <c r="S33" s="8">
        <v>3.6769999999999997E-2</v>
      </c>
      <c r="T33" s="8">
        <v>0.34899000000000002</v>
      </c>
      <c r="U33" s="8">
        <v>0.22885</v>
      </c>
      <c r="V33" s="8">
        <v>344.4</v>
      </c>
      <c r="W33" s="8">
        <v>955.3</v>
      </c>
      <c r="X33" s="8"/>
      <c r="Y33" s="8"/>
      <c r="Z33" s="8">
        <v>81241.100000000006</v>
      </c>
      <c r="AA33" s="8">
        <v>165308.9</v>
      </c>
      <c r="AB33" s="8">
        <v>2268.41</v>
      </c>
      <c r="AC33" s="8">
        <v>2748.2799999999997</v>
      </c>
      <c r="AD33" s="8"/>
      <c r="AE33" s="8" t="s">
        <v>46</v>
      </c>
    </row>
    <row r="34" spans="1:31" ht="15.75" customHeight="1" x14ac:dyDescent="0.25">
      <c r="A34" s="11">
        <v>42979</v>
      </c>
      <c r="B34" s="8">
        <v>2017</v>
      </c>
      <c r="C34" s="8">
        <v>9</v>
      </c>
      <c r="D34" s="8">
        <v>31</v>
      </c>
      <c r="E34" s="8">
        <v>8.0000000000000002E-3</v>
      </c>
      <c r="F34" s="8">
        <v>3.6700000000000003E-2</v>
      </c>
      <c r="G34" s="8">
        <v>0.18</v>
      </c>
      <c r="H34" s="8">
        <v>500</v>
      </c>
      <c r="I34" s="8">
        <v>500</v>
      </c>
      <c r="J34" s="8">
        <v>352</v>
      </c>
      <c r="K34" s="8">
        <v>337.7</v>
      </c>
      <c r="L34" s="8"/>
      <c r="M34" s="8"/>
      <c r="N34" s="8">
        <v>10.77</v>
      </c>
      <c r="O34" s="8"/>
      <c r="P34" s="8">
        <v>17336.8</v>
      </c>
      <c r="Q34" s="8">
        <v>103051.4</v>
      </c>
      <c r="R34" s="8">
        <v>0.43986999999999998</v>
      </c>
      <c r="S34" s="8">
        <v>3.6769999999999997E-2</v>
      </c>
      <c r="T34" s="8">
        <v>0.34899000000000002</v>
      </c>
      <c r="U34" s="8">
        <v>0.22885</v>
      </c>
      <c r="V34" s="8">
        <v>596.6</v>
      </c>
      <c r="W34" s="8">
        <v>1610.9</v>
      </c>
      <c r="X34" s="8"/>
      <c r="Y34" s="8"/>
      <c r="Z34" s="8">
        <v>69840.17</v>
      </c>
      <c r="AA34" s="8">
        <v>147845.5</v>
      </c>
      <c r="AB34" s="8">
        <v>1624.29</v>
      </c>
      <c r="AC34" s="8">
        <v>3028.6499999999996</v>
      </c>
      <c r="AD34" s="8"/>
      <c r="AE34" s="8" t="s">
        <v>46</v>
      </c>
    </row>
    <row r="35" spans="1:31" ht="15.75" customHeight="1" x14ac:dyDescent="0.25">
      <c r="A35" s="11">
        <v>43009</v>
      </c>
      <c r="B35" s="8">
        <v>2017</v>
      </c>
      <c r="C35" s="8">
        <v>10</v>
      </c>
      <c r="D35" s="8">
        <v>32</v>
      </c>
      <c r="E35" s="8">
        <v>7.1999999999999998E-3</v>
      </c>
      <c r="F35" s="8">
        <v>3.3399999999999999E-2</v>
      </c>
      <c r="G35" s="8">
        <v>0.18</v>
      </c>
      <c r="H35" s="8">
        <v>500</v>
      </c>
      <c r="I35" s="8">
        <v>500</v>
      </c>
      <c r="J35" s="8">
        <v>439.3</v>
      </c>
      <c r="K35" s="8">
        <v>456.1</v>
      </c>
      <c r="L35" s="8"/>
      <c r="M35" s="8"/>
      <c r="N35" s="8">
        <v>10.77</v>
      </c>
      <c r="O35" s="8"/>
      <c r="P35" s="8">
        <v>22186.5</v>
      </c>
      <c r="Q35" s="8">
        <v>131348.70000000001</v>
      </c>
      <c r="R35" s="8">
        <v>0.43986999999999998</v>
      </c>
      <c r="S35" s="8">
        <v>3.6769999999999997E-2</v>
      </c>
      <c r="T35" s="8">
        <v>0.34899000000000002</v>
      </c>
      <c r="U35" s="8">
        <v>0.22885</v>
      </c>
      <c r="V35" s="8">
        <v>1332.7</v>
      </c>
      <c r="W35" s="8">
        <v>4579.7</v>
      </c>
      <c r="X35" s="8"/>
      <c r="Y35" s="8"/>
      <c r="Z35" s="8">
        <v>86576.8</v>
      </c>
      <c r="AA35" s="8">
        <v>186576.2</v>
      </c>
      <c r="AB35" s="8">
        <v>2330.5299999999997</v>
      </c>
      <c r="AC35" s="8">
        <v>3959.79</v>
      </c>
      <c r="AD35" s="8"/>
      <c r="AE35" s="8" t="s">
        <v>46</v>
      </c>
    </row>
    <row r="36" spans="1:31" ht="15.75" customHeight="1" x14ac:dyDescent="0.25">
      <c r="A36" s="11">
        <v>43040</v>
      </c>
      <c r="B36" s="8">
        <v>2017</v>
      </c>
      <c r="C36" s="8">
        <v>11</v>
      </c>
      <c r="D36" s="8">
        <v>28</v>
      </c>
      <c r="E36" s="8">
        <v>7.0000000000000001E-3</v>
      </c>
      <c r="F36" s="8">
        <v>3.2199999999999999E-2</v>
      </c>
      <c r="G36" s="8">
        <v>0.18</v>
      </c>
      <c r="H36" s="8">
        <v>500</v>
      </c>
      <c r="I36" s="8">
        <v>500</v>
      </c>
      <c r="J36" s="8">
        <v>430.1</v>
      </c>
      <c r="K36" s="8">
        <v>456.1</v>
      </c>
      <c r="L36" s="8"/>
      <c r="M36" s="8"/>
      <c r="N36" s="8">
        <v>10.77</v>
      </c>
      <c r="O36" s="8"/>
      <c r="P36" s="8">
        <v>18218.599999999999</v>
      </c>
      <c r="Q36" s="8">
        <v>107987.9</v>
      </c>
      <c r="R36" s="8">
        <v>0.43986999999999998</v>
      </c>
      <c r="S36" s="8">
        <v>3.6769999999999997E-2</v>
      </c>
      <c r="T36" s="8">
        <v>0.34899000000000002</v>
      </c>
      <c r="U36" s="8">
        <v>0.22885</v>
      </c>
      <c r="V36" s="8">
        <v>613.6</v>
      </c>
      <c r="W36" s="8">
        <v>1726.6</v>
      </c>
      <c r="X36" s="8"/>
      <c r="Y36" s="8"/>
      <c r="Z36" s="8">
        <v>75426.600000000006</v>
      </c>
      <c r="AA36" s="8">
        <v>146268.79999999999</v>
      </c>
      <c r="AB36" s="8"/>
      <c r="AC36" s="8">
        <v>8067.86</v>
      </c>
      <c r="AD36" s="8"/>
      <c r="AE36" s="8" t="s">
        <v>46</v>
      </c>
    </row>
    <row r="37" spans="1:31" ht="15.75" customHeight="1" x14ac:dyDescent="0.25">
      <c r="A37" s="11">
        <v>43070</v>
      </c>
      <c r="B37" s="8">
        <v>2017</v>
      </c>
      <c r="C37" s="8">
        <v>12</v>
      </c>
      <c r="D37" s="8">
        <v>30</v>
      </c>
      <c r="E37" s="8">
        <v>8.8000000000000005E-3</v>
      </c>
      <c r="F37" s="8">
        <v>4.07E-2</v>
      </c>
      <c r="G37" s="8">
        <v>0.18</v>
      </c>
      <c r="H37" s="8">
        <v>500</v>
      </c>
      <c r="I37" s="8">
        <v>500</v>
      </c>
      <c r="J37" s="8">
        <v>413.3</v>
      </c>
      <c r="K37" s="8">
        <v>456.1</v>
      </c>
      <c r="L37" s="8"/>
      <c r="M37" s="8"/>
      <c r="N37" s="8">
        <v>10.77</v>
      </c>
      <c r="O37" s="8"/>
      <c r="P37" s="8">
        <v>20189.599999999999</v>
      </c>
      <c r="Q37" s="8">
        <v>123493.9</v>
      </c>
      <c r="R37" s="8">
        <v>0.43986999999999998</v>
      </c>
      <c r="S37" s="8">
        <v>3.6769999999999997E-2</v>
      </c>
      <c r="T37" s="8">
        <v>0.34899000000000002</v>
      </c>
      <c r="U37" s="8">
        <v>0.22885</v>
      </c>
      <c r="V37" s="8">
        <v>695.7</v>
      </c>
      <c r="W37" s="8">
        <v>2722.7</v>
      </c>
      <c r="X37" s="8"/>
      <c r="Y37" s="8"/>
      <c r="Z37" s="8">
        <v>85064.81</v>
      </c>
      <c r="AA37" s="8">
        <v>175187.5</v>
      </c>
      <c r="AB37" s="8"/>
      <c r="AC37" s="8">
        <v>8788.4</v>
      </c>
      <c r="AD37" s="8"/>
      <c r="AE37" s="8" t="s">
        <v>46</v>
      </c>
    </row>
    <row r="38" spans="1:31" ht="15.75" customHeight="1" x14ac:dyDescent="0.25">
      <c r="A38" s="7">
        <v>43101</v>
      </c>
      <c r="B38" s="8">
        <v>2018</v>
      </c>
      <c r="C38" s="8">
        <v>1</v>
      </c>
      <c r="D38" s="8">
        <v>29</v>
      </c>
      <c r="E38" s="8">
        <v>9.1000000000000004E-3</v>
      </c>
      <c r="F38" s="8">
        <v>4.1599999999999998E-2</v>
      </c>
      <c r="G38" s="8">
        <v>0.18</v>
      </c>
      <c r="H38" s="8">
        <v>500</v>
      </c>
      <c r="I38" s="8">
        <v>500</v>
      </c>
      <c r="J38" s="8">
        <v>389.8</v>
      </c>
      <c r="K38" s="8">
        <v>369.6</v>
      </c>
      <c r="L38" s="8"/>
      <c r="M38" s="8"/>
      <c r="N38" s="8">
        <v>10.77</v>
      </c>
      <c r="O38" s="8"/>
      <c r="P38" s="8">
        <v>13811.1</v>
      </c>
      <c r="Q38" s="8">
        <v>134875</v>
      </c>
      <c r="R38" s="8">
        <v>0.43986999999999998</v>
      </c>
      <c r="S38" s="8">
        <v>3.6769999999999997E-2</v>
      </c>
      <c r="T38" s="8">
        <v>0.34899000000000002</v>
      </c>
      <c r="U38" s="8">
        <v>0.22885</v>
      </c>
      <c r="V38" s="8">
        <v>827.2</v>
      </c>
      <c r="W38" s="8">
        <v>5527.8</v>
      </c>
      <c r="X38" s="8"/>
      <c r="Y38" s="8"/>
      <c r="Z38" s="8">
        <v>67257.55</v>
      </c>
      <c r="AA38" s="8">
        <v>148686.1</v>
      </c>
      <c r="AB38" s="8"/>
      <c r="AC38" s="8">
        <v>3500.29</v>
      </c>
      <c r="AD38" s="8"/>
      <c r="AE38" s="8" t="s">
        <v>46</v>
      </c>
    </row>
    <row r="39" spans="1:31" ht="15.75" customHeight="1" x14ac:dyDescent="0.25">
      <c r="A39" s="7">
        <v>43132</v>
      </c>
      <c r="B39" s="8">
        <v>2018</v>
      </c>
      <c r="C39" s="8">
        <v>2</v>
      </c>
      <c r="D39" s="8">
        <v>33</v>
      </c>
      <c r="E39" s="8">
        <v>1.0699999999999999E-2</v>
      </c>
      <c r="F39" s="8">
        <v>4.9099999999999998E-2</v>
      </c>
      <c r="G39" s="8">
        <v>0.18</v>
      </c>
      <c r="H39" s="8">
        <v>500</v>
      </c>
      <c r="I39" s="8">
        <v>500</v>
      </c>
      <c r="J39" s="8">
        <v>304.89999999999998</v>
      </c>
      <c r="K39" s="8">
        <v>416.6</v>
      </c>
      <c r="L39" s="8"/>
      <c r="M39" s="8"/>
      <c r="N39" s="8">
        <v>10.77</v>
      </c>
      <c r="O39" s="8"/>
      <c r="P39" s="8">
        <v>16595.5</v>
      </c>
      <c r="Q39" s="8">
        <v>157617</v>
      </c>
      <c r="R39" s="8">
        <v>0.43986999999999998</v>
      </c>
      <c r="S39" s="8">
        <v>3.6769999999999997E-2</v>
      </c>
      <c r="T39" s="8">
        <v>0.34899000000000002</v>
      </c>
      <c r="U39" s="8">
        <v>0.22885</v>
      </c>
      <c r="V39" s="8">
        <v>1051.7</v>
      </c>
      <c r="W39" s="8">
        <v>6099.1</v>
      </c>
      <c r="X39" s="8"/>
      <c r="Y39" s="8"/>
      <c r="Z39" s="8">
        <v>74751.09</v>
      </c>
      <c r="AA39" s="8">
        <v>174212.5</v>
      </c>
      <c r="AB39" s="8"/>
      <c r="AC39" s="8"/>
      <c r="AD39" s="8"/>
      <c r="AE39" s="8" t="s">
        <v>46</v>
      </c>
    </row>
    <row r="40" spans="1:31" ht="15.75" customHeight="1" x14ac:dyDescent="0.25">
      <c r="A40" s="7">
        <v>43160</v>
      </c>
      <c r="B40" s="8">
        <v>2018</v>
      </c>
      <c r="C40" s="8">
        <v>3</v>
      </c>
      <c r="D40" s="8">
        <v>27</v>
      </c>
      <c r="E40" s="8">
        <v>1.0200000000000001E-2</v>
      </c>
      <c r="F40" s="8">
        <v>4.6800000000000001E-2</v>
      </c>
      <c r="G40" s="8">
        <v>0.18</v>
      </c>
      <c r="H40" s="8">
        <v>500</v>
      </c>
      <c r="I40" s="8">
        <v>500</v>
      </c>
      <c r="J40" s="8">
        <v>488</v>
      </c>
      <c r="K40" s="8">
        <v>502.3</v>
      </c>
      <c r="L40" s="8"/>
      <c r="M40" s="8"/>
      <c r="N40" s="8">
        <v>10.77</v>
      </c>
      <c r="O40" s="8"/>
      <c r="P40" s="8">
        <v>20251.599999999999</v>
      </c>
      <c r="Q40" s="8">
        <v>150109.9</v>
      </c>
      <c r="R40" s="8">
        <v>0.43986999999999998</v>
      </c>
      <c r="S40" s="8">
        <v>3.6769999999999997E-2</v>
      </c>
      <c r="T40" s="8">
        <v>0.34899000000000002</v>
      </c>
      <c r="U40" s="8">
        <v>0.22885</v>
      </c>
      <c r="V40" s="8">
        <v>1079.2</v>
      </c>
      <c r="W40" s="8">
        <v>5999.5</v>
      </c>
      <c r="X40" s="8"/>
      <c r="Y40" s="8"/>
      <c r="Z40" s="8">
        <v>75606.02</v>
      </c>
      <c r="AA40" s="8">
        <v>170361.5</v>
      </c>
      <c r="AB40" s="8"/>
      <c r="AC40" s="8"/>
      <c r="AD40" s="8"/>
      <c r="AE40" s="8" t="s">
        <v>46</v>
      </c>
    </row>
    <row r="41" spans="1:31" ht="15.75" customHeight="1" x14ac:dyDescent="0.25">
      <c r="A41" s="7">
        <v>43191</v>
      </c>
      <c r="B41" s="8">
        <v>2018</v>
      </c>
      <c r="C41" s="8">
        <v>4</v>
      </c>
      <c r="D41" s="8">
        <v>30</v>
      </c>
      <c r="E41" s="8">
        <v>8.0000000000000002E-3</v>
      </c>
      <c r="F41" s="8">
        <v>3.7100000000000001E-2</v>
      </c>
      <c r="G41" s="8">
        <v>0.18</v>
      </c>
      <c r="H41" s="8">
        <v>500</v>
      </c>
      <c r="I41" s="8">
        <v>500</v>
      </c>
      <c r="J41" s="8">
        <v>496.4</v>
      </c>
      <c r="K41" s="8">
        <v>513.20000000000005</v>
      </c>
      <c r="L41" s="8"/>
      <c r="M41" s="8"/>
      <c r="N41" s="8">
        <v>10.77</v>
      </c>
      <c r="O41" s="8"/>
      <c r="P41" s="8">
        <v>24442.1</v>
      </c>
      <c r="Q41" s="8">
        <v>174931.3</v>
      </c>
      <c r="R41" s="8">
        <v>0.43986999999999998</v>
      </c>
      <c r="S41" s="8">
        <v>3.6769999999999997E-2</v>
      </c>
      <c r="T41" s="8">
        <v>0.34899000000000002</v>
      </c>
      <c r="U41" s="8">
        <v>0.22885</v>
      </c>
      <c r="V41" s="8">
        <v>1206.2</v>
      </c>
      <c r="W41" s="8">
        <v>7718.5</v>
      </c>
      <c r="X41" s="8"/>
      <c r="Y41" s="8"/>
      <c r="Z41" s="8">
        <v>86615.09</v>
      </c>
      <c r="AA41" s="8">
        <v>199373.4</v>
      </c>
      <c r="AB41" s="8"/>
      <c r="AC41" s="8"/>
      <c r="AD41" s="8"/>
      <c r="AE41" s="8" t="s">
        <v>46</v>
      </c>
    </row>
    <row r="42" spans="1:31" ht="15.75" customHeight="1" x14ac:dyDescent="0.25">
      <c r="A42" s="7">
        <v>43221</v>
      </c>
      <c r="B42" s="8">
        <v>2018</v>
      </c>
      <c r="C42" s="8">
        <v>5</v>
      </c>
      <c r="D42" s="8">
        <v>32</v>
      </c>
      <c r="E42" s="8">
        <v>8.9999999999999993E-3</v>
      </c>
      <c r="F42" s="8">
        <v>4.1200000000000001E-2</v>
      </c>
      <c r="G42" s="8">
        <v>0.18</v>
      </c>
      <c r="H42" s="8">
        <v>500</v>
      </c>
      <c r="I42" s="8">
        <v>500</v>
      </c>
      <c r="J42" s="8">
        <v>415</v>
      </c>
      <c r="K42" s="8">
        <v>391.4</v>
      </c>
      <c r="L42" s="8"/>
      <c r="M42" s="8"/>
      <c r="N42" s="8">
        <v>10.77</v>
      </c>
      <c r="O42" s="8"/>
      <c r="P42" s="8">
        <v>21035.200000000001</v>
      </c>
      <c r="Q42" s="8">
        <v>155978.6</v>
      </c>
      <c r="R42" s="8">
        <v>0.43986999999999998</v>
      </c>
      <c r="S42" s="8">
        <v>3.6769999999999997E-2</v>
      </c>
      <c r="T42" s="8">
        <v>0.34899000000000002</v>
      </c>
      <c r="U42" s="8">
        <v>0.22885</v>
      </c>
      <c r="V42" s="8">
        <v>501.1</v>
      </c>
      <c r="W42" s="8">
        <v>5594.9</v>
      </c>
      <c r="X42" s="8"/>
      <c r="Y42" s="8"/>
      <c r="Z42" s="8">
        <v>78515.88</v>
      </c>
      <c r="AA42" s="8">
        <v>177013.8</v>
      </c>
      <c r="AB42" s="8">
        <v>955.48</v>
      </c>
      <c r="AC42" s="8"/>
      <c r="AD42" s="8"/>
      <c r="AE42" s="8" t="s">
        <v>46</v>
      </c>
    </row>
    <row r="43" spans="1:31" ht="15.75" customHeight="1" x14ac:dyDescent="0.25">
      <c r="A43" s="7">
        <v>43252</v>
      </c>
      <c r="B43" s="8">
        <v>2018</v>
      </c>
      <c r="C43" s="8">
        <v>6</v>
      </c>
      <c r="D43" s="8">
        <v>30</v>
      </c>
      <c r="E43" s="8">
        <v>5.7999999999999996E-3</v>
      </c>
      <c r="F43" s="8">
        <v>2.69E-2</v>
      </c>
      <c r="G43" s="8">
        <v>0.18</v>
      </c>
      <c r="H43" s="8">
        <v>500</v>
      </c>
      <c r="I43" s="8">
        <v>500</v>
      </c>
      <c r="J43" s="8">
        <v>423.4</v>
      </c>
      <c r="K43" s="8">
        <v>350.3</v>
      </c>
      <c r="L43" s="8"/>
      <c r="M43" s="8"/>
      <c r="N43" s="8">
        <v>10.77</v>
      </c>
      <c r="O43" s="8"/>
      <c r="P43" s="8">
        <v>16911.099999999999</v>
      </c>
      <c r="Q43" s="8">
        <v>120721.60000000001</v>
      </c>
      <c r="R43" s="8">
        <v>0.43986999999999998</v>
      </c>
      <c r="S43" s="8">
        <v>3.6769999999999997E-2</v>
      </c>
      <c r="T43" s="8">
        <v>0.34899000000000002</v>
      </c>
      <c r="U43" s="8">
        <v>0.22885</v>
      </c>
      <c r="V43" s="8">
        <v>337.1</v>
      </c>
      <c r="W43" s="8">
        <v>5492.6</v>
      </c>
      <c r="X43" s="8"/>
      <c r="Y43" s="8"/>
      <c r="Z43" s="8">
        <v>65255.53</v>
      </c>
      <c r="AA43" s="8">
        <v>137632.70000000001</v>
      </c>
      <c r="AB43" s="8">
        <v>958.2</v>
      </c>
      <c r="AC43" s="8">
        <v>3663.82</v>
      </c>
      <c r="AD43" s="8"/>
      <c r="AE43" s="8" t="s">
        <v>46</v>
      </c>
    </row>
    <row r="44" spans="1:31" ht="15.75" customHeight="1" x14ac:dyDescent="0.25">
      <c r="A44" s="7">
        <v>43282</v>
      </c>
      <c r="B44" s="8">
        <v>2018</v>
      </c>
      <c r="C44" s="8">
        <v>7</v>
      </c>
      <c r="D44" s="8">
        <v>33</v>
      </c>
      <c r="E44" s="8">
        <v>6.3E-3</v>
      </c>
      <c r="F44" s="8">
        <v>2.92E-2</v>
      </c>
      <c r="G44" s="8">
        <v>0.18</v>
      </c>
      <c r="H44" s="8">
        <v>500</v>
      </c>
      <c r="I44" s="8">
        <v>500</v>
      </c>
      <c r="J44" s="8">
        <v>304</v>
      </c>
      <c r="K44" s="8">
        <v>372.1</v>
      </c>
      <c r="L44" s="8"/>
      <c r="M44" s="8"/>
      <c r="N44" s="8">
        <v>10.93</v>
      </c>
      <c r="O44" s="8"/>
      <c r="P44" s="8">
        <v>21105.5</v>
      </c>
      <c r="Q44" s="8">
        <v>140514.4</v>
      </c>
      <c r="R44" s="8">
        <v>0.45372000000000001</v>
      </c>
      <c r="S44" s="8">
        <v>4.4850000000000001E-2</v>
      </c>
      <c r="T44" s="8">
        <v>0.34899000000000002</v>
      </c>
      <c r="U44" s="8">
        <v>0.22885</v>
      </c>
      <c r="V44" s="8">
        <v>554.79999999999995</v>
      </c>
      <c r="W44" s="8">
        <v>5388.4</v>
      </c>
      <c r="X44" s="8"/>
      <c r="Y44" s="8"/>
      <c r="Z44" s="8">
        <v>85327.13</v>
      </c>
      <c r="AA44" s="8">
        <v>161619.9</v>
      </c>
      <c r="AB44" s="8"/>
      <c r="AC44" s="8">
        <v>9935.44</v>
      </c>
      <c r="AD44" s="8"/>
      <c r="AE44" s="8" t="s">
        <v>46</v>
      </c>
    </row>
    <row r="45" spans="1:31" ht="15.75" customHeight="1" x14ac:dyDescent="0.25">
      <c r="A45" s="7">
        <v>43313</v>
      </c>
      <c r="B45" s="8">
        <v>2018</v>
      </c>
      <c r="C45" s="8">
        <v>8</v>
      </c>
      <c r="D45" s="8">
        <v>29</v>
      </c>
      <c r="E45" s="8">
        <v>5.8999999999999999E-3</v>
      </c>
      <c r="F45" s="8">
        <v>2.7199999999999998E-2</v>
      </c>
      <c r="G45" s="8">
        <v>0.18</v>
      </c>
      <c r="H45" s="8">
        <v>500</v>
      </c>
      <c r="I45" s="8">
        <v>500</v>
      </c>
      <c r="J45" s="8">
        <v>387.2</v>
      </c>
      <c r="K45" s="8">
        <v>352</v>
      </c>
      <c r="L45" s="8"/>
      <c r="M45" s="8"/>
      <c r="N45" s="8">
        <v>11.17</v>
      </c>
      <c r="O45" s="8"/>
      <c r="P45" s="8">
        <v>19688.8</v>
      </c>
      <c r="Q45" s="8">
        <v>120935.5</v>
      </c>
      <c r="R45" s="8">
        <v>0.47503000000000001</v>
      </c>
      <c r="S45" s="8">
        <v>5.7279999999999998E-2</v>
      </c>
      <c r="T45" s="8">
        <v>0.41154000000000002</v>
      </c>
      <c r="U45" s="8">
        <v>0.25807999999999998</v>
      </c>
      <c r="V45" s="8">
        <v>285</v>
      </c>
      <c r="W45" s="8">
        <v>4451.2</v>
      </c>
      <c r="X45" s="8"/>
      <c r="Y45" s="8"/>
      <c r="Z45" s="8">
        <v>81628.13</v>
      </c>
      <c r="AA45" s="8">
        <v>140624.29999999999</v>
      </c>
      <c r="AB45" s="8"/>
      <c r="AC45" s="8">
        <v>8639.5499999999993</v>
      </c>
      <c r="AD45" s="8"/>
      <c r="AE45" s="8" t="s">
        <v>46</v>
      </c>
    </row>
    <row r="46" spans="1:31" ht="15.75" customHeight="1" x14ac:dyDescent="0.25">
      <c r="A46" s="7">
        <v>43344</v>
      </c>
      <c r="B46" s="8">
        <v>2018</v>
      </c>
      <c r="C46" s="8">
        <v>9</v>
      </c>
      <c r="D46" s="8">
        <v>31</v>
      </c>
      <c r="E46" s="8">
        <v>8.9999999999999993E-3</v>
      </c>
      <c r="F46" s="8">
        <v>4.1399999999999999E-2</v>
      </c>
      <c r="G46" s="8">
        <v>0.18</v>
      </c>
      <c r="H46" s="8">
        <v>500</v>
      </c>
      <c r="I46" s="8">
        <v>500</v>
      </c>
      <c r="J46" s="8">
        <v>357</v>
      </c>
      <c r="K46" s="8">
        <v>350.3</v>
      </c>
      <c r="L46" s="8"/>
      <c r="M46" s="8"/>
      <c r="N46" s="8">
        <v>11.17</v>
      </c>
      <c r="O46" s="8"/>
      <c r="P46" s="8">
        <v>16874.099999999999</v>
      </c>
      <c r="Q46" s="8">
        <v>120235.9</v>
      </c>
      <c r="R46" s="8">
        <v>0.47503000000000001</v>
      </c>
      <c r="S46" s="8">
        <v>5.7279999999999998E-2</v>
      </c>
      <c r="T46" s="8">
        <v>0.41154000000000002</v>
      </c>
      <c r="U46" s="8">
        <v>0.25807999999999998</v>
      </c>
      <c r="V46" s="8">
        <v>312.3</v>
      </c>
      <c r="W46" s="8">
        <v>5014.6000000000004</v>
      </c>
      <c r="X46" s="8"/>
      <c r="Y46" s="8"/>
      <c r="Z46" s="8">
        <v>80022.350000000006</v>
      </c>
      <c r="AA46" s="8">
        <v>137110</v>
      </c>
      <c r="AB46" s="8"/>
      <c r="AC46" s="8">
        <v>8458.7000000000007</v>
      </c>
      <c r="AD46" s="8"/>
      <c r="AE46" s="8" t="s">
        <v>46</v>
      </c>
    </row>
    <row r="47" spans="1:31" ht="15.75" customHeight="1" x14ac:dyDescent="0.25">
      <c r="A47" s="7">
        <v>43374</v>
      </c>
      <c r="B47" s="8">
        <v>2018</v>
      </c>
      <c r="C47" s="8">
        <v>10</v>
      </c>
      <c r="D47" s="8">
        <v>32</v>
      </c>
      <c r="E47" s="8">
        <v>9.2999999999999992E-3</v>
      </c>
      <c r="F47" s="8">
        <v>4.2599999999999999E-2</v>
      </c>
      <c r="G47" s="8">
        <v>0.18</v>
      </c>
      <c r="H47" s="8">
        <v>500</v>
      </c>
      <c r="I47" s="8">
        <v>500</v>
      </c>
      <c r="J47" s="8">
        <v>409.1</v>
      </c>
      <c r="K47" s="8">
        <v>409.1</v>
      </c>
      <c r="L47" s="8"/>
      <c r="M47" s="8"/>
      <c r="N47" s="8">
        <v>11.17</v>
      </c>
      <c r="O47" s="8"/>
      <c r="P47" s="8">
        <v>21337.5</v>
      </c>
      <c r="Q47" s="8">
        <v>150298</v>
      </c>
      <c r="R47" s="8">
        <v>0.47503000000000001</v>
      </c>
      <c r="S47" s="8">
        <v>5.7279999999999998E-2</v>
      </c>
      <c r="T47" s="8">
        <v>0.41154000000000002</v>
      </c>
      <c r="U47" s="8">
        <v>0.25807999999999998</v>
      </c>
      <c r="V47" s="8">
        <v>1418.8</v>
      </c>
      <c r="W47" s="8">
        <v>6595.7</v>
      </c>
      <c r="X47" s="8"/>
      <c r="Y47" s="8"/>
      <c r="Z47" s="8">
        <v>98668.11</v>
      </c>
      <c r="AA47" s="8">
        <v>171635.5</v>
      </c>
      <c r="AB47" s="8"/>
      <c r="AC47" s="8">
        <v>10592.85</v>
      </c>
      <c r="AD47" s="8"/>
      <c r="AE47" s="8" t="s">
        <v>46</v>
      </c>
    </row>
    <row r="48" spans="1:31" ht="15.75" customHeight="1" x14ac:dyDescent="0.25">
      <c r="A48" s="7">
        <v>43405</v>
      </c>
      <c r="B48" s="8">
        <v>2018</v>
      </c>
      <c r="C48" s="8">
        <v>11</v>
      </c>
      <c r="D48" s="8">
        <v>29</v>
      </c>
      <c r="E48" s="8">
        <v>8.5000000000000006E-3</v>
      </c>
      <c r="F48" s="8">
        <v>3.9399999999999998E-2</v>
      </c>
      <c r="G48" s="8">
        <v>0.18</v>
      </c>
      <c r="H48" s="8">
        <v>500</v>
      </c>
      <c r="I48" s="8">
        <v>500</v>
      </c>
      <c r="J48" s="8">
        <v>456.1</v>
      </c>
      <c r="K48" s="8">
        <v>415</v>
      </c>
      <c r="L48" s="8"/>
      <c r="M48" s="8"/>
      <c r="N48" s="8">
        <v>11.17</v>
      </c>
      <c r="O48" s="8"/>
      <c r="P48" s="8">
        <v>20078.099999999999</v>
      </c>
      <c r="Q48" s="8">
        <v>136410.6</v>
      </c>
      <c r="R48" s="8">
        <v>0.47503000000000001</v>
      </c>
      <c r="S48" s="8">
        <v>5.7279999999999998E-2</v>
      </c>
      <c r="T48" s="8">
        <v>0.41154000000000002</v>
      </c>
      <c r="U48" s="8">
        <v>0.25807999999999998</v>
      </c>
      <c r="V48" s="8">
        <v>1466.9</v>
      </c>
      <c r="W48" s="8">
        <v>6342.4</v>
      </c>
      <c r="X48" s="8"/>
      <c r="Y48" s="8"/>
      <c r="Z48" s="8">
        <v>87138.49</v>
      </c>
      <c r="AA48" s="8">
        <v>156488.70000000001</v>
      </c>
      <c r="AB48" s="8">
        <v>857.78</v>
      </c>
      <c r="AC48" s="8">
        <v>5359.51</v>
      </c>
      <c r="AD48" s="8"/>
      <c r="AE48" s="8" t="s">
        <v>46</v>
      </c>
    </row>
    <row r="49" spans="1:31" ht="15.75" customHeight="1" x14ac:dyDescent="0.25">
      <c r="A49" s="7">
        <v>43435</v>
      </c>
      <c r="B49" s="8">
        <v>2018</v>
      </c>
      <c r="C49" s="8">
        <v>12</v>
      </c>
      <c r="D49" s="8">
        <v>29</v>
      </c>
      <c r="E49" s="8">
        <v>1.0800000000000001E-2</v>
      </c>
      <c r="F49" s="8">
        <v>4.9599999999999998E-2</v>
      </c>
      <c r="G49" s="8">
        <v>0.18</v>
      </c>
      <c r="H49" s="8">
        <v>500</v>
      </c>
      <c r="I49" s="8">
        <v>500</v>
      </c>
      <c r="J49" s="8">
        <v>487</v>
      </c>
      <c r="K49" s="8">
        <v>447.7</v>
      </c>
      <c r="L49" s="8"/>
      <c r="M49" s="8"/>
      <c r="N49" s="8">
        <v>11.17</v>
      </c>
      <c r="O49" s="8"/>
      <c r="P49" s="8">
        <v>8301.9</v>
      </c>
      <c r="Q49" s="8">
        <v>149056.5</v>
      </c>
      <c r="R49" s="8">
        <v>0.47503000000000001</v>
      </c>
      <c r="S49" s="8">
        <v>5.7279999999999998E-2</v>
      </c>
      <c r="T49" s="8">
        <v>0.41154000000000002</v>
      </c>
      <c r="U49" s="8">
        <v>0.25807999999999998</v>
      </c>
      <c r="V49" s="8">
        <v>1481.1</v>
      </c>
      <c r="W49" s="8">
        <v>6830.3</v>
      </c>
      <c r="X49" s="8"/>
      <c r="Y49" s="8"/>
      <c r="Z49" s="8">
        <v>87179.91</v>
      </c>
      <c r="AA49" s="8">
        <v>157358.39999999999</v>
      </c>
      <c r="AB49" s="8">
        <v>1163.7</v>
      </c>
      <c r="AC49" s="8"/>
      <c r="AD49" s="8"/>
      <c r="AE49" s="8" t="s">
        <v>46</v>
      </c>
    </row>
    <row r="50" spans="1:31" ht="15.75" customHeight="1" x14ac:dyDescent="0.25">
      <c r="A50" s="7">
        <v>43466</v>
      </c>
      <c r="B50" s="8">
        <v>2019</v>
      </c>
      <c r="C50" s="8">
        <v>1</v>
      </c>
      <c r="D50" s="8">
        <v>32</v>
      </c>
      <c r="E50" s="8">
        <v>9.5999999999999992E-3</v>
      </c>
      <c r="F50" s="8">
        <v>4.3999999999999997E-2</v>
      </c>
      <c r="G50" s="8">
        <v>0.18</v>
      </c>
      <c r="H50" s="8">
        <v>500</v>
      </c>
      <c r="I50" s="8">
        <v>500</v>
      </c>
      <c r="J50" s="8">
        <v>462</v>
      </c>
      <c r="K50" s="8">
        <v>461.2</v>
      </c>
      <c r="L50" s="8"/>
      <c r="M50" s="8"/>
      <c r="N50" s="8">
        <v>11.17</v>
      </c>
      <c r="O50" s="8"/>
      <c r="P50" s="8">
        <v>16075.9</v>
      </c>
      <c r="Q50" s="8">
        <v>165868.9</v>
      </c>
      <c r="R50" s="8">
        <v>0.47503000000000001</v>
      </c>
      <c r="S50" s="8">
        <v>5.7279999999999998E-2</v>
      </c>
      <c r="T50" s="8">
        <v>0.41154000000000002</v>
      </c>
      <c r="U50" s="8">
        <v>0.25807999999999998</v>
      </c>
      <c r="V50" s="8">
        <v>2059.6999999999998</v>
      </c>
      <c r="W50" s="8">
        <f>9596.6+265.7</f>
        <v>9862.3000000000011</v>
      </c>
      <c r="X50" s="8"/>
      <c r="Y50" s="8"/>
      <c r="Z50" s="8">
        <v>88653.99</v>
      </c>
      <c r="AA50" s="8">
        <f t="shared" ref="AA50:AA61" si="1">P50+Q50</f>
        <v>181944.8</v>
      </c>
      <c r="AB50" s="8">
        <v>0</v>
      </c>
      <c r="AC50" s="8">
        <v>0</v>
      </c>
      <c r="AD50" s="8">
        <v>0</v>
      </c>
      <c r="AE50" s="8" t="s">
        <v>46</v>
      </c>
    </row>
    <row r="51" spans="1:31" ht="15.75" customHeight="1" x14ac:dyDescent="0.25">
      <c r="A51" s="7">
        <v>43497</v>
      </c>
      <c r="B51" s="8">
        <v>2019</v>
      </c>
      <c r="C51" s="8">
        <v>2</v>
      </c>
      <c r="D51" s="8">
        <v>30</v>
      </c>
      <c r="E51" s="8">
        <v>1.11E-2</v>
      </c>
      <c r="F51" s="10">
        <v>5.0999999999999997E-2</v>
      </c>
      <c r="G51" s="8">
        <v>0.18</v>
      </c>
      <c r="H51" s="8">
        <v>500</v>
      </c>
      <c r="I51" s="8">
        <v>500</v>
      </c>
      <c r="J51" s="8">
        <v>485.5</v>
      </c>
      <c r="K51" s="8">
        <v>468.7</v>
      </c>
      <c r="L51" s="8"/>
      <c r="M51" s="8"/>
      <c r="N51" s="8">
        <v>11.17</v>
      </c>
      <c r="O51" s="8"/>
      <c r="P51" s="8">
        <v>19174.5</v>
      </c>
      <c r="Q51" s="8">
        <v>173086</v>
      </c>
      <c r="R51" s="8">
        <v>0.47503000000000001</v>
      </c>
      <c r="S51" s="8">
        <v>5.7279999999999998E-2</v>
      </c>
      <c r="T51" s="8">
        <v>0.41154000000000002</v>
      </c>
      <c r="U51" s="8">
        <v>0.25807999999999998</v>
      </c>
      <c r="V51" s="8">
        <v>2365.6999999999998</v>
      </c>
      <c r="W51" s="8">
        <f>9968.5+237.7</f>
        <v>10206.200000000001</v>
      </c>
      <c r="X51" s="8"/>
      <c r="Y51" s="8"/>
      <c r="Z51" s="8">
        <v>96043.78</v>
      </c>
      <c r="AA51" s="8">
        <f t="shared" si="1"/>
        <v>192260.5</v>
      </c>
      <c r="AB51" s="8">
        <v>0</v>
      </c>
      <c r="AC51" s="8">
        <v>0</v>
      </c>
      <c r="AD51" s="8">
        <v>0</v>
      </c>
      <c r="AE51" s="8" t="s">
        <v>46</v>
      </c>
    </row>
    <row r="52" spans="1:31" ht="15.75" customHeight="1" x14ac:dyDescent="0.25">
      <c r="A52" s="7">
        <v>43525</v>
      </c>
      <c r="B52" s="8">
        <v>2019</v>
      </c>
      <c r="C52" s="8">
        <v>3</v>
      </c>
      <c r="D52" s="8">
        <v>30</v>
      </c>
      <c r="E52" s="8">
        <v>1.0200000000000001E-2</v>
      </c>
      <c r="F52" s="10">
        <v>4.7199999999999999E-2</v>
      </c>
      <c r="G52" s="8">
        <v>0.18</v>
      </c>
      <c r="H52" s="8">
        <v>500</v>
      </c>
      <c r="I52" s="8">
        <v>500</v>
      </c>
      <c r="J52" s="8">
        <v>508.2</v>
      </c>
      <c r="K52" s="8">
        <v>526.70000000000005</v>
      </c>
      <c r="L52" s="8"/>
      <c r="M52" s="8"/>
      <c r="N52" s="8">
        <v>11.17</v>
      </c>
      <c r="O52" s="8"/>
      <c r="P52" s="8">
        <v>22883.9</v>
      </c>
      <c r="Q52" s="8">
        <v>173576.5</v>
      </c>
      <c r="R52" s="8">
        <v>0.47503000000000001</v>
      </c>
      <c r="S52" s="8">
        <v>5.7279999999999998E-2</v>
      </c>
      <c r="T52" s="8">
        <v>0.41154000000000002</v>
      </c>
      <c r="U52" s="8">
        <v>0.25807999999999998</v>
      </c>
      <c r="V52" s="8">
        <v>2057</v>
      </c>
      <c r="W52" s="8">
        <f>9460.5+139.9</f>
        <v>9600.4</v>
      </c>
      <c r="X52" s="8"/>
      <c r="Y52" s="8"/>
      <c r="Z52" s="8">
        <v>100846.46</v>
      </c>
      <c r="AA52" s="8">
        <f t="shared" si="1"/>
        <v>196460.4</v>
      </c>
      <c r="AB52" s="8">
        <v>0</v>
      </c>
      <c r="AC52" s="8">
        <v>0</v>
      </c>
      <c r="AD52" s="8">
        <v>0</v>
      </c>
      <c r="AE52" s="8" t="s">
        <v>46</v>
      </c>
    </row>
    <row r="53" spans="1:31" ht="15.75" customHeight="1" x14ac:dyDescent="0.25">
      <c r="A53" s="7">
        <v>43556</v>
      </c>
      <c r="B53" s="8">
        <v>2019</v>
      </c>
      <c r="C53" s="8">
        <v>4</v>
      </c>
      <c r="D53" s="8">
        <v>31</v>
      </c>
      <c r="E53" s="8">
        <v>7.3000000000000001E-3</v>
      </c>
      <c r="F53" s="8">
        <v>3.3399999999999999E-2</v>
      </c>
      <c r="G53" s="8">
        <v>0.18</v>
      </c>
      <c r="H53" s="8">
        <v>500</v>
      </c>
      <c r="I53" s="8">
        <v>500</v>
      </c>
      <c r="J53" s="8">
        <v>513.20000000000005</v>
      </c>
      <c r="K53" s="8">
        <v>514.1</v>
      </c>
      <c r="L53" s="8"/>
      <c r="M53" s="8"/>
      <c r="N53" s="8">
        <v>11.17</v>
      </c>
      <c r="O53" s="8"/>
      <c r="P53" s="8">
        <v>23540.400000000001</v>
      </c>
      <c r="Q53" s="8">
        <v>177302.6</v>
      </c>
      <c r="R53" s="8">
        <v>0.47503000000000001</v>
      </c>
      <c r="S53" s="8">
        <v>5.7279999999999998E-2</v>
      </c>
      <c r="T53" s="8">
        <v>0.41154000000000002</v>
      </c>
      <c r="U53" s="8">
        <v>0.25807999999999998</v>
      </c>
      <c r="V53" s="8">
        <v>1793.8</v>
      </c>
      <c r="W53" s="8">
        <f>7693.4+117.4</f>
        <v>7810.7999999999993</v>
      </c>
      <c r="X53" s="8"/>
      <c r="Y53" s="8"/>
      <c r="Z53" s="8">
        <v>99728.18</v>
      </c>
      <c r="AA53" s="8">
        <f t="shared" si="1"/>
        <v>200843</v>
      </c>
      <c r="AB53" s="8">
        <v>0</v>
      </c>
      <c r="AC53" s="8">
        <v>0</v>
      </c>
      <c r="AD53" s="8">
        <v>0</v>
      </c>
      <c r="AE53" s="8" t="s">
        <v>46</v>
      </c>
    </row>
    <row r="54" spans="1:31" ht="15.75" customHeight="1" x14ac:dyDescent="0.25">
      <c r="A54" s="7">
        <v>43586</v>
      </c>
      <c r="B54" s="8">
        <v>2019</v>
      </c>
      <c r="C54" s="8">
        <v>5</v>
      </c>
      <c r="D54" s="8">
        <v>30</v>
      </c>
      <c r="E54" s="8">
        <v>8.5000000000000006E-3</v>
      </c>
      <c r="F54" s="8">
        <v>3.9100000000000003E-2</v>
      </c>
      <c r="G54" s="8">
        <v>0.18</v>
      </c>
      <c r="H54" s="8">
        <v>500</v>
      </c>
      <c r="I54" s="8">
        <v>500</v>
      </c>
      <c r="J54" s="8">
        <v>462.8</v>
      </c>
      <c r="K54" s="8">
        <v>436</v>
      </c>
      <c r="L54" s="8"/>
      <c r="M54" s="8"/>
      <c r="N54" s="8">
        <v>11.17</v>
      </c>
      <c r="O54" s="8"/>
      <c r="P54" s="8">
        <v>21307</v>
      </c>
      <c r="Q54" s="8">
        <v>164498.70000000001</v>
      </c>
      <c r="R54" s="8">
        <v>0.47503000000000001</v>
      </c>
      <c r="S54" s="8">
        <v>5.7279999999999998E-2</v>
      </c>
      <c r="T54" s="8">
        <v>0.41154000000000002</v>
      </c>
      <c r="U54" s="8">
        <v>0.25807999999999998</v>
      </c>
      <c r="V54" s="8">
        <v>1674.1</v>
      </c>
      <c r="W54" s="8">
        <f>6116.5+129.2</f>
        <v>6245.7</v>
      </c>
      <c r="X54" s="8"/>
      <c r="Y54" s="8"/>
      <c r="Z54" s="8">
        <v>93999.25</v>
      </c>
      <c r="AA54" s="8">
        <f t="shared" si="1"/>
        <v>185805.7</v>
      </c>
      <c r="AB54" s="8">
        <f>907.69+106.97</f>
        <v>1014.6600000000001</v>
      </c>
      <c r="AC54" s="8">
        <v>0</v>
      </c>
      <c r="AD54" s="8">
        <v>0</v>
      </c>
      <c r="AE54" s="8" t="s">
        <v>46</v>
      </c>
    </row>
    <row r="55" spans="1:31" ht="15.75" customHeight="1" x14ac:dyDescent="0.25">
      <c r="A55" s="7">
        <v>43617</v>
      </c>
      <c r="B55" s="8">
        <v>2019</v>
      </c>
      <c r="C55" s="8">
        <v>6</v>
      </c>
      <c r="D55" s="8">
        <v>29</v>
      </c>
      <c r="E55" s="8">
        <v>9.1999999999999998E-3</v>
      </c>
      <c r="F55" s="8">
        <v>4.24E-2</v>
      </c>
      <c r="G55" s="8">
        <v>0.18</v>
      </c>
      <c r="H55" s="8">
        <v>500</v>
      </c>
      <c r="I55" s="8">
        <v>500</v>
      </c>
      <c r="J55" s="8">
        <v>363.7</v>
      </c>
      <c r="K55" s="8">
        <v>318.39999999999998</v>
      </c>
      <c r="L55" s="8"/>
      <c r="M55" s="8"/>
      <c r="N55" s="8">
        <v>11.17</v>
      </c>
      <c r="O55" s="8"/>
      <c r="P55" s="8">
        <v>16746.7</v>
      </c>
      <c r="Q55" s="8">
        <v>123970.1</v>
      </c>
      <c r="R55" s="8">
        <v>0.47503000000000001</v>
      </c>
      <c r="S55" s="8">
        <v>5.7279999999999998E-2</v>
      </c>
      <c r="T55" s="8">
        <v>0.41154000000000002</v>
      </c>
      <c r="U55" s="8">
        <v>0.25807999999999998</v>
      </c>
      <c r="V55" s="8">
        <v>455.3</v>
      </c>
      <c r="W55" s="8">
        <f>1766.3+350.7</f>
        <v>2117</v>
      </c>
      <c r="X55" s="8"/>
      <c r="Y55" s="8"/>
      <c r="Z55" s="8">
        <v>73589.73</v>
      </c>
      <c r="AA55" s="8">
        <f t="shared" si="1"/>
        <v>140716.80000000002</v>
      </c>
      <c r="AB55" s="8">
        <f>875.76+113.07</f>
        <v>988.82999999999993</v>
      </c>
      <c r="AC55" s="8">
        <v>0</v>
      </c>
      <c r="AD55" s="8">
        <v>0</v>
      </c>
      <c r="AE55" s="8" t="s">
        <v>46</v>
      </c>
    </row>
    <row r="56" spans="1:31" ht="15.75" customHeight="1" x14ac:dyDescent="0.25">
      <c r="A56" s="7">
        <v>43647</v>
      </c>
      <c r="B56" s="8">
        <v>2019</v>
      </c>
      <c r="C56" s="8">
        <v>7</v>
      </c>
      <c r="D56" s="8">
        <v>32</v>
      </c>
      <c r="E56" s="8">
        <v>9.9000000000000008E-3</v>
      </c>
      <c r="F56" s="8">
        <v>4.5400000000000003E-2</v>
      </c>
      <c r="G56" s="8">
        <v>0.18</v>
      </c>
      <c r="H56" s="8">
        <v>500</v>
      </c>
      <c r="I56" s="8">
        <v>500</v>
      </c>
      <c r="J56" s="8">
        <v>446.9</v>
      </c>
      <c r="K56" s="8">
        <v>422.5</v>
      </c>
      <c r="L56" s="8"/>
      <c r="M56" s="8"/>
      <c r="N56" s="8">
        <v>11.84125</v>
      </c>
      <c r="O56" s="8"/>
      <c r="P56" s="8">
        <v>19346.5</v>
      </c>
      <c r="Q56" s="8">
        <v>143328.1</v>
      </c>
      <c r="R56" s="8">
        <v>0.50771999999999995</v>
      </c>
      <c r="S56" s="8">
        <v>6.4159999999999995E-2</v>
      </c>
      <c r="T56" s="8">
        <v>0.40905999999999998</v>
      </c>
      <c r="U56" s="8">
        <v>0.25217000000000001</v>
      </c>
      <c r="V56" s="8">
        <v>671.6</v>
      </c>
      <c r="W56" s="8">
        <f>2668.3+446.5</f>
        <v>3114.8</v>
      </c>
      <c r="X56" s="8"/>
      <c r="Y56" s="8"/>
      <c r="Z56" s="8">
        <v>86234.33</v>
      </c>
      <c r="AA56" s="8">
        <f t="shared" si="1"/>
        <v>162674.6</v>
      </c>
      <c r="AB56" s="8">
        <f>1244.98+168.04</f>
        <v>1413.02</v>
      </c>
      <c r="AC56" s="8">
        <v>0</v>
      </c>
      <c r="AD56" s="8">
        <v>0</v>
      </c>
      <c r="AE56" s="8" t="s">
        <v>46</v>
      </c>
    </row>
    <row r="57" spans="1:31" ht="15.75" customHeight="1" x14ac:dyDescent="0.25">
      <c r="A57" s="7">
        <v>43678</v>
      </c>
      <c r="B57" s="8">
        <v>2019</v>
      </c>
      <c r="C57" s="8">
        <v>8</v>
      </c>
      <c r="D57" s="8">
        <v>29</v>
      </c>
      <c r="E57" s="8">
        <v>9.7999999999999997E-3</v>
      </c>
      <c r="F57" s="8">
        <v>4.4999999999999998E-2</v>
      </c>
      <c r="G57" s="8">
        <v>0.18</v>
      </c>
      <c r="H57" s="8">
        <v>500</v>
      </c>
      <c r="I57" s="8">
        <v>500</v>
      </c>
      <c r="J57" s="8">
        <v>395.6</v>
      </c>
      <c r="K57" s="8">
        <v>342.7</v>
      </c>
      <c r="L57" s="8"/>
      <c r="M57" s="8"/>
      <c r="N57" s="8">
        <v>12.96</v>
      </c>
      <c r="O57" s="8"/>
      <c r="P57" s="8">
        <v>20194.2</v>
      </c>
      <c r="Q57" s="8">
        <v>129578.6</v>
      </c>
      <c r="R57" s="8">
        <v>0.56227000000000005</v>
      </c>
      <c r="S57" s="8">
        <v>7.5620000000000007E-2</v>
      </c>
      <c r="T57" s="8">
        <v>0.40493000000000001</v>
      </c>
      <c r="U57" s="8">
        <v>0.24232999999999999</v>
      </c>
      <c r="V57" s="8">
        <v>680.6</v>
      </c>
      <c r="W57" s="8">
        <f>1474.4+469.4</f>
        <v>1943.8000000000002</v>
      </c>
      <c r="X57" s="8"/>
      <c r="Y57" s="8"/>
      <c r="Z57" s="8">
        <v>87094.94</v>
      </c>
      <c r="AA57" s="8">
        <f t="shared" si="1"/>
        <v>149772.80000000002</v>
      </c>
      <c r="AB57" s="8">
        <f>1387.73+227.08</f>
        <v>1614.81</v>
      </c>
      <c r="AC57" s="8">
        <f>2701.7+392.22</f>
        <v>3093.92</v>
      </c>
      <c r="AD57" s="8">
        <v>0</v>
      </c>
      <c r="AE57" s="8" t="s">
        <v>46</v>
      </c>
    </row>
    <row r="58" spans="1:31" ht="15.75" customHeight="1" x14ac:dyDescent="0.25">
      <c r="A58" s="7">
        <v>43709</v>
      </c>
      <c r="B58" s="8">
        <v>2019</v>
      </c>
      <c r="C58" s="8">
        <v>9</v>
      </c>
      <c r="D58" s="8">
        <v>30</v>
      </c>
      <c r="E58" s="8">
        <v>9.7000000000000003E-3</v>
      </c>
      <c r="F58" s="8">
        <v>4.4699999999999997E-2</v>
      </c>
      <c r="G58" s="8">
        <v>0.18</v>
      </c>
      <c r="H58" s="8">
        <v>500</v>
      </c>
      <c r="I58" s="8">
        <v>500</v>
      </c>
      <c r="J58" s="8">
        <v>362</v>
      </c>
      <c r="K58" s="8">
        <v>359.5</v>
      </c>
      <c r="L58" s="8"/>
      <c r="M58" s="8"/>
      <c r="N58" s="8">
        <v>12.96</v>
      </c>
      <c r="O58" s="8"/>
      <c r="P58" s="8">
        <v>17633.5</v>
      </c>
      <c r="Q58" s="8">
        <v>126955.1</v>
      </c>
      <c r="R58" s="8">
        <v>0.56227000000000005</v>
      </c>
      <c r="S58" s="8">
        <v>7.5620000000000007E-2</v>
      </c>
      <c r="T58" s="8">
        <v>0.40493000000000001</v>
      </c>
      <c r="U58" s="8">
        <v>0.24232999999999999</v>
      </c>
      <c r="V58" s="8">
        <v>677.5</v>
      </c>
      <c r="W58" s="8">
        <f>2394.4+365</f>
        <v>2759.4</v>
      </c>
      <c r="X58" s="8"/>
      <c r="Y58" s="8"/>
      <c r="Z58" s="8">
        <v>85300.57</v>
      </c>
      <c r="AA58" s="8">
        <f t="shared" si="1"/>
        <v>144588.6</v>
      </c>
      <c r="AB58" s="8">
        <v>0</v>
      </c>
      <c r="AC58" s="8">
        <f>6272.13+871.19</f>
        <v>7143.32</v>
      </c>
      <c r="AD58" s="8">
        <v>0</v>
      </c>
      <c r="AE58" s="8" t="s">
        <v>46</v>
      </c>
    </row>
    <row r="59" spans="1:31" ht="15.75" customHeight="1" x14ac:dyDescent="0.25">
      <c r="A59" s="7">
        <v>43739</v>
      </c>
      <c r="B59" s="8">
        <v>2019</v>
      </c>
      <c r="C59" s="8">
        <v>10</v>
      </c>
      <c r="D59" s="8">
        <v>29</v>
      </c>
      <c r="E59" s="8">
        <v>8.6E-3</v>
      </c>
      <c r="F59" s="8">
        <v>3.9699999999999999E-2</v>
      </c>
      <c r="G59" s="8">
        <v>0.18</v>
      </c>
      <c r="H59" s="8">
        <v>500</v>
      </c>
      <c r="I59" s="8">
        <v>500</v>
      </c>
      <c r="J59" s="8">
        <v>403.2</v>
      </c>
      <c r="K59" s="8">
        <v>365.4</v>
      </c>
      <c r="L59" s="8"/>
      <c r="M59" s="8"/>
      <c r="N59" s="8">
        <v>12.96</v>
      </c>
      <c r="O59" s="8"/>
      <c r="P59" s="8">
        <v>19237.900000000001</v>
      </c>
      <c r="Q59" s="8">
        <v>140004.9</v>
      </c>
      <c r="R59" s="8">
        <v>0.56227000000000005</v>
      </c>
      <c r="S59" s="8">
        <v>7.5620000000000007E-2</v>
      </c>
      <c r="T59" s="8">
        <v>0.40493000000000001</v>
      </c>
      <c r="U59" s="8">
        <v>0.24232999999999999</v>
      </c>
      <c r="V59" s="8">
        <v>802.2</v>
      </c>
      <c r="W59" s="8">
        <f>2445.2+353.9</f>
        <v>2799.1</v>
      </c>
      <c r="X59" s="8"/>
      <c r="Y59" s="8"/>
      <c r="Z59" s="8">
        <v>90562.1</v>
      </c>
      <c r="AA59" s="8">
        <f t="shared" si="1"/>
        <v>159242.79999999999</v>
      </c>
      <c r="AB59" s="8">
        <f>980.9+147.54</f>
        <v>1128.44</v>
      </c>
      <c r="AC59" s="8">
        <f>4290.67+555.52</f>
        <v>4846.1900000000005</v>
      </c>
      <c r="AD59" s="8">
        <v>0</v>
      </c>
      <c r="AE59" s="8" t="s">
        <v>46</v>
      </c>
    </row>
    <row r="60" spans="1:31" ht="15.75" customHeight="1" x14ac:dyDescent="0.25">
      <c r="A60" s="7">
        <v>43770</v>
      </c>
      <c r="B60" s="8">
        <v>2019</v>
      </c>
      <c r="C60" s="8">
        <v>11</v>
      </c>
      <c r="D60" s="8">
        <v>33</v>
      </c>
      <c r="E60" s="8">
        <v>8.8999999999999999E-3</v>
      </c>
      <c r="F60" s="8">
        <v>4.0899999999999999E-2</v>
      </c>
      <c r="G60" s="8">
        <v>0.18</v>
      </c>
      <c r="H60" s="8">
        <v>500</v>
      </c>
      <c r="I60" s="8">
        <v>500</v>
      </c>
      <c r="J60" s="8">
        <v>517.4</v>
      </c>
      <c r="K60" s="8">
        <v>521.6</v>
      </c>
      <c r="L60" s="8"/>
      <c r="M60" s="8"/>
      <c r="N60" s="8">
        <v>12.96</v>
      </c>
      <c r="O60" s="8"/>
      <c r="P60" s="8">
        <v>25125.5</v>
      </c>
      <c r="Q60" s="8">
        <v>188592</v>
      </c>
      <c r="R60" s="8">
        <v>0.56227000000000005</v>
      </c>
      <c r="S60" s="8">
        <v>7.5620000000000007E-2</v>
      </c>
      <c r="T60" s="8">
        <v>0.40493000000000001</v>
      </c>
      <c r="U60" s="8">
        <v>0.24232999999999999</v>
      </c>
      <c r="V60" s="8">
        <v>1266.7</v>
      </c>
      <c r="W60" s="8">
        <f>4196.4+456.3</f>
        <v>4652.7</v>
      </c>
      <c r="X60" s="8"/>
      <c r="Y60" s="8"/>
      <c r="Z60" s="8">
        <v>117959.76</v>
      </c>
      <c r="AA60" s="8">
        <f t="shared" si="1"/>
        <v>213717.5</v>
      </c>
      <c r="AB60" s="8">
        <f>2115.13+281.79</f>
        <v>2396.92</v>
      </c>
      <c r="AC60" s="8">
        <f>3821.16+509.08</f>
        <v>4330.24</v>
      </c>
      <c r="AD60" s="8">
        <v>0</v>
      </c>
      <c r="AE60" s="8" t="s">
        <v>46</v>
      </c>
    </row>
    <row r="61" spans="1:31" ht="15.75" customHeight="1" x14ac:dyDescent="0.25">
      <c r="A61" s="7">
        <v>43800</v>
      </c>
      <c r="B61" s="8">
        <v>2019</v>
      </c>
      <c r="C61" s="8">
        <v>12</v>
      </c>
      <c r="D61" s="8">
        <v>33</v>
      </c>
      <c r="E61" s="8">
        <v>9.4000000000000004E-3</v>
      </c>
      <c r="F61" s="8">
        <v>4.3299999999999998E-2</v>
      </c>
      <c r="G61" s="8">
        <v>0.18</v>
      </c>
      <c r="H61" s="8">
        <v>500</v>
      </c>
      <c r="I61" s="8">
        <v>500</v>
      </c>
      <c r="J61" s="8">
        <v>402.4</v>
      </c>
      <c r="K61" s="8">
        <v>392.3</v>
      </c>
      <c r="L61" s="8"/>
      <c r="M61" s="8"/>
      <c r="N61" s="8">
        <v>12.96</v>
      </c>
      <c r="O61" s="8"/>
      <c r="P61" s="8">
        <v>20911.2</v>
      </c>
      <c r="Q61" s="8">
        <v>159482</v>
      </c>
      <c r="R61" s="8">
        <v>0.56227000000000005</v>
      </c>
      <c r="S61" s="8">
        <v>7.5620000000000007E-2</v>
      </c>
      <c r="T61" s="8">
        <v>0.40493000000000001</v>
      </c>
      <c r="U61" s="8">
        <v>0.24232999999999999</v>
      </c>
      <c r="V61" s="8">
        <v>1398.4</v>
      </c>
      <c r="W61" s="8">
        <f>4766.8+265.4</f>
        <v>5032.2</v>
      </c>
      <c r="X61" s="8"/>
      <c r="Y61" s="8"/>
      <c r="Z61" s="8">
        <v>100912.46</v>
      </c>
      <c r="AA61" s="8">
        <f t="shared" si="1"/>
        <v>180393.2</v>
      </c>
      <c r="AB61" s="8">
        <f>1282.08+168.1</f>
        <v>1450.1799999999998</v>
      </c>
      <c r="AC61" s="8">
        <f>4228.63+554.45</f>
        <v>4783.08</v>
      </c>
      <c r="AD61" s="8">
        <v>0</v>
      </c>
      <c r="AE61" s="8" t="s">
        <v>46</v>
      </c>
    </row>
    <row r="62" spans="1:31" ht="15.75" customHeight="1" x14ac:dyDescent="0.25">
      <c r="A62" s="7">
        <v>43831</v>
      </c>
      <c r="B62" s="8">
        <v>2020</v>
      </c>
      <c r="C62" s="8">
        <v>1</v>
      </c>
      <c r="D62" s="8">
        <v>29</v>
      </c>
      <c r="E62" s="8">
        <v>8.6E-3</v>
      </c>
      <c r="F62" s="8">
        <v>3.9699999999999999E-2</v>
      </c>
      <c r="G62" s="8">
        <v>0.18</v>
      </c>
      <c r="H62" s="8">
        <v>500</v>
      </c>
      <c r="I62" s="8">
        <v>500</v>
      </c>
      <c r="J62" s="8">
        <v>406.6</v>
      </c>
      <c r="K62" s="8">
        <v>410.8</v>
      </c>
      <c r="L62" s="8"/>
      <c r="M62" s="8"/>
      <c r="N62" s="8">
        <v>12.96</v>
      </c>
      <c r="O62" s="8"/>
      <c r="P62" s="8">
        <v>14449.3</v>
      </c>
      <c r="Q62" s="8">
        <v>132347.70000000001</v>
      </c>
      <c r="R62" s="8">
        <v>0.56227000000000005</v>
      </c>
      <c r="S62" s="8">
        <v>7.5620000000000007E-2</v>
      </c>
      <c r="T62" s="8">
        <v>0.40493000000000001</v>
      </c>
      <c r="U62" s="8">
        <v>0.24232999999999999</v>
      </c>
      <c r="V62" s="8">
        <v>1700.6</v>
      </c>
      <c r="W62" s="8">
        <v>5552.4</v>
      </c>
      <c r="X62" s="8"/>
      <c r="Y62" s="8"/>
      <c r="Z62" s="8">
        <v>78458.39</v>
      </c>
      <c r="AA62" s="8">
        <v>146796.9</v>
      </c>
      <c r="AB62" s="8">
        <v>2192.31</v>
      </c>
      <c r="AC62" s="8">
        <v>239.31</v>
      </c>
      <c r="AD62" s="8">
        <v>0</v>
      </c>
      <c r="AE62" s="8" t="s">
        <v>46</v>
      </c>
    </row>
    <row r="63" spans="1:31" ht="15.75" customHeight="1" x14ac:dyDescent="0.25">
      <c r="A63" s="7">
        <v>43862</v>
      </c>
      <c r="B63" s="8">
        <v>2020</v>
      </c>
      <c r="C63" s="8">
        <v>2</v>
      </c>
      <c r="D63" s="8">
        <v>30</v>
      </c>
      <c r="E63" s="8">
        <v>9.5999999999999992E-3</v>
      </c>
      <c r="F63" s="8">
        <v>4.41E-2</v>
      </c>
      <c r="G63" s="8">
        <v>0.18</v>
      </c>
      <c r="H63" s="8">
        <v>500</v>
      </c>
      <c r="I63" s="8">
        <v>500</v>
      </c>
      <c r="J63" s="8">
        <v>357.8</v>
      </c>
      <c r="K63" s="8">
        <v>402.4</v>
      </c>
      <c r="L63" s="8"/>
      <c r="M63" s="8"/>
      <c r="N63" s="8">
        <v>12.96</v>
      </c>
      <c r="O63" s="8"/>
      <c r="P63" s="8">
        <v>17830.900000000001</v>
      </c>
      <c r="Q63" s="8">
        <v>151330.6</v>
      </c>
      <c r="R63" s="8">
        <v>0.56227000000000005</v>
      </c>
      <c r="S63" s="8">
        <v>7.5620000000000007E-2</v>
      </c>
      <c r="T63" s="8">
        <v>0.40493000000000001</v>
      </c>
      <c r="U63" s="8">
        <v>0.24232999999999999</v>
      </c>
      <c r="V63" s="8">
        <v>918.1</v>
      </c>
      <c r="W63" s="8">
        <v>4652.6000000000004</v>
      </c>
      <c r="X63" s="8"/>
      <c r="Y63" s="8"/>
      <c r="Z63" s="8">
        <v>89982.48</v>
      </c>
      <c r="AA63" s="8">
        <v>169161.5</v>
      </c>
      <c r="AB63" s="8">
        <v>1422.19</v>
      </c>
      <c r="AC63" s="8">
        <v>167.56</v>
      </c>
      <c r="AD63" s="8">
        <v>0</v>
      </c>
      <c r="AE63" s="8" t="s">
        <v>46</v>
      </c>
    </row>
    <row r="64" spans="1:31" ht="15.75" customHeight="1" x14ac:dyDescent="0.25">
      <c r="A64" s="7">
        <v>43891</v>
      </c>
      <c r="B64" s="8">
        <v>2020</v>
      </c>
      <c r="C64" s="8">
        <v>3</v>
      </c>
      <c r="D64" s="8">
        <v>32</v>
      </c>
      <c r="E64" s="8">
        <v>9.4999999999999998E-3</v>
      </c>
      <c r="F64" s="8">
        <v>4.3900000000000002E-2</v>
      </c>
      <c r="G64" s="8">
        <v>0.18</v>
      </c>
      <c r="H64" s="8">
        <v>500</v>
      </c>
      <c r="I64" s="8">
        <v>500</v>
      </c>
      <c r="J64" s="8">
        <v>492.2</v>
      </c>
      <c r="K64" s="8">
        <v>483.8</v>
      </c>
      <c r="L64" s="8"/>
      <c r="M64" s="8"/>
      <c r="N64" s="8">
        <v>12.96</v>
      </c>
      <c r="O64" s="8"/>
      <c r="P64" s="8">
        <v>20282.8</v>
      </c>
      <c r="Q64" s="8">
        <v>165251.9</v>
      </c>
      <c r="R64" s="8">
        <v>0.56227000000000005</v>
      </c>
      <c r="S64" s="8">
        <v>7.5620000000000007E-2</v>
      </c>
      <c r="T64" s="8">
        <v>0.40493000000000001</v>
      </c>
      <c r="U64" s="8">
        <v>0.24232999999999999</v>
      </c>
      <c r="V64" s="8">
        <v>1004.6</v>
      </c>
      <c r="W64" s="8">
        <v>5201.1000000000004</v>
      </c>
      <c r="X64" s="8"/>
      <c r="Y64" s="8"/>
      <c r="Z64" s="8">
        <v>96582.44</v>
      </c>
      <c r="AA64" s="8">
        <v>185534.8</v>
      </c>
      <c r="AB64" s="22">
        <v>0</v>
      </c>
      <c r="AC64" s="22">
        <v>0</v>
      </c>
      <c r="AD64" s="8">
        <v>0</v>
      </c>
      <c r="AE64" s="8" t="s">
        <v>46</v>
      </c>
    </row>
    <row r="65" spans="1:31" ht="15.75" customHeight="1" x14ac:dyDescent="0.25">
      <c r="A65" s="7">
        <v>43922</v>
      </c>
      <c r="B65" s="8">
        <v>2020</v>
      </c>
      <c r="C65" s="8">
        <v>4</v>
      </c>
      <c r="D65" s="8">
        <v>29</v>
      </c>
      <c r="E65" s="8">
        <v>2.3E-3</v>
      </c>
      <c r="F65" s="8">
        <v>1.06E-2</v>
      </c>
      <c r="G65" s="8">
        <v>0.18</v>
      </c>
      <c r="H65" s="8">
        <v>500</v>
      </c>
      <c r="I65" s="8">
        <v>500</v>
      </c>
      <c r="J65" s="8">
        <v>291.5</v>
      </c>
      <c r="K65" s="8">
        <v>304.10000000000002</v>
      </c>
      <c r="L65" s="8"/>
      <c r="M65" s="8"/>
      <c r="N65" s="8">
        <v>12.96</v>
      </c>
      <c r="O65" s="8"/>
      <c r="P65" s="8">
        <v>11591</v>
      </c>
      <c r="Q65" s="8">
        <v>113500.8</v>
      </c>
      <c r="R65" s="8">
        <v>0.56227000000000005</v>
      </c>
      <c r="S65" s="8">
        <v>7.5620000000000007E-2</v>
      </c>
      <c r="T65" s="8">
        <v>0.40493000000000001</v>
      </c>
      <c r="U65" s="8">
        <v>0.24232999999999999</v>
      </c>
      <c r="V65" s="8">
        <v>1002.8</v>
      </c>
      <c r="W65" s="8">
        <v>3206.7</v>
      </c>
      <c r="X65" s="8"/>
      <c r="Y65" s="8"/>
      <c r="Z65" s="8">
        <v>62218.45</v>
      </c>
      <c r="AA65" s="8">
        <v>125091.8</v>
      </c>
      <c r="AB65" s="22">
        <v>0</v>
      </c>
      <c r="AC65" s="22">
        <v>0</v>
      </c>
      <c r="AD65" s="8">
        <v>0</v>
      </c>
      <c r="AE65" s="8" t="s">
        <v>46</v>
      </c>
    </row>
    <row r="66" spans="1:31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5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5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5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5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5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5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5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5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5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5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5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5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5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5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5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5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5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5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5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5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5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5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5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5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5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5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5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5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5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5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5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5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5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5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5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5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5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5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5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5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5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5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5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5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5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5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5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5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5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5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5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5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5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5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5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5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5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5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5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5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5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5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5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5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5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5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5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5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5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5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5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5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5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5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5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5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5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5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5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5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5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5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5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5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5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5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5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5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5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5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5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5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5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5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5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5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5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5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5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5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5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5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5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5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5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5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5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5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5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5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5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5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5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5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5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5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5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5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5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5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5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5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5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5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5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5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5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5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5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5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5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5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5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5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5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5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5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5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5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5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5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5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5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5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5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5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5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5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5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5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5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5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5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5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5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5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5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5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5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5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5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5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5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5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5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5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5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5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5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5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5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5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5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5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5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5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5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5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5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5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5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5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5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5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5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5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5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5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5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5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5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5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5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5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5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5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5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5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5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5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5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5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5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5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5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5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5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5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5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5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5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5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5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5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5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5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5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5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5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5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5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5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5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5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5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5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5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5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5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5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5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5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5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5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5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5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5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5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5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5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5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5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5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5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5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5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5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5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5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5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5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5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5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5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5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5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5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5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5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5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5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5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5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5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5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5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5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5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5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5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5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5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5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5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5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5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5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5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5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5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5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5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5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5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5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5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5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5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5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5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5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5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5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5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5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5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5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5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5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5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5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5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5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5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5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5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5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5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5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5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5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5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5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5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5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5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5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5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5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5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5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5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5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5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5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5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5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5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5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5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5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5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5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5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5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5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5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5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5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5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5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5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5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5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5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5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5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5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5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5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5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5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5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5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5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5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5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5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5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5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5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5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5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5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5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5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5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5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5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5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5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5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5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5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5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5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5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5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5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5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5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5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5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5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5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5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5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5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5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5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5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5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5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5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5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5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5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5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5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5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5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5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5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5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5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5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5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5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5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5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5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5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5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5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5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5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5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5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5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5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5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5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5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5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5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5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5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5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5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5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5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5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5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5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5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5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5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5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5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5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5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5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5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5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5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5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5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5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5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5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5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5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5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5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5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5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5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5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5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5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5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5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5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5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5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5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5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5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5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5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5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5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5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5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5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5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5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5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5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5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5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5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5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5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5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5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5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5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5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5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5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5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5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5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5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5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5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5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5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5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5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5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5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5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5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5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5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5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5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5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5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5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5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5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5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5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5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5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5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5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5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5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5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5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5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5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5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5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5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5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5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5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5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5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5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5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5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5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5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5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5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5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5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5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5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5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5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5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5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5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5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5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5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5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5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5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5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5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5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5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5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5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5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5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5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5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5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5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5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5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5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5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5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5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5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5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5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5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5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5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5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5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5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5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5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5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5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5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5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5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5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5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5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5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5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5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5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5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5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5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5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5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5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5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5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5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5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5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5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5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5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5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5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5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5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5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5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5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5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5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5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5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5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5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5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5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5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5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5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5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5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5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5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5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5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5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5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5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5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5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5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5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5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5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5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5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5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5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5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5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5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5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5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5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5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5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5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5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5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5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5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5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5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5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5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5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5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5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5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t="15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ht="15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t="15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t="15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t="15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t="15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t="15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t="15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ht="15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t="15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t="15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ht="15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t="15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ht="15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t="15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ht="15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t="15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t="15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t="15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ht="15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ht="15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t="15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ht="15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ht="15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ht="15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t="15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t="15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t="15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ht="15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t="15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t="15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t="15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t="15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ht="15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t="15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t="15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ht="15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t="15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ht="15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t="15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t="15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ht="15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t="15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t="15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t="15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t="15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t="15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ht="15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t="15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t="15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ht="15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ht="15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ht="15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t="15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t="15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ht="15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ht="15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ht="15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t="15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t="15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ht="15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ht="15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ht="15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t="15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t="15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ht="15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ht="15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ht="15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t="15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t="15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ht="15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ht="15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ht="15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t="15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t="15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ht="15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ht="15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ht="15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t="15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t="15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 spans="1:31" ht="15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 spans="1:31" ht="15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ht="15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t="15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t="15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 spans="1:31" ht="15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 spans="1:31" ht="15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ht="15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t="15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t="15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 spans="1:31" ht="15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 spans="1:31" ht="15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ht="15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t="15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t="15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 spans="1:31" ht="15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ht="15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ht="15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 spans="1:3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 spans="1:3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 spans="1:3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 spans="1:3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 spans="1:3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 spans="1:3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 spans="1:3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 spans="1:3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 spans="1:3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 spans="1:3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 spans="1:3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18C6-C3A2-4D21-A1DD-A261341EF7BE}">
  <dimension ref="A1:A80"/>
  <sheetViews>
    <sheetView zoomScale="70" zoomScaleNormal="70" workbookViewId="0">
      <selection activeCell="W48" sqref="W48"/>
    </sheetView>
  </sheetViews>
  <sheetFormatPr defaultRowHeight="14.25" x14ac:dyDescent="0.2"/>
  <sheetData>
    <row r="1" spans="1:1" x14ac:dyDescent="0.2">
      <c r="A1" t="s">
        <v>48</v>
      </c>
    </row>
    <row r="40" spans="1:1" x14ac:dyDescent="0.2">
      <c r="A40" t="s">
        <v>50</v>
      </c>
    </row>
    <row r="80" spans="1:1" x14ac:dyDescent="0.2">
      <c r="A80" t="s">
        <v>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Apresentação</vt:lpstr>
      <vt:lpstr>UC1</vt:lpstr>
      <vt:lpstr>GRÁFICOSUC1</vt:lpstr>
      <vt:lpstr>UC2</vt:lpstr>
      <vt:lpstr>GRÁFICOSUC2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Rafael Kotchetkoff Carneiro</cp:lastModifiedBy>
  <dcterms:created xsi:type="dcterms:W3CDTF">2020-11-02T21:38:50Z</dcterms:created>
  <dcterms:modified xsi:type="dcterms:W3CDTF">2020-12-17T01:58:19Z</dcterms:modified>
</cp:coreProperties>
</file>