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d9689\Documents\NatParks\"/>
    </mc:Choice>
  </mc:AlternateContent>
  <xr:revisionPtr revIDLastSave="0" documentId="13_ncr:1_{FA44019E-54F2-4AB5-BBF1-30BE218D922B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A - BayWald" sheetId="5" r:id="rId1"/>
    <sheet name="C - Hainich" sheetId="3" r:id="rId2"/>
    <sheet name="E - SächsSchweiz" sheetId="6" r:id="rId3"/>
    <sheet name="F - VorpommBoddenlandschaft" sheetId="11" r:id="rId4"/>
    <sheet name="G - Jasmund" sheetId="10" r:id="rId5"/>
    <sheet name="H - Harz" sheetId="9" r:id="rId6"/>
    <sheet name="Z - Eiffel" sheetId="7" r:id="rId7"/>
    <sheet name="Stoffübersicht" sheetId="12" r:id="rId8"/>
    <sheet name="Sheet1" sheetId="1" state="hidden" r:id="rId9"/>
    <sheet name="Sheet1 (2)" sheetId="2" state="hidden" r:id="rId10"/>
  </sheets>
  <definedNames>
    <definedName name="ExterneDaten_1" localSheetId="0" hidden="1">'A - BayWald'!$K$1:$AH$14</definedName>
    <definedName name="ExterneDaten_1" localSheetId="1" hidden="1">'C - Hainich'!$K$1:$AP$57</definedName>
    <definedName name="ExterneDaten_1" localSheetId="2" hidden="1">'E - SächsSchweiz'!$L$1:$AH$12</definedName>
    <definedName name="ExterneDaten_1" localSheetId="3" hidden="1">'F - VorpommBoddenlandschaft'!$M$1:$AJ$53</definedName>
    <definedName name="ExterneDaten_1" localSheetId="4" hidden="1">'G - Jasmund'!$L$1:$AP$51</definedName>
    <definedName name="ExterneDaten_1" localSheetId="5" hidden="1">'H - Harz'!$L$1:$AI$6</definedName>
    <definedName name="ExterneDaten_1" localSheetId="6" hidden="1">'Z - Eiffel'!$K$1:$AK$51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3" i="10" l="1"/>
  <c r="AI5" i="11" l="1"/>
  <c r="AG49" i="11"/>
  <c r="AG46" i="11"/>
  <c r="AG32" i="11"/>
  <c r="AG28" i="11"/>
  <c r="AG24" i="11"/>
  <c r="AG17" i="11"/>
  <c r="AG14" i="11"/>
  <c r="AA49" i="11"/>
  <c r="AA35" i="11"/>
  <c r="AA15" i="11"/>
  <c r="Z29" i="11"/>
  <c r="X43" i="11"/>
  <c r="X35" i="11"/>
  <c r="X8" i="11"/>
  <c r="W52" i="11"/>
  <c r="W49" i="11"/>
  <c r="W40" i="11"/>
  <c r="W36" i="11"/>
  <c r="W15" i="11"/>
  <c r="W12" i="11"/>
  <c r="W10" i="11"/>
  <c r="V53" i="11"/>
  <c r="V43" i="11"/>
  <c r="V40" i="11"/>
  <c r="V34" i="11"/>
  <c r="V33" i="11"/>
  <c r="V32" i="11"/>
  <c r="V31" i="11"/>
  <c r="V17" i="11"/>
  <c r="V10" i="11"/>
  <c r="V9" i="11"/>
  <c r="V2" i="11"/>
  <c r="U52" i="11"/>
  <c r="U51" i="11"/>
  <c r="U49" i="11"/>
  <c r="U48" i="11"/>
  <c r="U47" i="11"/>
  <c r="U46" i="11"/>
  <c r="U44" i="11"/>
  <c r="U42" i="11"/>
  <c r="U39" i="11"/>
  <c r="U38" i="11"/>
  <c r="U35" i="11"/>
  <c r="U34" i="11"/>
  <c r="U33" i="11"/>
  <c r="U32" i="11"/>
  <c r="U31" i="11"/>
  <c r="U29" i="11"/>
  <c r="U28" i="11"/>
  <c r="U27" i="11"/>
  <c r="U26" i="11"/>
  <c r="U25" i="11"/>
  <c r="U17" i="11"/>
  <c r="U15" i="11"/>
  <c r="U14" i="11"/>
  <c r="U13" i="11"/>
  <c r="U11" i="11"/>
  <c r="U9" i="11"/>
  <c r="U7" i="11"/>
  <c r="U6" i="11"/>
  <c r="U5" i="11"/>
  <c r="U4" i="11"/>
  <c r="U3" i="11"/>
  <c r="U2" i="11"/>
  <c r="T34" i="11"/>
  <c r="S51" i="11"/>
  <c r="S40" i="11"/>
  <c r="S35" i="11"/>
  <c r="N53" i="11"/>
  <c r="N46" i="11"/>
  <c r="N17" i="11"/>
  <c r="L2" i="11"/>
  <c r="AM44" i="10"/>
  <c r="AM34" i="10"/>
  <c r="AM8" i="10"/>
  <c r="AH41" i="10"/>
  <c r="AH9" i="10"/>
  <c r="AE28" i="10"/>
  <c r="AE13" i="10"/>
  <c r="AC33" i="10"/>
  <c r="AC44" i="10"/>
  <c r="AB25" i="10"/>
  <c r="AB13" i="10"/>
  <c r="Z44" i="10" l="1"/>
  <c r="Z33" i="10"/>
  <c r="Z26" i="10"/>
  <c r="Z5" i="10"/>
  <c r="Z4" i="10"/>
  <c r="Y9" i="10"/>
  <c r="X44" i="10"/>
  <c r="X10" i="10"/>
  <c r="X2" i="10"/>
  <c r="W51" i="10"/>
  <c r="W50" i="10"/>
  <c r="W49" i="10"/>
  <c r="W48" i="10"/>
  <c r="W46" i="10"/>
  <c r="W44" i="10"/>
  <c r="W43" i="10"/>
  <c r="W42" i="10"/>
  <c r="W40" i="10"/>
  <c r="W39" i="10"/>
  <c r="W38" i="10"/>
  <c r="W37" i="10"/>
  <c r="W36" i="10"/>
  <c r="W35" i="10"/>
  <c r="W32" i="10"/>
  <c r="W30" i="10"/>
  <c r="W29" i="10"/>
  <c r="W28" i="10"/>
  <c r="W26" i="10"/>
  <c r="W25" i="10"/>
  <c r="W24" i="10"/>
  <c r="W23" i="10"/>
  <c r="W20" i="10"/>
  <c r="W17" i="10"/>
  <c r="W16" i="10"/>
  <c r="W13" i="10"/>
  <c r="W12" i="10"/>
  <c r="W8" i="10"/>
  <c r="W7" i="10"/>
  <c r="W5" i="10"/>
  <c r="W4" i="10"/>
  <c r="W3" i="10"/>
  <c r="W2" i="10"/>
  <c r="T6" i="10"/>
  <c r="T5" i="10"/>
  <c r="O2" i="10"/>
  <c r="M47" i="10"/>
  <c r="M33" i="10"/>
  <c r="M2" i="10"/>
  <c r="L30" i="10"/>
  <c r="L29" i="10"/>
  <c r="L28" i="10"/>
  <c r="L27" i="10"/>
  <c r="L26" i="10"/>
  <c r="L24" i="10"/>
  <c r="L13" i="10"/>
  <c r="L10" i="10"/>
  <c r="L6" i="10"/>
  <c r="L3" i="10"/>
  <c r="AF6" i="6" l="1"/>
  <c r="AF3" i="6"/>
  <c r="AE4" i="9"/>
  <c r="X4" i="9"/>
  <c r="V6" i="9"/>
  <c r="V5" i="9"/>
  <c r="V3" i="9"/>
  <c r="S4" i="9"/>
  <c r="S3" i="9"/>
  <c r="S2" i="9"/>
  <c r="R2" i="9"/>
  <c r="Q6" i="9"/>
  <c r="Q4" i="9"/>
  <c r="N6" i="9"/>
  <c r="M6" i="9"/>
  <c r="M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A70A79-3725-426C-B181-B1E1707CC3DC}" keepAlive="1" name="Abfrage - Tabelle1" description="Verbindung mit der Abfrage 'Tabelle1' in der Arbeitsmappe." type="5" refreshedVersion="8" background="1" saveData="1">
    <dbPr connection="Provider=Microsoft.Mashup.OleDb.1;Data Source=$Workbook$;Location=Tabelle1;Extended Properties=&quot;&quot;" command="SELECT * FROM [Tabelle1]"/>
  </connection>
  <connection id="2" xr16:uid="{119BFFD3-6C55-4D66-839D-50CBB3AF5D84}" keepAlive="1" name="Abfrage - Tabelle1 (2)" description="Verbindung mit der Abfrage 'Tabelle1 (2)' in der Arbeitsmappe." type="5" refreshedVersion="8" background="1" saveData="1">
    <dbPr connection="Provider=Microsoft.Mashup.OleDb.1;Data Source=$Workbook$;Location=&quot;Tabelle1 (2)&quot;;Extended Properties=&quot;&quot;" command="SELECT * FROM [Tabelle1 (2)]"/>
  </connection>
  <connection id="3" xr16:uid="{1A0DD7C2-B08A-481D-954F-7E1321CA034F}" keepAlive="1" name="Abfrage - Tabelle1 (3)" description="Verbindung mit der Abfrage 'Tabelle1 (3)' in der Arbeitsmappe." type="5" refreshedVersion="8" background="1" saveData="1">
    <dbPr connection="Provider=Microsoft.Mashup.OleDb.1;Data Source=$Workbook$;Location=&quot;Tabelle1 (3)&quot;;Extended Properties=&quot;&quot;" command="SELECT * FROM [Tabelle1 (3)]"/>
  </connection>
  <connection id="4" xr16:uid="{6F396D59-A43E-4AFC-8F4E-E9D1A5F1C95D}" keepAlive="1" name="Abfrage - Tabelle1 (4)" description="Verbindung mit der Abfrage 'Tabelle1 (4)' in der Arbeitsmappe." type="5" refreshedVersion="8" background="1" saveData="1">
    <dbPr connection="Provider=Microsoft.Mashup.OleDb.1;Data Source=$Workbook$;Location=&quot;Tabelle1 (4)&quot;;Extended Properties=&quot;&quot;" command="SELECT * FROM [Tabelle1 (4)]"/>
  </connection>
  <connection id="5" xr16:uid="{75878614-DC06-4D94-9606-F9B5EBC3B421}" keepAlive="1" name="Abfrage - Tabelle1 (5)" description="Verbindung mit der Abfrage 'Tabelle1 (5)' in der Arbeitsmappe." type="5" refreshedVersion="8" background="1" saveData="1">
    <dbPr connection="Provider=Microsoft.Mashup.OleDb.1;Data Source=$Workbook$;Location=&quot;Tabelle1 (5)&quot;;Extended Properties=&quot;&quot;" command="SELECT * FROM [Tabelle1 (5)]"/>
  </connection>
  <connection id="6" xr16:uid="{432368F8-C8CE-4D07-A758-E6794AEE9B2F}" keepAlive="1" name="Abfrage - Tabelle1 (6)" description="Verbindung mit der Abfrage 'Tabelle1 (6)' in der Arbeitsmappe." type="5" refreshedVersion="8" background="1" saveData="1">
    <dbPr connection="Provider=Microsoft.Mashup.OleDb.1;Data Source=$Workbook$;Location=&quot;Tabelle1 (6)&quot;;Extended Properties=&quot;&quot;" command="SELECT * FROM [Tabelle1 (6)]"/>
  </connection>
  <connection id="7" xr16:uid="{930BC026-DC82-402F-B760-56D9028EFA31}" keepAlive="1" name="Abfrage - Tabelle1 (7)" description="Verbindung mit der Abfrage 'Tabelle1 (7)' in der Arbeitsmappe." type="5" refreshedVersion="8" background="1" saveData="1">
    <dbPr connection="Provider=Microsoft.Mashup.OleDb.1;Data Source=$Workbook$;Location=&quot;Tabelle1 (7)&quot;;Extended Properties=&quot;&quot;" command="SELECT * FROM [Tabelle1 (7)]"/>
  </connection>
</connections>
</file>

<file path=xl/sharedStrings.xml><?xml version="1.0" encoding="utf-8"?>
<sst xmlns="http://schemas.openxmlformats.org/spreadsheetml/2006/main" count="7288" uniqueCount="600">
  <si>
    <t>EHS (2-Ethylhexyl salicylate)</t>
  </si>
  <si>
    <t>87</t>
  </si>
  <si>
    <t>46</t>
  </si>
  <si>
    <t>DDE-p,p'</t>
  </si>
  <si>
    <t>OC (Octocrylene)</t>
  </si>
  <si>
    <t>24</t>
  </si>
  <si>
    <t>DINCH (Diisononyl hexahydrophthalate)</t>
  </si>
  <si>
    <t>37</t>
  </si>
  <si>
    <t>Uvinul A Plus</t>
  </si>
  <si>
    <t>Fipronil</t>
  </si>
  <si>
    <t>26</t>
  </si>
  <si>
    <t>Fludioxonil</t>
  </si>
  <si>
    <t>49</t>
  </si>
  <si>
    <t>36</t>
  </si>
  <si>
    <t>31</t>
  </si>
  <si>
    <t>38</t>
  </si>
  <si>
    <t>Caffeine</t>
  </si>
  <si>
    <t>33</t>
  </si>
  <si>
    <t>DPHP (Bis(2-propylheptyl) phthalate)</t>
  </si>
  <si>
    <t>19</t>
  </si>
  <si>
    <t>10</t>
  </si>
  <si>
    <t>100</t>
  </si>
  <si>
    <t>43</t>
  </si>
  <si>
    <t>TDCPP</t>
  </si>
  <si>
    <t>16</t>
  </si>
  <si>
    <t>13</t>
  </si>
  <si>
    <t>28</t>
  </si>
  <si>
    <t>91</t>
  </si>
  <si>
    <t>29</t>
  </si>
  <si>
    <t>25</t>
  </si>
  <si>
    <t>Compound Method</t>
  </si>
  <si>
    <t>3</t>
  </si>
  <si>
    <t>21</t>
  </si>
  <si>
    <t>Epoxiconazole</t>
  </si>
  <si>
    <t>27</t>
  </si>
  <si>
    <t>32</t>
  </si>
  <si>
    <t>8</t>
  </si>
  <si>
    <t>23</t>
  </si>
  <si>
    <t>40</t>
  </si>
  <si>
    <t>UV 328</t>
  </si>
  <si>
    <t>45</t>
  </si>
  <si>
    <t>47</t>
  </si>
  <si>
    <t>Phenanthrene</t>
  </si>
  <si>
    <t>Tebuconazole</t>
  </si>
  <si>
    <t>96</t>
  </si>
  <si>
    <t>Estrone</t>
  </si>
  <si>
    <t>Oxybenzone</t>
  </si>
  <si>
    <t>Tonalid sum</t>
  </si>
  <si>
    <t>Acenaphthene</t>
  </si>
  <si>
    <t>(-)-Cotinine</t>
  </si>
  <si>
    <t>34</t>
  </si>
  <si>
    <t>Triphenyl phosphate</t>
  </si>
  <si>
    <t>Batch_C_2</t>
  </si>
  <si>
    <t>1</t>
  </si>
  <si>
    <t>Diphenylamine</t>
  </si>
  <si>
    <t>30</t>
  </si>
  <si>
    <t>17</t>
  </si>
  <si>
    <t>2,2',3,4,4',5,5'-Heptachlorobiphenyl (BZ #180)</t>
  </si>
  <si>
    <t>17α-Ethinylestradiol</t>
  </si>
  <si>
    <t>11</t>
  </si>
  <si>
    <t>94</t>
  </si>
  <si>
    <t>9</t>
  </si>
  <si>
    <t>Fluorene</t>
  </si>
  <si>
    <t>BHC-beta</t>
  </si>
  <si>
    <t>2,2',3,4,4',5'-Hexachlorobiphenyl (BZ #138)</t>
  </si>
  <si>
    <t>39</t>
  </si>
  <si>
    <t>Tetraconazole</t>
  </si>
  <si>
    <t>50</t>
  </si>
  <si>
    <t>Galaxolide</t>
  </si>
  <si>
    <t>Avobenzone</t>
  </si>
  <si>
    <t>44</t>
  </si>
  <si>
    <t>35</t>
  </si>
  <si>
    <t/>
  </si>
  <si>
    <t>42</t>
  </si>
  <si>
    <t>DEHA (Di(2-ethylhexyl) adipate)</t>
  </si>
  <si>
    <t>4</t>
  </si>
  <si>
    <t>7</t>
  </si>
  <si>
    <t>6</t>
  </si>
  <si>
    <t>20</t>
  </si>
  <si>
    <t>2,2',4,4',5,5'-Hexachlorobiphenyl (BZ #153)</t>
  </si>
  <si>
    <t>48</t>
  </si>
  <si>
    <t>5</t>
  </si>
  <si>
    <t>41</t>
  </si>
  <si>
    <t>15</t>
  </si>
  <si>
    <t>22</t>
  </si>
  <si>
    <t>14</t>
  </si>
  <si>
    <t>12</t>
  </si>
  <si>
    <t>18</t>
  </si>
  <si>
    <t>&lt;1</t>
  </si>
  <si>
    <t>&lt;4</t>
  </si>
  <si>
    <t>&lt;10</t>
  </si>
  <si>
    <t>Cypermethrin</t>
  </si>
  <si>
    <t>&lt;20</t>
  </si>
  <si>
    <t xml:space="preserve">Tonalid </t>
  </si>
  <si>
    <t>2</t>
  </si>
  <si>
    <t>Probennummer C</t>
  </si>
  <si>
    <t>Interne Nummer</t>
  </si>
  <si>
    <t>Tierart</t>
  </si>
  <si>
    <t>Geschlecht</t>
  </si>
  <si>
    <t>Alter</t>
  </si>
  <si>
    <t>Datum Erlegung</t>
  </si>
  <si>
    <t>Gewicht [kg]</t>
  </si>
  <si>
    <t>x</t>
  </si>
  <si>
    <t>y</t>
  </si>
  <si>
    <t>Bemerkung</t>
  </si>
  <si>
    <t>Damhirsch</t>
  </si>
  <si>
    <t>weiblich</t>
  </si>
  <si>
    <t>Rothirsch</t>
  </si>
  <si>
    <t>männlich</t>
  </si>
  <si>
    <t>Kalb</t>
  </si>
  <si>
    <t>Gewicht ohne Haupt</t>
  </si>
  <si>
    <t>51.0959819</t>
  </si>
  <si>
    <t>10.3836538</t>
  </si>
  <si>
    <t>51.0931612</t>
  </si>
  <si>
    <t>10.3757724</t>
  </si>
  <si>
    <t>Rotwild</t>
  </si>
  <si>
    <t>Damwild</t>
  </si>
  <si>
    <t>51.09106666</t>
  </si>
  <si>
    <t>adult</t>
  </si>
  <si>
    <t>&lt;2</t>
  </si>
  <si>
    <t>AS 76</t>
  </si>
  <si>
    <t>AS 100</t>
  </si>
  <si>
    <t>KS 84</t>
  </si>
  <si>
    <t>KS 51</t>
  </si>
  <si>
    <t>AS 94</t>
  </si>
  <si>
    <t>KS 76</t>
  </si>
  <si>
    <t>AS 72</t>
  </si>
  <si>
    <t>AS 95</t>
  </si>
  <si>
    <t>KS 53</t>
  </si>
  <si>
    <t>KS 70</t>
  </si>
  <si>
    <t>subadult</t>
  </si>
  <si>
    <t>2,2',3,4,4',5,5'-Heptachlorobiphenyl (PCB #180)</t>
  </si>
  <si>
    <t>2,2',3,4,4',5'-Hexachlorobiphenyl (PCB #138)</t>
  </si>
  <si>
    <t>2,2',4,4',5,5'-Hexachlorobiphenyl (PCB #153)</t>
  </si>
  <si>
    <t>2,2',4,5,5'-Pentachlorobiphenyl (PCB #101)</t>
  </si>
  <si>
    <t>Flupyram</t>
  </si>
  <si>
    <t>Probennummer A</t>
  </si>
  <si>
    <t>Probennummer E</t>
  </si>
  <si>
    <t>4083/23</t>
  </si>
  <si>
    <t>1045/23</t>
  </si>
  <si>
    <t>5075/23</t>
  </si>
  <si>
    <t>3031/23</t>
  </si>
  <si>
    <t>5088/23</t>
  </si>
  <si>
    <t>5100/23</t>
  </si>
  <si>
    <t>2072/23</t>
  </si>
  <si>
    <t>2067/23</t>
  </si>
  <si>
    <t>2073/23</t>
  </si>
  <si>
    <t>3032/23</t>
  </si>
  <si>
    <t>1050/23</t>
  </si>
  <si>
    <t xml:space="preserve">männlich
</t>
  </si>
  <si>
    <t xml:space="preserve">weiblich
</t>
  </si>
  <si>
    <t xml:space="preserve">Altersklasse 2
</t>
  </si>
  <si>
    <t>Altersklasse 1</t>
  </si>
  <si>
    <t xml:space="preserve">Altersklasse 0
</t>
  </si>
  <si>
    <t>Jagdbezirk</t>
  </si>
  <si>
    <t>Revier Lang</t>
  </si>
  <si>
    <t>Gemeinde</t>
  </si>
  <si>
    <t>Ulbersdorf</t>
  </si>
  <si>
    <t>Rev. Hohnstein</t>
  </si>
  <si>
    <t>Stadt Hohnstein</t>
  </si>
  <si>
    <t>Hintere Sächsische Schweiz</t>
  </si>
  <si>
    <t>Rev. Hinterhermsdorf</t>
  </si>
  <si>
    <t>Stadt Sebnitz</t>
  </si>
  <si>
    <t>Lilienstein</t>
  </si>
  <si>
    <t>Rev. Lohmen</t>
  </si>
  <si>
    <t>Stadt Bad Schandau</t>
  </si>
  <si>
    <t>Rev. Schmilka</t>
  </si>
  <si>
    <t>Vordere Sächsische Schweiz</t>
  </si>
  <si>
    <t>Rev. Zeughaus</t>
  </si>
  <si>
    <t>Picolinafen</t>
  </si>
  <si>
    <t>Triclosan</t>
  </si>
  <si>
    <t>Tonalid</t>
  </si>
  <si>
    <t>Probennummer Z</t>
  </si>
  <si>
    <t>6441 / 27265</t>
  </si>
  <si>
    <t>2,4,4'-Trichlorobiphenyl (PCB #28)</t>
  </si>
  <si>
    <t>Dieldrin</t>
  </si>
  <si>
    <t>Fluopyram</t>
  </si>
  <si>
    <t>Probennummer H</t>
  </si>
  <si>
    <t>2,2',5,5'-Tetrachlorobiphenyl (PCB #52)</t>
  </si>
  <si>
    <t>Rehwild</t>
  </si>
  <si>
    <t>1,3-Dinitrobenzene</t>
  </si>
  <si>
    <t>2,2',4,4'-tetrabromodiphenyl ether (BDE-47)</t>
  </si>
  <si>
    <t>Boscalid</t>
  </si>
  <si>
    <t>fehlt</t>
  </si>
  <si>
    <t>A01</t>
  </si>
  <si>
    <t>A03</t>
  </si>
  <si>
    <t>A05</t>
  </si>
  <si>
    <t>A06</t>
  </si>
  <si>
    <t>A07</t>
  </si>
  <si>
    <t>A08</t>
  </si>
  <si>
    <t>A09</t>
  </si>
  <si>
    <t>A13</t>
  </si>
  <si>
    <t>A19</t>
  </si>
  <si>
    <t>A20</t>
  </si>
  <si>
    <t>A23</t>
  </si>
  <si>
    <t>A39</t>
  </si>
  <si>
    <t>A40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</si>
  <si>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</si>
  <si>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</si>
  <si>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</si>
  <si>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</si>
  <si>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</si>
  <si>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</si>
  <si>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</si>
  <si>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</si>
  <si>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</si>
  <si>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</si>
  <si>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</si>
  <si>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</si>
  <si>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</si>
  <si>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</si>
  <si>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</si>
  <si>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</si>
  <si>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</si>
  <si>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</si>
  <si>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</si>
  <si>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</si>
  <si>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</si>
  <si>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</si>
  <si>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</si>
  <si>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</si>
  <si>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</si>
  <si>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</si>
  <si>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</si>
  <si>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</si>
  <si>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</si>
  <si>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</si>
  <si>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</si>
  <si>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</si>
  <si>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</si>
  <si>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</si>
  <si>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</si>
  <si>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</si>
  <si>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</si>
  <si>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</si>
  <si>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</si>
  <si>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</si>
  <si>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</si>
  <si>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</si>
  <si>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</si>
  <si>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</si>
  <si>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</si>
  <si>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</si>
  <si>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</si>
  <si>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</si>
  <si>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</si>
  <si>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</si>
  <si>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C87</t>
  </si>
  <si>
    <t>C91</t>
  </si>
  <si>
    <t>C94</t>
  </si>
  <si>
    <t>C96</t>
  </si>
  <si>
    <t>C100</t>
  </si>
  <si>
    <t>E1</t>
  </si>
  <si>
    <t>E15</t>
  </si>
  <si>
    <t>E21</t>
  </si>
  <si>
    <t>E22</t>
  </si>
  <si>
    <t>E23</t>
  </si>
  <si>
    <t>E24</t>
  </si>
  <si>
    <t>E26</t>
  </si>
  <si>
    <t>E28</t>
  </si>
  <si>
    <t>E29</t>
  </si>
  <si>
    <t>E30</t>
  </si>
  <si>
    <t>E31</t>
  </si>
  <si>
    <t>Probennummer G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</si>
  <si>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</si>
  <si>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</si>
  <si>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</si>
  <si>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</si>
  <si>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</si>
  <si>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</si>
  <si>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</si>
  <si>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</si>
  <si>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</si>
  <si>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</si>
  <si>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</si>
  <si>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</si>
  <si>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</si>
  <si>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</si>
  <si>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</si>
  <si>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</si>
  <si>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</si>
  <si>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</si>
  <si>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</si>
  <si>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</si>
  <si>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</si>
  <si>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</si>
  <si>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</si>
  <si>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</si>
  <si>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</si>
  <si>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</si>
  <si>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</si>
  <si>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</si>
  <si>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</si>
  <si>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</si>
  <si>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</si>
  <si>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</si>
  <si>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</si>
  <si>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</si>
  <si>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</si>
  <si>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</si>
  <si>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</si>
  <si>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</si>
  <si>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</si>
  <si>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</si>
  <si>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</si>
  <si>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</si>
  <si>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</si>
  <si>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</si>
  <si>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</si>
  <si>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</si>
  <si>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</si>
  <si>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</si>
  <si>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</si>
  <si>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</si>
  <si>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H01</t>
  </si>
  <si>
    <t>H06</t>
  </si>
  <si>
    <t>H07</t>
  </si>
  <si>
    <t>H08</t>
  </si>
  <si>
    <t>H32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</si>
  <si>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</si>
  <si>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</si>
  <si>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</si>
  <si>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</si>
  <si>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</si>
  <si>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</si>
  <si>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</si>
  <si>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</si>
  <si>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</si>
  <si>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</si>
  <si>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</si>
  <si>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</si>
  <si>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</si>
  <si>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</si>
  <si>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</si>
  <si>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</si>
  <si>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</si>
  <si>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</si>
  <si>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</si>
  <si>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</si>
  <si>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</si>
  <si>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</si>
  <si>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</si>
  <si>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</si>
  <si>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</si>
  <si>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</si>
  <si>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</si>
  <si>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</si>
  <si>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</si>
  <si>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</si>
  <si>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</si>
  <si>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</si>
  <si>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</si>
  <si>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</si>
  <si>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</si>
  <si>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</si>
  <si>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</si>
  <si>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</si>
  <si>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</si>
  <si>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</si>
  <si>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</si>
  <si>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</si>
  <si>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</si>
  <si>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</si>
  <si>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</si>
  <si>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</si>
  <si>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</si>
  <si>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</si>
  <si>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Z49</t>
  </si>
  <si>
    <t>Z50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</si>
  <si>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</si>
  <si>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</si>
  <si>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</si>
  <si>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</si>
  <si>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</si>
  <si>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</si>
  <si>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</si>
  <si>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</si>
  <si>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</si>
  <si>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</si>
  <si>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</si>
  <si>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</si>
  <si>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</si>
  <si>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</si>
  <si>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</si>
  <si>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</si>
  <si>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</si>
  <si>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</si>
  <si>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</si>
  <si>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</si>
  <si>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</si>
  <si>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</si>
  <si>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</si>
  <si>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</si>
  <si>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</si>
  <si>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</si>
  <si>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</si>
  <si>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</si>
  <si>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</si>
  <si>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</si>
  <si>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</si>
  <si>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</si>
  <si>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</si>
  <si>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</si>
  <si>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</si>
  <si>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</si>
  <si>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</si>
  <si>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</si>
  <si>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</si>
  <si>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</si>
  <si>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</si>
  <si>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</si>
  <si>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</si>
  <si>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</si>
  <si>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</si>
  <si>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</si>
  <si>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</si>
  <si>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</si>
  <si>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2,4,4'-Trichlorobiphenyl (PCB #52)</t>
  </si>
  <si>
    <t>Probennummer F</t>
  </si>
  <si>
    <t>F19b</t>
  </si>
  <si>
    <t>F19a</t>
  </si>
  <si>
    <t>F20a</t>
  </si>
  <si>
    <t>F20b</t>
  </si>
  <si>
    <t>3086367</t>
  </si>
  <si>
    <t>3086362</t>
  </si>
  <si>
    <t>3086271</t>
  </si>
  <si>
    <t>3086434</t>
  </si>
  <si>
    <t>3086424</t>
  </si>
  <si>
    <t>3086368</t>
  </si>
  <si>
    <t>3086698</t>
  </si>
  <si>
    <t>3086268</t>
  </si>
  <si>
    <t>2570688</t>
  </si>
  <si>
    <t>3086210</t>
  </si>
  <si>
    <t>3086811</t>
  </si>
  <si>
    <t>2570957</t>
  </si>
  <si>
    <t>3086254</t>
  </si>
  <si>
    <t>3086260</t>
  </si>
  <si>
    <t>3086697</t>
  </si>
  <si>
    <t>3086672</t>
  </si>
  <si>
    <t>3086258</t>
  </si>
  <si>
    <t>3086799</t>
  </si>
  <si>
    <t>2570958</t>
  </si>
  <si>
    <t>3086370</t>
  </si>
  <si>
    <t>3086265</t>
  </si>
  <si>
    <t>3086248</t>
  </si>
  <si>
    <t>3086663</t>
  </si>
  <si>
    <t>3086262</t>
  </si>
  <si>
    <t>3086678</t>
  </si>
  <si>
    <t>3086224</t>
  </si>
  <si>
    <t>3086294</t>
  </si>
  <si>
    <t>2570665</t>
  </si>
  <si>
    <t>3086432</t>
  </si>
  <si>
    <t>2570487</t>
  </si>
  <si>
    <t>2570664</t>
  </si>
  <si>
    <t>3086253</t>
  </si>
  <si>
    <t>3086263</t>
  </si>
  <si>
    <t>3086261</t>
  </si>
  <si>
    <t>3086375</t>
  </si>
  <si>
    <t>3086366</t>
  </si>
  <si>
    <t>3086438</t>
  </si>
  <si>
    <t>3086436</t>
  </si>
  <si>
    <t>3086747</t>
  </si>
  <si>
    <t>3086750</t>
  </si>
  <si>
    <t>2570659</t>
  </si>
  <si>
    <t>3086429</t>
  </si>
  <si>
    <t>3086422</t>
  </si>
  <si>
    <t>2570680</t>
  </si>
  <si>
    <t>3086251</t>
  </si>
  <si>
    <t>3086228</t>
  </si>
  <si>
    <t>3086204</t>
  </si>
  <si>
    <t>3086219</t>
  </si>
  <si>
    <t>3086205</t>
  </si>
  <si>
    <t>2570679</t>
  </si>
  <si>
    <t>30.11.20232</t>
  </si>
  <si>
    <t>doppelt</t>
  </si>
  <si>
    <t>Alter (vom Park angegeben)</t>
  </si>
  <si>
    <t>6.5366504</t>
  </si>
  <si>
    <t>Koordinaten fehlen</t>
  </si>
  <si>
    <t>Gewicht fehlt</t>
  </si>
  <si>
    <t>Datum und Koordinaten fehlen</t>
  </si>
  <si>
    <t>Gewicht und Koordinaten fehlen</t>
  </si>
  <si>
    <t>Sehr abgegrenzter Bereich</t>
  </si>
  <si>
    <t>Keine Koordinaten vorhanden</t>
  </si>
  <si>
    <t>Aufbruchgewicht + Kopf und Läufe</t>
  </si>
  <si>
    <t>Gewicht unaufgebrochen</t>
  </si>
  <si>
    <t>Sommerproben</t>
  </si>
  <si>
    <t>10.494711</t>
  </si>
  <si>
    <t>51.082560</t>
  </si>
  <si>
    <t>10.384120</t>
  </si>
  <si>
    <t>51.074409</t>
  </si>
  <si>
    <t>10.539373</t>
  </si>
  <si>
    <t>51.099732</t>
  </si>
  <si>
    <t>10.410924</t>
  </si>
  <si>
    <t>51.069240</t>
  </si>
  <si>
    <t>10.462190</t>
  </si>
  <si>
    <t>51.064017</t>
  </si>
  <si>
    <t>10.549757</t>
  </si>
  <si>
    <t>51.081969</t>
  </si>
  <si>
    <t>10.399288</t>
  </si>
  <si>
    <t>51.047582</t>
  </si>
  <si>
    <t>10.437987</t>
  </si>
  <si>
    <t>51.026090</t>
  </si>
  <si>
    <t>10.451290</t>
  </si>
  <si>
    <t>51.080596</t>
  </si>
  <si>
    <t>10.428209</t>
  </si>
  <si>
    <t>51.076178</t>
  </si>
  <si>
    <t>51.097655</t>
  </si>
  <si>
    <t>51.100854</t>
  </si>
  <si>
    <t>51.090506</t>
  </si>
  <si>
    <t>51.071918</t>
  </si>
  <si>
    <t>51.065931</t>
  </si>
  <si>
    <t>51.076673</t>
  </si>
  <si>
    <t>51.088714</t>
  </si>
  <si>
    <t>51.091484</t>
  </si>
  <si>
    <t>51.090104</t>
  </si>
  <si>
    <t>51.077234</t>
  </si>
  <si>
    <t>51.069049</t>
  </si>
  <si>
    <t>51.045401</t>
  </si>
  <si>
    <t>51.069717</t>
  </si>
  <si>
    <t>51.100853</t>
  </si>
  <si>
    <t>51.083976</t>
  </si>
  <si>
    <t>51.083703</t>
  </si>
  <si>
    <t>51.088999</t>
  </si>
  <si>
    <t>51.090431</t>
  </si>
  <si>
    <t>51.055810</t>
  </si>
  <si>
    <t>51.068558</t>
  </si>
  <si>
    <t>51.020847</t>
  </si>
  <si>
    <t>51.093385</t>
  </si>
  <si>
    <t>51.048405</t>
  </si>
  <si>
    <t>51.093474</t>
  </si>
  <si>
    <t>51.074461</t>
  </si>
  <si>
    <t>51.044677</t>
  </si>
  <si>
    <t>51.065951</t>
  </si>
  <si>
    <t>51.069539243517</t>
  </si>
  <si>
    <t>51.041229175323</t>
  </si>
  <si>
    <t>51.083894364157</t>
  </si>
  <si>
    <t>10.537899</t>
  </si>
  <si>
    <t>10.493916</t>
  </si>
  <si>
    <t>10.481310</t>
  </si>
  <si>
    <t>10.429618</t>
  </si>
  <si>
    <t>10.551380</t>
  </si>
  <si>
    <t>10.550149</t>
  </si>
  <si>
    <t>10.424832</t>
  </si>
  <si>
    <t>10.416428</t>
  </si>
  <si>
    <t>10.413061</t>
  </si>
  <si>
    <t>10.381633</t>
  </si>
  <si>
    <t>10.393697</t>
  </si>
  <si>
    <t>10.539542</t>
  </si>
  <si>
    <t>10.443180</t>
  </si>
  <si>
    <t>10.537780</t>
  </si>
  <si>
    <t>10.425286</t>
  </si>
  <si>
    <t>10.494787</t>
  </si>
  <si>
    <t>10.414201</t>
  </si>
  <si>
    <t>10.493723</t>
  </si>
  <si>
    <t>10.474923</t>
  </si>
  <si>
    <t>10.420998</t>
  </si>
  <si>
    <t>10.406691</t>
  </si>
  <si>
    <t>10.454569</t>
  </si>
  <si>
    <t>10.476402</t>
  </si>
  <si>
    <t>10.451260</t>
  </si>
  <si>
    <t>10.491494</t>
  </si>
  <si>
    <t>10.539567</t>
  </si>
  <si>
    <t>10.454128</t>
  </si>
  <si>
    <t>10.542063</t>
  </si>
  <si>
    <t>10.461759234047</t>
  </si>
  <si>
    <t>10.418547893947</t>
  </si>
  <si>
    <t>10.412635</t>
  </si>
  <si>
    <t>10.428623420450</t>
  </si>
  <si>
    <t>Name</t>
  </si>
  <si>
    <t>POP</t>
  </si>
  <si>
    <t>PAH</t>
  </si>
  <si>
    <t>Weichmacher</t>
  </si>
  <si>
    <t>Pestizid</t>
  </si>
  <si>
    <t>Fungizid</t>
  </si>
  <si>
    <t>PCP</t>
  </si>
  <si>
    <t>Duftstoff</t>
  </si>
  <si>
    <t>UV-Blocker</t>
  </si>
  <si>
    <t>Flammschutzmittel</t>
  </si>
  <si>
    <t>Unterkategorie</t>
  </si>
  <si>
    <t>API</t>
  </si>
  <si>
    <t>Hormon</t>
  </si>
  <si>
    <t>Diphenylamin</t>
  </si>
  <si>
    <t>1,3-Dinitrobenzen</t>
  </si>
  <si>
    <t>anthropogene Verschmutzung</t>
  </si>
  <si>
    <t>Abbauprodukt von Nikotin</t>
  </si>
  <si>
    <t>Sprengstoff</t>
  </si>
  <si>
    <t>Insektizid</t>
  </si>
  <si>
    <t>Herbizid</t>
  </si>
  <si>
    <t>Desinfektionsmittel</t>
  </si>
  <si>
    <t>Legende</t>
  </si>
  <si>
    <t>Active pharmaceutical ingredients</t>
  </si>
  <si>
    <t>persistent organic pollutants</t>
  </si>
  <si>
    <t>polycyclic aromatic hydrocabons</t>
  </si>
  <si>
    <t>personal care products</t>
  </si>
  <si>
    <t>Industriechemikalie</t>
  </si>
  <si>
    <t>Antioxidans</t>
  </si>
  <si>
    <t>primäre Kategorie</t>
  </si>
  <si>
    <t>sekundäre Kategorie</t>
  </si>
  <si>
    <t>LOQ (µg/kg)</t>
  </si>
  <si>
    <t>Pflanzeninhaltsstoff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</si>
</sst>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8"/>
      <color rgb="FF000000"/>
      <name val="Microsoft Sans Serif"/>
      <family val="2"/>
    </font>
    <font>
      <sz val="8"/>
      <name val="Microsoft Sans Serif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Microsoft Sans Serif"/>
      <family val="2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8"/>
      <name val="Microsoft Sans Serif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1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top"/>
    </xf>
    <xf numFmtId="0" fontId="2" fillId="0" borderId="3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top"/>
    </xf>
    <xf numFmtId="164" fontId="2" fillId="0" borderId="7" xfId="0" applyNumberFormat="1" applyFont="1" applyBorder="1" applyAlignment="1">
      <alignment horizontal="right" vertical="top"/>
    </xf>
    <xf numFmtId="0" fontId="0" fillId="0" borderId="0" xfId="0" applyAlignment="1">
      <alignment wrapText="1"/>
    </xf>
    <xf numFmtId="49" fontId="5" fillId="2" borderId="8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3" fontId="6" fillId="3" borderId="1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49" fontId="5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14" fontId="6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0" fillId="5" borderId="0" xfId="0" applyFill="1"/>
    <xf numFmtId="164" fontId="6" fillId="4" borderId="1" xfId="0" applyNumberFormat="1" applyFont="1" applyFill="1" applyBorder="1" applyAlignment="1">
      <alignment horizontal="center"/>
    </xf>
    <xf numFmtId="0" fontId="7" fillId="0" borderId="7" xfId="0" applyFont="1" applyBorder="1" applyAlignment="1">
      <alignment wrapText="1"/>
    </xf>
    <xf numFmtId="49" fontId="8" fillId="5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2" fontId="8" fillId="5" borderId="1" xfId="0" applyNumberFormat="1" applyFont="1" applyFill="1" applyBorder="1" applyAlignment="1">
      <alignment horizontal="center"/>
    </xf>
    <xf numFmtId="49" fontId="8" fillId="5" borderId="1" xfId="0" applyNumberFormat="1" applyFont="1" applyFill="1" applyBorder="1" applyAlignment="1">
      <alignment horizontal="center" vertical="center"/>
    </xf>
    <xf numFmtId="2" fontId="6" fillId="5" borderId="8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6" fillId="4" borderId="1" xfId="0" applyNumberFormat="1" applyFont="1" applyFill="1" applyBorder="1" applyAlignment="1">
      <alignment horizontal="center"/>
    </xf>
    <xf numFmtId="49" fontId="6" fillId="4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8" fillId="2" borderId="1" xfId="0" applyNumberFormat="1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0" fontId="9" fillId="0" borderId="0" xfId="0" applyFont="1"/>
    <xf numFmtId="0" fontId="6" fillId="0" borderId="8" xfId="0" applyFont="1" applyBorder="1"/>
    <xf numFmtId="0" fontId="6" fillId="0" borderId="7" xfId="0" applyFont="1" applyBorder="1"/>
    <xf numFmtId="0" fontId="6" fillId="3" borderId="1" xfId="0" applyFont="1" applyFill="1" applyBorder="1"/>
    <xf numFmtId="0" fontId="6" fillId="4" borderId="1" xfId="0" applyFont="1" applyFill="1" applyBorder="1"/>
  </cellXfs>
  <cellStyles count="1">
    <cellStyle name="Standard" xfId="0" builtinId="0"/>
  </cellStyles>
  <dxfs count="3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64" formatCode="0.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alignment horizontal="righ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Microsoft Sans Serif"/>
        <family val="2"/>
        <scheme val="none"/>
      </font>
      <fill>
        <patternFill patternType="solid">
          <fgColor indexed="64"/>
          <bgColor rgb="FFF0F0F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9" formatCode="dd/mm/yyyy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border>
        <bottom style="thin">
          <color rgb="FF000000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2" formatCode="0.00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2" formatCode="0.00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9" formatCode="dd/mm/yyyy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border>
        <bottom style="thin">
          <color rgb="FF000000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2" formatCode="0.00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2" formatCode="0.00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9" formatCode="dd/mm/yyyy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border>
        <bottom style="thin">
          <color rgb="FF000000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2" formatCode="0.00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2" formatCode="0.00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9" formatCode="dd/mm/yyyy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border>
        <bottom style="thin">
          <color rgb="FF000000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2" formatCode="0.00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2" formatCode="0.00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9" formatCode="dd/mm/yyyy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border>
        <bottom style="thin">
          <color rgb="FF000000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9" formatCode="dd/mm/yyyy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border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0.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2" formatCode="0.00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2" formatCode="0.00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19" formatCode="dd/mm/yyyy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icrosoft Sans Serif"/>
        <family val="2"/>
        <scheme val="none"/>
      </font>
      <numFmt numFmtId="30" formatCode="@"/>
      <fill>
        <patternFill patternType="solid">
          <fgColor indexed="64"/>
          <bgColor rgb="FFF0F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border>
        <bottom style="thin">
          <color rgb="FF000000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F2A7BED7-4ECD-4E2E-85D2-909324B550BA}" autoFormatId="16" applyNumberFormats="0" applyBorderFormats="0" applyFontFormats="0" applyPatternFormats="0" applyAlignmentFormats="0" applyWidthHeightFormats="0">
  <queryTableRefresh nextId="45" unboundColumnsLeft="10">
    <queryTableFields count="34">
      <queryTableField id="33" dataBound="0" tableColumnId="33"/>
      <queryTableField id="43" dataBound="0" tableColumnId="43"/>
      <queryTableField id="42" dataBound="0" tableColumnId="42"/>
      <queryTableField id="41" dataBound="0" tableColumnId="41"/>
      <queryTableField id="40" dataBound="0" tableColumnId="40"/>
      <queryTableField id="39" dataBound="0" tableColumnId="39"/>
      <queryTableField id="38" dataBound="0" tableColumnId="38"/>
      <queryTableField id="37" dataBound="0" tableColumnId="37"/>
      <queryTableField id="36" dataBound="0" tableColumnId="36"/>
      <queryTableField id="35" dataBound="0" tableColumnId="35"/>
      <queryTableField id="3" name="2,2',3,4,4',5,5'-Heptachlorobiphenyl (BZ #180)" tableColumnId="3"/>
      <queryTableField id="4" name="2,2',3,4,4',5'-Hexachlorobiphenyl (BZ #138)" tableColumnId="4"/>
      <queryTableField id="5" name="2,2',4,4',5,5'-Hexachlorobiphenyl (BZ #153)" tableColumnId="5"/>
      <queryTableField id="10" name="Cypermethrin" tableColumnId="10"/>
      <queryTableField id="6" name="Acenaphthene" tableColumnId="6"/>
      <queryTableField id="7" name="Avobenzone" tableColumnId="7"/>
      <queryTableField id="8" name="BHC-beta" tableColumnId="8"/>
      <queryTableField id="9" name="Caffeine" tableColumnId="9"/>
      <queryTableField id="11" name="DDE-p,p'" tableColumnId="11"/>
      <queryTableField id="12" name="DEHA (Di(2-ethylhexyl) adipate)" tableColumnId="12"/>
      <queryTableField id="13" name="DINCH (Diisononyl hexahydrophthalate)" tableColumnId="13"/>
      <queryTableField id="15" name="DPHP (Bis(2-propylheptyl) phthalate)" tableColumnId="15"/>
      <queryTableField id="16" name="EHS (2-Ethylhexyl salicylate)" tableColumnId="16"/>
      <queryTableField id="17" name="Epoxiconazole" tableColumnId="17"/>
      <queryTableField id="18" name="Estrone" tableColumnId="18"/>
      <queryTableField id="21" name="Fluorene" tableColumnId="21"/>
      <queryTableField id="22" name="Galaxolide" tableColumnId="22"/>
      <queryTableField id="23" name="OC (Octocrylene)" tableColumnId="23"/>
      <queryTableField id="24" name="Oxybenzone" tableColumnId="24"/>
      <queryTableField id="25" name="Phenanthrene" tableColumnId="25"/>
      <queryTableField id="28" name="Tetraconazole" tableColumnId="28"/>
      <queryTableField id="30" name="Triphenyl phosphate" tableColumnId="30"/>
      <queryTableField id="31" name="UV 328" tableColumnId="31"/>
      <queryTableField id="32" name="Uvinul A Plus" tableColumnId="32"/>
    </queryTableFields>
    <queryTableDeletedFields count="8">
      <deletedField name="(-)-Cotinine"/>
      <deletedField name="17α-Ethinylestradiol"/>
      <deletedField name="Diphenylamine"/>
      <deletedField name="Fipronil"/>
      <deletedField name="Fludioxonil"/>
      <deletedField name="TDCPP"/>
      <deletedField name="Tebuconazole"/>
      <deletedField name="Tonalid sum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B196DEC3-C1B7-40D2-8079-B07E1A7F778F}" autoFormatId="16" applyNumberFormats="0" applyBorderFormats="0" applyFontFormats="0" applyPatternFormats="0" applyAlignmentFormats="0" applyWidthHeightFormats="0">
  <queryTableRefresh nextId="44" unboundColumnsLeft="10">
    <queryTableFields count="42">
      <queryTableField id="33" dataBound="0" tableColumnId="33"/>
      <queryTableField id="43" dataBound="0" tableColumnId="43"/>
      <queryTableField id="42" dataBound="0" tableColumnId="42"/>
      <queryTableField id="41" dataBound="0" tableColumnId="41"/>
      <queryTableField id="40" dataBound="0" tableColumnId="40"/>
      <queryTableField id="39" dataBound="0" tableColumnId="39"/>
      <queryTableField id="38" dataBound="0" tableColumnId="38"/>
      <queryTableField id="37" dataBound="0" tableColumnId="37"/>
      <queryTableField id="36" dataBound="0" tableColumnId="36"/>
      <queryTableField id="35" dataBound="0" tableColumnId="35"/>
      <queryTableField id="1" name="(-)-Cotinine" tableColumnId="1"/>
      <queryTableField id="2" name="17α-Ethinylestradiol" tableColumnId="2"/>
      <queryTableField id="3" name="2,2',3,4,4',5,5'-Heptachlorobiphenyl (BZ #180)" tableColumnId="3"/>
      <queryTableField id="4" name="2,2',3,4,4',5'-Hexachlorobiphenyl (BZ #138)" tableColumnId="4"/>
      <queryTableField id="5" name="2,2',4,4',5,5'-Hexachlorobiphenyl (BZ #153)" tableColumnId="5"/>
      <queryTableField id="6" name="Acenaphthene" tableColumnId="6"/>
      <queryTableField id="7" name="Avobenzone" tableColumnId="7"/>
      <queryTableField id="8" name="BHC-beta" tableColumnId="8"/>
      <queryTableField id="9" name="Caffeine" tableColumnId="9"/>
      <queryTableField id="10" name="Cypermethrin" tableColumnId="10"/>
      <queryTableField id="11" name="DDE-p,p'" tableColumnId="11"/>
      <queryTableField id="12" name="DEHA (Di(2-ethylhexyl) adipate)" tableColumnId="12"/>
      <queryTableField id="13" name="DINCH (Diisononyl hexahydrophthalate)" tableColumnId="13"/>
      <queryTableField id="14" name="Diphenylamine" tableColumnId="14"/>
      <queryTableField id="15" name="DPHP (Bis(2-propylheptyl) phthalate)" tableColumnId="15"/>
      <queryTableField id="16" name="EHS (2-Ethylhexyl salicylate)" tableColumnId="16"/>
      <queryTableField id="17" name="Epoxiconazole" tableColumnId="17"/>
      <queryTableField id="18" name="Estrone" tableColumnId="18"/>
      <queryTableField id="19" name="Fipronil" tableColumnId="19"/>
      <queryTableField id="20" name="Fludioxonil" tableColumnId="20"/>
      <queryTableField id="21" name="Fluorene" tableColumnId="21"/>
      <queryTableField id="22" name="Galaxolide" tableColumnId="22"/>
      <queryTableField id="23" name="OC (Octocrylene)" tableColumnId="23"/>
      <queryTableField id="24" name="Oxybenzone" tableColumnId="24"/>
      <queryTableField id="25" name="Phenanthrene" tableColumnId="25"/>
      <queryTableField id="26" name="TDCPP" tableColumnId="26"/>
      <queryTableField id="27" name="Tebuconazole" tableColumnId="27"/>
      <queryTableField id="28" name="Tetraconazole" tableColumnId="28"/>
      <queryTableField id="29" name="Tonalid sum" tableColumnId="29"/>
      <queryTableField id="30" name="Triphenyl phosphate" tableColumnId="30"/>
      <queryTableField id="31" name="UV 328" tableColumnId="31"/>
      <queryTableField id="32" name="Uvinul A Plus" tableColumnId="3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ED4AE506-899C-4679-88E3-C670C2385971}" autoFormatId="16" applyNumberFormats="0" applyBorderFormats="0" applyFontFormats="0" applyPatternFormats="0" applyAlignmentFormats="0" applyWidthHeightFormats="0">
  <queryTableRefresh nextId="48" unboundColumnsLeft="11">
    <queryTableFields count="34">
      <queryTableField id="33" dataBound="0" tableColumnId="33"/>
      <queryTableField id="43" dataBound="0" tableColumnId="43"/>
      <queryTableField id="42" dataBound="0" tableColumnId="42"/>
      <queryTableField id="41" dataBound="0" tableColumnId="41"/>
      <queryTableField id="47" dataBound="0" tableColumnId="7"/>
      <queryTableField id="40" dataBound="0" tableColumnId="40"/>
      <queryTableField id="39" dataBound="0" tableColumnId="39"/>
      <queryTableField id="38" dataBound="0" tableColumnId="38"/>
      <queryTableField id="37" dataBound="0" tableColumnId="37"/>
      <queryTableField id="36" dataBound="0" tableColumnId="36"/>
      <queryTableField id="35" dataBound="0" tableColumnId="35"/>
      <queryTableField id="3" name="2,2',3,4,4',5,5'-Heptachlorobiphenyl (BZ #180)" tableColumnId="3"/>
      <queryTableField id="4" name="2,2',3,4,4',5'-Hexachlorobiphenyl (BZ #138)" tableColumnId="4"/>
      <queryTableField id="5" name="2,2',4,4',5,5'-Hexachlorobiphenyl (BZ #153)" tableColumnId="5"/>
      <queryTableField id="6" name="Acenaphthene" tableColumnId="6"/>
      <queryTableField id="8" name="BHC-beta" tableColumnId="8"/>
      <queryTableField id="9" name="Caffeine" tableColumnId="9"/>
      <queryTableField id="11" name="DDE-p,p'" tableColumnId="11"/>
      <queryTableField id="12" name="DEHA (Di(2-ethylhexyl) adipate)" tableColumnId="12"/>
      <queryTableField id="13" name="DINCH (Diisononyl hexahydrophthalate)" tableColumnId="13"/>
      <queryTableField id="15" name="DPHP (Bis(2-propylheptyl) phthalate)" tableColumnId="15"/>
      <queryTableField id="16" name="EHS (2-Ethylhexyl salicylate)" tableColumnId="16"/>
      <queryTableField id="18" name="Estrone" tableColumnId="18"/>
      <queryTableField id="21" name="Fluorene" tableColumnId="21"/>
      <queryTableField id="22" name="Galaxolide" tableColumnId="22"/>
      <queryTableField id="23" name="OC (Octocrylene)" tableColumnId="23"/>
      <queryTableField id="24" name="Oxybenzone" tableColumnId="24"/>
      <queryTableField id="25" name="Phenanthrene" tableColumnId="25"/>
      <queryTableField id="45" dataBound="0" tableColumnId="1"/>
      <queryTableField id="46" dataBound="0" tableColumnId="2"/>
      <queryTableField id="28" name="Tetraconazole" tableColumnId="28"/>
      <queryTableField id="30" name="Triphenyl phosphate" tableColumnId="30"/>
      <queryTableField id="31" name="UV 328" tableColumnId="31"/>
      <queryTableField id="32" name="Uvinul A Plus" tableColumnId="32"/>
    </queryTableFields>
    <queryTableDeletedFields count="11">
      <deletedField name="(-)-Cotinine"/>
      <deletedField name="17α-Ethinylestradiol"/>
      <deletedField name="Diphenylamine"/>
      <deletedField name="Fipronil"/>
      <deletedField name="Fludioxonil"/>
      <deletedField name="TDCPP"/>
      <deletedField name="Tebuconazole"/>
      <deletedField name="Tonalid sum"/>
      <deletedField name="Cypermethrin"/>
      <deletedField name="Avobenzone"/>
      <deletedField name="Epoxiconazol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01616C99-891A-4E15-A793-7AE3500FBF3A}" autoFormatId="16" applyNumberFormats="0" applyBorderFormats="0" applyFontFormats="0" applyPatternFormats="0" applyAlignmentFormats="0" applyWidthHeightFormats="0">
  <queryTableRefresh nextId="50" unboundColumnsLeft="12" unboundColumnsRight="1">
    <queryTableFields count="37">
      <queryTableField id="33" dataBound="0" tableColumnId="33"/>
      <queryTableField id="43" dataBound="0" tableColumnId="43"/>
      <queryTableField id="42" dataBound="0" tableColumnId="42"/>
      <queryTableField id="41" dataBound="0" tableColumnId="41"/>
      <queryTableField id="49" dataBound="0" tableColumnId="20"/>
      <queryTableField id="40" dataBound="0" tableColumnId="40"/>
      <queryTableField id="39" dataBound="0" tableColumnId="39"/>
      <queryTableField id="38" dataBound="0" tableColumnId="38"/>
      <queryTableField id="37" dataBound="0" tableColumnId="37"/>
      <queryTableField id="36" dataBound="0" tableColumnId="36"/>
      <queryTableField id="35" dataBound="0" tableColumnId="35"/>
      <queryTableField id="48" dataBound="0" tableColumnId="19"/>
      <queryTableField id="3" name="2,2',3,4,4',5,5'-Heptachlorobiphenyl (BZ #180)" tableColumnId="3"/>
      <queryTableField id="4" name="2,2',3,4,4',5'-Hexachlorobiphenyl (BZ #138)" tableColumnId="4"/>
      <queryTableField id="5" name="2,2',4,4',5,5'-Hexachlorobiphenyl (BZ #153)" tableColumnId="5"/>
      <queryTableField id="45" dataBound="0" tableColumnId="2"/>
      <queryTableField id="44" dataBound="0" tableColumnId="1"/>
      <queryTableField id="6" name="Acenaphthene" tableColumnId="6"/>
      <queryTableField id="7" name="Avobenzone" tableColumnId="7"/>
      <queryTableField id="8" name="BHC-beta" tableColumnId="8"/>
      <queryTableField id="9" name="Caffeine" tableColumnId="9"/>
      <queryTableField id="11" name="DDE-p,p'" tableColumnId="11"/>
      <queryTableField id="12" name="DEHA (Di(2-ethylhexyl) adipate)" tableColumnId="12"/>
      <queryTableField id="13" name="DINCH (Diisononyl hexahydrophthalate)" tableColumnId="13"/>
      <queryTableField id="14" name="Diphenylamine" tableColumnId="14"/>
      <queryTableField id="15" name="DPHP (Bis(2-propylheptyl) phthalate)" tableColumnId="15"/>
      <queryTableField id="16" name="EHS (2-Ethylhexyl salicylate)" tableColumnId="16"/>
      <queryTableField id="18" name="Estrone" tableColumnId="18"/>
      <queryTableField id="21" name="Fluorene" tableColumnId="21"/>
      <queryTableField id="22" name="Galaxolide" tableColumnId="22"/>
      <queryTableField id="23" name="OC (Octocrylene)" tableColumnId="23"/>
      <queryTableField id="24" name="Oxybenzone" tableColumnId="24"/>
      <queryTableField id="25" name="Phenanthrene" tableColumnId="25"/>
      <queryTableField id="30" name="Triphenyl phosphate" tableColumnId="30"/>
      <queryTableField id="31" name="UV 328" tableColumnId="31"/>
      <queryTableField id="32" name="Uvinul A Plus" tableColumnId="32"/>
      <queryTableField id="47" dataBound="0" tableColumnId="17"/>
    </queryTableFields>
    <queryTableDeletedFields count="10">
      <deletedField name="(-)-Cotinine"/>
      <deletedField name="17α-Ethinylestradiol"/>
      <deletedField name="Cypermethrin"/>
      <deletedField name="Epoxiconazole"/>
      <deletedField name="Fipronil"/>
      <deletedField name="Tebuconazole"/>
      <deletedField name="Tetraconazole"/>
      <deletedField name="Tonalid sum"/>
      <deletedField name="Fludioxonil"/>
      <deletedField name="TDCPP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57417BB1-AF4A-4225-B6BF-B0EBA9B0858A}" autoFormatId="16" applyNumberFormats="0" applyBorderFormats="0" applyFontFormats="0" applyPatternFormats="0" applyAlignmentFormats="0" applyWidthHeightFormats="0">
  <queryTableRefresh nextId="52" unboundColumnsLeft="11">
    <queryTableFields count="42">
      <queryTableField id="33" dataBound="0" tableColumnId="33"/>
      <queryTableField id="43" dataBound="0" tableColumnId="43"/>
      <queryTableField id="42" dataBound="0" tableColumnId="42"/>
      <queryTableField id="41" dataBound="0" tableColumnId="41"/>
      <queryTableField id="51" dataBound="0" tableColumnId="10"/>
      <queryTableField id="40" dataBound="0" tableColumnId="40"/>
      <queryTableField id="39" dataBound="0" tableColumnId="39"/>
      <queryTableField id="38" dataBound="0" tableColumnId="38"/>
      <queryTableField id="37" dataBound="0" tableColumnId="37"/>
      <queryTableField id="36" dataBound="0" tableColumnId="36"/>
      <queryTableField id="35" dataBound="0" tableColumnId="35"/>
      <queryTableField id="1" name="(-)-Cotinine" tableColumnId="1"/>
      <queryTableField id="46" dataBound="0" tableColumnId="44"/>
      <queryTableField id="3" name="2,2',3,4,4',5,5'-Heptachlorobiphenyl (BZ #180)" tableColumnId="3"/>
      <queryTableField id="4" name="2,2',3,4,4',5'-Hexachlorobiphenyl (BZ #138)" tableColumnId="4"/>
      <queryTableField id="5" name="2,2',4,4',5,5'-Hexachlorobiphenyl (BZ #153)" tableColumnId="5"/>
      <queryTableField id="44" dataBound="0" tableColumnId="2"/>
      <queryTableField id="47" dataBound="0" tableColumnId="45"/>
      <queryTableField id="6" name="Acenaphthene" tableColumnId="6"/>
      <queryTableField id="7" name="Avobenzone" tableColumnId="7"/>
      <queryTableField id="8" name="BHC-beta" tableColumnId="8"/>
      <queryTableField id="48" dataBound="0" tableColumnId="46"/>
      <queryTableField id="9" name="Caffeine" tableColumnId="9"/>
      <queryTableField id="11" name="DDE-p,p'" tableColumnId="11"/>
      <queryTableField id="12" name="DEHA (Di(2-ethylhexyl) adipate)" tableColumnId="12"/>
      <queryTableField id="13" name="DINCH (Diisononyl hexahydrophthalate)" tableColumnId="13"/>
      <queryTableField id="14" name="Diphenylamine" tableColumnId="14"/>
      <queryTableField id="15" name="DPHP (Bis(2-propylheptyl) phthalate)" tableColumnId="15"/>
      <queryTableField id="16" name="EHS (2-Ethylhexyl salicylate)" tableColumnId="16"/>
      <queryTableField id="18" name="Estrone" tableColumnId="18"/>
      <queryTableField id="49" dataBound="0" tableColumnId="47"/>
      <queryTableField id="21" name="Fluorene" tableColumnId="21"/>
      <queryTableField id="22" name="Galaxolide" tableColumnId="22"/>
      <queryTableField id="23" name="OC (Octocrylene)" tableColumnId="23"/>
      <queryTableField id="24" name="Oxybenzone" tableColumnId="24"/>
      <queryTableField id="25" name="Phenanthrene" tableColumnId="25"/>
      <queryTableField id="50" dataBound="0" tableColumnId="48"/>
      <queryTableField id="26" name="TDCPP" tableColumnId="26"/>
      <queryTableField id="28" name="Tetraconazole" tableColumnId="28"/>
      <queryTableField id="30" name="Triphenyl phosphate" tableColumnId="30"/>
      <queryTableField id="31" name="UV 328" tableColumnId="31"/>
      <queryTableField id="32" name="Uvinul A Plus" tableColumnId="32"/>
    </queryTableFields>
    <queryTableDeletedFields count="7">
      <deletedField name="17α-Ethinylestradiol"/>
      <deletedField name="Cypermethrin"/>
      <deletedField name="Epoxiconazole"/>
      <deletedField name="Fipronil"/>
      <deletedField name="Fludioxonil"/>
      <deletedField name="Tebuconazole"/>
      <deletedField name="Tonalid sum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10297B35-8E71-426E-8549-7EC4AD97B38D}" autoFormatId="16" applyNumberFormats="0" applyBorderFormats="0" applyFontFormats="0" applyPatternFormats="0" applyAlignmentFormats="0" applyWidthHeightFormats="0">
  <queryTableRefresh nextId="47" unboundColumnsLeft="11">
    <queryTableFields count="35">
      <queryTableField id="33" dataBound="0" tableColumnId="33"/>
      <queryTableField id="43" dataBound="0" tableColumnId="43"/>
      <queryTableField id="42" dataBound="0" tableColumnId="42"/>
      <queryTableField id="41" dataBound="0" tableColumnId="41"/>
      <queryTableField id="40" dataBound="0" tableColumnId="40"/>
      <queryTableField id="39" dataBound="0" tableColumnId="39"/>
      <queryTableField id="38" dataBound="0" tableColumnId="38"/>
      <queryTableField id="37" dataBound="0" tableColumnId="37"/>
      <queryTableField id="36" dataBound="0" tableColumnId="36"/>
      <queryTableField id="35" dataBound="0" tableColumnId="35"/>
      <queryTableField id="46" dataBound="0" tableColumnId="2"/>
      <queryTableField id="3" name="2,2',3,4,4',5,5'-Heptachlorobiphenyl (BZ #180)" tableColumnId="3"/>
      <queryTableField id="4" name="2,2',3,4,4',5'-Hexachlorobiphenyl (BZ #138)" tableColumnId="4"/>
      <queryTableField id="5" name="2,2',4,4',5,5'-Hexachlorobiphenyl (BZ #153)" tableColumnId="5"/>
      <queryTableField id="10" name="Cypermethrin" tableColumnId="10"/>
      <queryTableField id="6" name="Acenaphthene" tableColumnId="6"/>
      <queryTableField id="7" name="Avobenzone" tableColumnId="7"/>
      <queryTableField id="8" name="BHC-beta" tableColumnId="8"/>
      <queryTableField id="9" name="Caffeine" tableColumnId="9"/>
      <queryTableField id="11" name="DDE-p,p'" tableColumnId="11"/>
      <queryTableField id="12" name="DEHA (Di(2-ethylhexyl) adipate)" tableColumnId="12"/>
      <queryTableField id="13" name="DINCH (Diisononyl hexahydrophthalate)" tableColumnId="13"/>
      <queryTableField id="45" dataBound="0" tableColumnId="1"/>
      <queryTableField id="15" name="DPHP (Bis(2-propylheptyl) phthalate)" tableColumnId="15"/>
      <queryTableField id="16" name="EHS (2-Ethylhexyl salicylate)" tableColumnId="16"/>
      <queryTableField id="17" name="Epoxiconazole" tableColumnId="17"/>
      <queryTableField id="21" name="Fluorene" tableColumnId="21"/>
      <queryTableField id="22" name="Galaxolide" tableColumnId="22"/>
      <queryTableField id="23" name="OC (Octocrylene)" tableColumnId="23"/>
      <queryTableField id="24" name="Oxybenzone" tableColumnId="24"/>
      <queryTableField id="25" name="Phenanthrene" tableColumnId="25"/>
      <queryTableField id="28" name="Tetraconazole" tableColumnId="28"/>
      <queryTableField id="30" name="Triphenyl phosphate" tableColumnId="30"/>
      <queryTableField id="31" name="UV 328" tableColumnId="31"/>
      <queryTableField id="32" name="Uvinul A Plus" tableColumnId="32"/>
    </queryTableFields>
    <queryTableDeletedFields count="9">
      <deletedField name="(-)-Cotinine"/>
      <deletedField name="17α-Ethinylestradiol"/>
      <deletedField name="Diphenylamine"/>
      <deletedField name="Fipronil"/>
      <deletedField name="Fludioxonil"/>
      <deletedField name="TDCPP"/>
      <deletedField name="Tebuconazole"/>
      <deletedField name="Tonalid sum"/>
      <deletedField name="Estrone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D61A92EB-9CA7-4E70-A72D-0C7030DC8672}" autoFormatId="16" applyNumberFormats="0" applyBorderFormats="0" applyFontFormats="0" applyPatternFormats="0" applyAlignmentFormats="0" applyWidthHeightFormats="0">
  <queryTableRefresh nextId="48" unboundColumnsLeft="10" unboundColumnsRight="1">
    <queryTableFields count="38">
      <queryTableField id="33" dataBound="0" tableColumnId="33"/>
      <queryTableField id="43" dataBound="0" tableColumnId="43"/>
      <queryTableField id="42" dataBound="0" tableColumnId="42"/>
      <queryTableField id="41" dataBound="0" tableColumnId="41"/>
      <queryTableField id="40" dataBound="0" tableColumnId="40"/>
      <queryTableField id="39" dataBound="0" tableColumnId="39"/>
      <queryTableField id="38" dataBound="0" tableColumnId="38"/>
      <queryTableField id="37" dataBound="0" tableColumnId="37"/>
      <queryTableField id="36" dataBound="0" tableColumnId="36"/>
      <queryTableField id="35" dataBound="0" tableColumnId="35"/>
      <queryTableField id="3" name="2,2',3,4,4',5,5'-Heptachlorobiphenyl (BZ #180)" tableColumnId="3"/>
      <queryTableField id="4" name="2,2',3,4,4',5'-Hexachlorobiphenyl (BZ #138)" tableColumnId="4"/>
      <queryTableField id="5" name="2,2',4,4',5,5'-Hexachlorobiphenyl (BZ #153)" tableColumnId="5"/>
      <queryTableField id="45" dataBound="0" tableColumnId="2"/>
      <queryTableField id="44" dataBound="0" tableColumnId="1"/>
      <queryTableField id="6" name="Acenaphthene" tableColumnId="6"/>
      <queryTableField id="7" name="Avobenzone" tableColumnId="7"/>
      <queryTableField id="8" name="BHC-beta" tableColumnId="8"/>
      <queryTableField id="9" name="Caffeine" tableColumnId="9"/>
      <queryTableField id="11" name="DDE-p,p'" tableColumnId="11"/>
      <queryTableField id="12" name="DEHA (Di(2-ethylhexyl) adipate)" tableColumnId="12"/>
      <queryTableField id="46" dataBound="0" tableColumnId="10"/>
      <queryTableField id="13" name="DINCH (Diisononyl hexahydrophthalate)" tableColumnId="13"/>
      <queryTableField id="14" name="Diphenylamine" tableColumnId="14"/>
      <queryTableField id="15" name="DPHP (Bis(2-propylheptyl) phthalate)" tableColumnId="15"/>
      <queryTableField id="16" name="EHS (2-Ethylhexyl salicylate)" tableColumnId="16"/>
      <queryTableField id="18" name="Estrone" tableColumnId="18"/>
      <queryTableField id="20" name="Fludioxonil" tableColumnId="20"/>
      <queryTableField id="21" name="Fluorene" tableColumnId="21"/>
      <queryTableField id="22" name="Galaxolide" tableColumnId="22"/>
      <queryTableField id="23" name="OC (Octocrylene)" tableColumnId="23"/>
      <queryTableField id="24" name="Oxybenzone" tableColumnId="24"/>
      <queryTableField id="25" name="Phenanthrene" tableColumnId="25"/>
      <queryTableField id="26" name="TDCPP" tableColumnId="26"/>
      <queryTableField id="30" name="Triphenyl phosphate" tableColumnId="30"/>
      <queryTableField id="31" name="UV 328" tableColumnId="31"/>
      <queryTableField id="32" name="Uvinul A Plus" tableColumnId="32"/>
      <queryTableField id="47" dataBound="0" tableColumnId="17"/>
    </queryTableFields>
    <queryTableDeletedFields count="8">
      <deletedField name="(-)-Cotinine"/>
      <deletedField name="17α-Ethinylestradiol"/>
      <deletedField name="Cypermethrin"/>
      <deletedField name="Epoxiconazole"/>
      <deletedField name="Fipronil"/>
      <deletedField name="Tebuconazole"/>
      <deletedField name="Tetraconazole"/>
      <deletedField name="Tonalid sum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83D5B1-7A59-4BC7-A8EF-957283F76830}" name="Tabelle1_14" displayName="Tabelle1_14" ref="A1:AH14" tableType="queryTable" totalsRowShown="0" headerRowDxfId="350" dataDxfId="348" headerRowBorderDxfId="349">
  <autoFilter ref="A1:AH14" xr:uid="{E4D117BD-AE65-4C8F-B920-74F9415409F6}"/>
  <sortState xmlns:xlrd2="http://schemas.microsoft.com/office/spreadsheetml/2017/richdata2" ref="A2:AH14">
    <sortCondition ref="A1:A14"/>
  </sortState>
  <tableColumns count="34">
    <tableColumn id="33" xr3:uid="{618DAB73-7F6E-463E-9102-9ADD3D239795}" uniqueName="33" name="Probennummer A" queryTableFieldId="33" dataDxfId="347"/>
    <tableColumn id="43" xr3:uid="{754B9F81-337B-4681-A066-FD6F8D21E3A4}" uniqueName="43" name="Interne Nummer" queryTableFieldId="43" dataDxfId="346"/>
    <tableColumn id="42" xr3:uid="{893B7D26-01B6-4BCF-A8EF-194075885C22}" uniqueName="42" name="Tierart" queryTableFieldId="42" dataDxfId="345"/>
    <tableColumn id="41" xr3:uid="{A9D2BEC8-24FD-4398-91F4-8F05972DBD94}" uniqueName="41" name="Geschlecht" queryTableFieldId="41" dataDxfId="344"/>
    <tableColumn id="40" xr3:uid="{2B090BE7-1A14-4FFC-B22C-AFC8ED1248BE}" uniqueName="40" name="Alter" queryTableFieldId="40" dataDxfId="343"/>
    <tableColumn id="39" xr3:uid="{BE51B2ED-9093-4E56-87F9-EC4CAD990785}" uniqueName="39" name="Datum Erlegung" queryTableFieldId="39" dataDxfId="342"/>
    <tableColumn id="38" xr3:uid="{7CE2639F-0CF1-4C70-9EDE-5C170AEACDEE}" uniqueName="38" name="Gewicht [kg]" queryTableFieldId="38" dataDxfId="341"/>
    <tableColumn id="37" xr3:uid="{56180592-D880-4C35-95E6-8E2407410CB2}" uniqueName="37" name="x" queryTableFieldId="37" dataDxfId="340"/>
    <tableColumn id="36" xr3:uid="{217A8DA2-A902-4299-A551-00874294171C}" uniqueName="36" name="y" queryTableFieldId="36" dataDxfId="339"/>
    <tableColumn id="35" xr3:uid="{EB689A9E-80B1-46CB-A90C-F384918266F0}" uniqueName="35" name="Bemerkung" queryTableFieldId="35" dataDxfId="338"/>
    <tableColumn id="3" xr3:uid="{C0C48655-64FB-4BAC-8CB6-C637A559ECBB}" uniqueName="3" name="2,2',3,4,4',5,5'-Heptachlorobiphenyl (PCB #180)" queryTableFieldId="3" dataDxfId="337"/>
    <tableColumn id="4" xr3:uid="{E6DFEA8A-8DF9-43F7-84C3-5FFB11E93E25}" uniqueName="4" name="2,2',3,4,4',5'-Hexachlorobiphenyl (PCB #138)" queryTableFieldId="4" dataDxfId="336"/>
    <tableColumn id="5" xr3:uid="{8E630F67-F8A8-42B6-AD0A-6340F078B435}" uniqueName="5" name="2,2',4,4',5,5'-Hexachlorobiphenyl (PCB #153)" queryTableFieldId="5" dataDxfId="335"/>
    <tableColumn id="10" xr3:uid="{C868C6B2-39F5-46BC-AEB1-79A8CB008BD2}" uniqueName="10" name="2,2',4,5,5'-Pentachlorobiphenyl (PCB #101)" queryTableFieldId="10" dataDxfId="334"/>
    <tableColumn id="6" xr3:uid="{4AD63F9F-C7EA-45D0-A06E-C6DA4D35DADC}" uniqueName="6" name="Acenaphthene" queryTableFieldId="6" dataDxfId="333"/>
    <tableColumn id="7" xr3:uid="{434EBED3-C693-4701-A2DF-4BFA657BDE50}" uniqueName="7" name="Avobenzone" queryTableFieldId="7" dataDxfId="332"/>
    <tableColumn id="8" xr3:uid="{F0552DF5-DE1A-41AD-ABC2-7E998900CE94}" uniqueName="8" name="BHC-beta" queryTableFieldId="8" dataDxfId="331"/>
    <tableColumn id="9" xr3:uid="{DF33400A-D6E1-4EA3-B8C4-369BE7AE1118}" uniqueName="9" name="Caffeine" queryTableFieldId="9" dataDxfId="330"/>
    <tableColumn id="11" xr3:uid="{0B7AEFCB-1C89-4595-BC67-C116600ED35D}" uniqueName="11" name="DDE-p,p'" queryTableFieldId="11" dataDxfId="329"/>
    <tableColumn id="12" xr3:uid="{46FA7F12-3ACA-4274-8E34-EF2A30B5278A}" uniqueName="12" name="DEHA (Di(2-ethylhexyl) adipate)" queryTableFieldId="12" dataDxfId="328"/>
    <tableColumn id="13" xr3:uid="{0CEA8BBB-3EFF-4866-9135-7449416C1531}" uniqueName="13" name="DINCH (Diisononyl hexahydrophthalate)" queryTableFieldId="13" dataDxfId="327"/>
    <tableColumn id="15" xr3:uid="{D82018BA-2D42-4929-90E4-BE7CE996D635}" uniqueName="15" name="DPHP (Bis(2-propylheptyl) phthalate)" queryTableFieldId="15" dataDxfId="326"/>
    <tableColumn id="16" xr3:uid="{E331DEA5-0576-4F05-841A-02125ABAE245}" uniqueName="16" name="EHS (2-Ethylhexyl salicylate)" queryTableFieldId="16" dataDxfId="325"/>
    <tableColumn id="17" xr3:uid="{1388EAF8-CF02-4413-8148-C23866FB661D}" uniqueName="17" name="Epoxiconazole" queryTableFieldId="17" dataDxfId="324"/>
    <tableColumn id="18" xr3:uid="{F71F2334-9929-4EA9-84D1-2D6FBA21BD9F}" uniqueName="18" name="Flupyram" queryTableFieldId="18" dataDxfId="323"/>
    <tableColumn id="21" xr3:uid="{EBC69955-CCFC-4424-A3E9-C38CC933E5E4}" uniqueName="21" name="Fluorene" queryTableFieldId="21" dataDxfId="322"/>
    <tableColumn id="22" xr3:uid="{E465E723-78D5-4267-97FE-15714D3AD7C8}" uniqueName="22" name="Galaxolide" queryTableFieldId="22" dataDxfId="321"/>
    <tableColumn id="23" xr3:uid="{7A8A6FAD-2CA8-4B84-9F86-3FA15E53A510}" uniqueName="23" name="OC (Octocrylene)" queryTableFieldId="23" dataDxfId="320"/>
    <tableColumn id="24" xr3:uid="{40350BD9-672E-4233-97FA-05756CEA537D}" uniqueName="24" name="Oxybenzone" queryTableFieldId="24" dataDxfId="319"/>
    <tableColumn id="25" xr3:uid="{DF214554-EB88-4927-BC3F-987DD93AB5BB}" uniqueName="25" name="Phenanthrene" queryTableFieldId="25" dataDxfId="318"/>
    <tableColumn id="28" xr3:uid="{2B650DCA-BB05-4815-A7BD-A1AE55A01771}" uniqueName="28" name="Tetraconazole" queryTableFieldId="28" dataDxfId="317"/>
    <tableColumn id="30" xr3:uid="{D059C075-C935-4CC9-B5D5-2E5F807A052C}" uniqueName="30" name="Triphenyl phosphate" queryTableFieldId="30" dataDxfId="316"/>
    <tableColumn id="31" xr3:uid="{C1051FBA-5303-48F3-9A02-919A18B630FB}" uniqueName="31" name="UV 328" queryTableFieldId="31" dataDxfId="315"/>
    <tableColumn id="32" xr3:uid="{D2CC21F4-86DE-46BB-AAED-49E23ED611AA}" uniqueName="32" name="Uvinul A Plus" queryTableFieldId="32" dataDxfId="314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D117BD-AE65-4C8F-B920-74F9415409F6}" name="Tabelle1_1" displayName="Tabelle1_1" ref="A1:AP57" tableType="queryTable" totalsRowShown="0" headerRowDxfId="313" dataDxfId="311" headerRowBorderDxfId="312">
  <autoFilter ref="A1:AP57" xr:uid="{E4D117BD-AE65-4C8F-B920-74F9415409F6}"/>
  <sortState xmlns:xlrd2="http://schemas.microsoft.com/office/spreadsheetml/2017/richdata2" ref="A2:AP56">
    <sortCondition ref="A1:A56"/>
  </sortState>
  <tableColumns count="42">
    <tableColumn id="33" xr3:uid="{CFC9CC60-F2C5-4280-B4DF-ED933F1A2550}" uniqueName="33" name="Probennummer C" queryTableFieldId="33" dataDxfId="310"/>
    <tableColumn id="43" xr3:uid="{7FBC7E06-C294-41CC-BE4F-A89A7A99381E}" uniqueName="43" name="Interne Nummer" queryTableFieldId="43" dataDxfId="309"/>
    <tableColumn id="42" xr3:uid="{26991DB7-1DD7-4CB1-AAA0-B9D5A58347EA}" uniqueName="42" name="Tierart" queryTableFieldId="42" dataDxfId="308"/>
    <tableColumn id="41" xr3:uid="{F379A899-D00C-4EC6-AD1B-992BF8916FDA}" uniqueName="41" name="Geschlecht" queryTableFieldId="41" dataDxfId="307"/>
    <tableColumn id="40" xr3:uid="{51023E2E-6FB4-4631-BF47-7CB253F23D5F}" uniqueName="40" name="Alter" queryTableFieldId="40" dataDxfId="306"/>
    <tableColumn id="39" xr3:uid="{6508CCFD-2F81-424A-8C44-445B0866388A}" uniqueName="39" name="Datum Erlegung" queryTableFieldId="39" dataDxfId="305"/>
    <tableColumn id="38" xr3:uid="{D3AFB527-50DA-4EB1-885A-3CA57DF9A3A7}" uniqueName="38" name="Gewicht [kg]" queryTableFieldId="38" dataDxfId="304"/>
    <tableColumn id="37" xr3:uid="{1F7F3147-2244-4054-9C15-176CE7914FAC}" uniqueName="37" name="x" queryTableFieldId="37" dataDxfId="303"/>
    <tableColumn id="36" xr3:uid="{8C7AD8A7-3A04-4496-A394-8BF7BCF9A274}" uniqueName="36" name="y" queryTableFieldId="36" dataDxfId="302"/>
    <tableColumn id="35" xr3:uid="{6F5257A2-6B9E-45A0-9D6E-817C4FA8D397}" uniqueName="35" name="Bemerkung" queryTableFieldId="35" dataDxfId="301"/>
    <tableColumn id="1" xr3:uid="{F90826A2-98C8-422A-8D93-72C1660E8213}" uniqueName="1" name="(-)-Cotinine" queryTableFieldId="1" dataDxfId="300"/>
    <tableColumn id="2" xr3:uid="{9AB1C0D6-ACE0-4815-9BA5-2456FB0773C9}" uniqueName="2" name="17α-Ethinylestradiol" queryTableFieldId="2" dataDxfId="299"/>
    <tableColumn id="3" xr3:uid="{1FC8938A-0E08-491D-A81B-90C9B95E661C}" uniqueName="3" name="2,2',3,4,4',5,5'-Heptachlorobiphenyl (PCB #180)" queryTableFieldId="3" dataDxfId="298"/>
    <tableColumn id="4" xr3:uid="{2556B4AA-2B2E-4B7E-8BC9-5D85C86AAD9E}" uniqueName="4" name="2,2',3,4,4',5'-Hexachlorobiphenyl (PCB #138)" queryTableFieldId="4" dataDxfId="297"/>
    <tableColumn id="5" xr3:uid="{B725CFBC-9529-43C8-83F8-88279680311A}" uniqueName="5" name="2,2',4,4',5,5'-Hexachlorobiphenyl (PCB #153)" queryTableFieldId="5" dataDxfId="296"/>
    <tableColumn id="6" xr3:uid="{520D0BFF-2538-4814-9F38-E69662CE9631}" uniqueName="6" name="Acenaphthene" queryTableFieldId="6" dataDxfId="295"/>
    <tableColumn id="7" xr3:uid="{13687EA9-EF43-4231-811C-B072D3A3497A}" uniqueName="7" name="Avobenzone" queryTableFieldId="7" dataDxfId="294"/>
    <tableColumn id="8" xr3:uid="{C9CEDAEC-168F-4767-B9EA-1D1C7BC7EAFF}" uniqueName="8" name="BHC-beta" queryTableFieldId="8" dataDxfId="293"/>
    <tableColumn id="9" xr3:uid="{46388DE5-9890-4F82-82DA-58078258DA8E}" uniqueName="9" name="Caffeine" queryTableFieldId="9" dataDxfId="292"/>
    <tableColumn id="10" xr3:uid="{06D36893-BC49-42FF-9B88-EA3D1CC01AFA}" uniqueName="10" name="Cypermethrin" queryTableFieldId="10" dataDxfId="291"/>
    <tableColumn id="11" xr3:uid="{6B3652BE-96A5-45D9-8A3E-C95D6FB8A8E5}" uniqueName="11" name="DDE-p,p'" queryTableFieldId="11" dataDxfId="290"/>
    <tableColumn id="12" xr3:uid="{B63B8431-3554-44F7-8E28-7C118CC50F78}" uniqueName="12" name="DEHA (Di(2-ethylhexyl) adipate)" queryTableFieldId="12" dataDxfId="289"/>
    <tableColumn id="13" xr3:uid="{4B782DF2-B060-4EA2-82EC-6724A885CA0C}" uniqueName="13" name="DINCH (Diisononyl hexahydrophthalate)" queryTableFieldId="13" dataDxfId="288"/>
    <tableColumn id="14" xr3:uid="{A52C05C1-66E0-4815-9A72-B317312DB843}" uniqueName="14" name="Diphenylamine" queryTableFieldId="14" dataDxfId="287"/>
    <tableColumn id="15" xr3:uid="{EF8D56EC-6B50-484B-B7D7-842AAA1B994F}" uniqueName="15" name="DPHP (Bis(2-propylheptyl) phthalate)" queryTableFieldId="15" dataDxfId="286"/>
    <tableColumn id="16" xr3:uid="{57648716-1F65-45B2-BF86-F740CDD0A116}" uniqueName="16" name="EHS (2-Ethylhexyl salicylate)" queryTableFieldId="16" dataDxfId="285"/>
    <tableColumn id="17" xr3:uid="{8E573F07-062B-4B26-BCEA-368E11D07B39}" uniqueName="17" name="Epoxiconazole" queryTableFieldId="17" dataDxfId="284"/>
    <tableColumn id="18" xr3:uid="{2A226BDE-5EAF-479F-B35C-9F6B4FDF9D69}" uniqueName="18" name="Estrone" queryTableFieldId="18" dataDxfId="283"/>
    <tableColumn id="19" xr3:uid="{3A87A00C-8D77-444A-8145-3A2217AE846E}" uniqueName="19" name="Fipronil" queryTableFieldId="19" dataDxfId="282"/>
    <tableColumn id="20" xr3:uid="{D0F1C07F-CEB8-4BE9-AFA1-B444C6DBA3E2}" uniqueName="20" name="Fludioxonil" queryTableFieldId="20" dataDxfId="281"/>
    <tableColumn id="21" xr3:uid="{2633E74C-F8FD-4AAD-9F52-9C06D003E95D}" uniqueName="21" name="Fluorene" queryTableFieldId="21" dataDxfId="280"/>
    <tableColumn id="22" xr3:uid="{DDE0BB02-EE75-49F3-A7F0-E5FBE622B3D2}" uniqueName="22" name="Galaxolide" queryTableFieldId="22" dataDxfId="279"/>
    <tableColumn id="23" xr3:uid="{6BAB99F8-3953-49B4-BBF7-1B6F39D09E2D}" uniqueName="23" name="OC (Octocrylene)" queryTableFieldId="23" dataDxfId="278"/>
    <tableColumn id="24" xr3:uid="{A9732A3B-555A-4272-AF54-B79A3F3A474B}" uniqueName="24" name="Oxybenzone" queryTableFieldId="24" dataDxfId="277"/>
    <tableColumn id="25" xr3:uid="{2C0A6061-F0CB-43BD-B59B-192A02F7F028}" uniqueName="25" name="Phenanthrene" queryTableFieldId="25" dataDxfId="276"/>
    <tableColumn id="26" xr3:uid="{58BE218F-5350-4363-98F0-3DDA925AEF9C}" uniqueName="26" name="TDCPP" queryTableFieldId="26" dataDxfId="275"/>
    <tableColumn id="27" xr3:uid="{DD06B0B8-71F5-40AC-AF3A-D936DCD4922E}" uniqueName="27" name="Tebuconazole" queryTableFieldId="27" dataDxfId="274"/>
    <tableColumn id="28" xr3:uid="{0D9C2842-F889-447A-8D2F-07C78F6C1FB9}" uniqueName="28" name="Tetraconazole" queryTableFieldId="28" dataDxfId="273"/>
    <tableColumn id="29" xr3:uid="{D29195B9-C2A9-47BB-94A2-D8F2EA31AD7E}" uniqueName="29" name="Tonalid " queryTableFieldId="29" dataDxfId="272"/>
    <tableColumn id="30" xr3:uid="{34C870A8-5C24-4759-AFE2-C515B4BCF955}" uniqueName="30" name="Triphenyl phosphate" queryTableFieldId="30" dataDxfId="271"/>
    <tableColumn id="31" xr3:uid="{54ABBC3E-734D-47B3-9B25-D060E80B9860}" uniqueName="31" name="UV 328" queryTableFieldId="31" dataDxfId="270"/>
    <tableColumn id="32" xr3:uid="{5E884C6A-9516-477A-B48D-3D3B58B4E69D}" uniqueName="32" name="Uvinul A Plus" queryTableFieldId="32" dataDxfId="26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4702EB-D048-4856-88ED-B28C1746D09B}" name="Tabelle1_145" displayName="Tabelle1_145" ref="A1:AH12" tableType="queryTable" totalsRowShown="0" headerRowDxfId="268" dataDxfId="266" headerRowBorderDxfId="267">
  <autoFilter ref="A1:AH12" xr:uid="{E4D117BD-AE65-4C8F-B920-74F9415409F6}"/>
  <sortState xmlns:xlrd2="http://schemas.microsoft.com/office/spreadsheetml/2017/richdata2" ref="A2:AH12">
    <sortCondition ref="A1:A12"/>
  </sortState>
  <tableColumns count="34">
    <tableColumn id="33" xr3:uid="{9F345DE9-C479-4DE7-86D3-2A70045028A1}" uniqueName="33" name="Probennummer E" queryTableFieldId="33" dataDxfId="265"/>
    <tableColumn id="43" xr3:uid="{1F7BC839-C9E1-432D-8320-6839BB766E2A}" uniqueName="43" name="Interne Nummer" queryTableFieldId="43" dataDxfId="264"/>
    <tableColumn id="42" xr3:uid="{9C007FA3-853E-47FE-8B6C-90F67061C7D3}" uniqueName="42" name="Tierart" queryTableFieldId="42" dataDxfId="263"/>
    <tableColumn id="41" xr3:uid="{73D7EB91-3008-4F73-8BF7-9C5F26059162}" uniqueName="41" name="Geschlecht" queryTableFieldId="41" dataDxfId="262"/>
    <tableColumn id="7" xr3:uid="{90B6D470-C7E0-42CD-B5E8-9FB9FDEA7D72}" uniqueName="7" name="Alter" queryTableFieldId="47" dataDxfId="261"/>
    <tableColumn id="40" xr3:uid="{4DDE339D-6FA9-4AD9-82C6-E978C4F848EB}" uniqueName="40" name="Alter (vom Park angegeben)" queryTableFieldId="40" dataDxfId="260"/>
    <tableColumn id="39" xr3:uid="{3D9DA110-ED23-428B-9438-25DA4813115F}" uniqueName="39" name="Datum Erlegung" queryTableFieldId="39" dataDxfId="259"/>
    <tableColumn id="38" xr3:uid="{FD100905-5533-47E6-9548-B9E7AD929F40}" uniqueName="38" name="Gewicht [kg]" queryTableFieldId="38" dataDxfId="258"/>
    <tableColumn id="37" xr3:uid="{96CB9DB4-4C45-4EFB-91F1-27095FD63444}" uniqueName="37" name="Jagdbezirk" queryTableFieldId="37" dataDxfId="257"/>
    <tableColumn id="36" xr3:uid="{4A80DA05-3DF7-4E81-94A5-0478AE7493C7}" uniqueName="36" name="Revier Lang" queryTableFieldId="36" dataDxfId="256"/>
    <tableColumn id="35" xr3:uid="{053CDF1E-23A8-4013-82B6-FD96FA7C20B9}" uniqueName="35" name="Gemeinde" queryTableFieldId="35" dataDxfId="255"/>
    <tableColumn id="3" xr3:uid="{57D40B08-5D34-454A-B27B-8B68F81C659D}" uniqueName="3" name="(-)-Cotinine" queryTableFieldId="3" dataDxfId="254"/>
    <tableColumn id="4" xr3:uid="{5D9C5DB7-0A99-467E-A856-2695F16E35B5}" uniqueName="4" name="2,2',3,4,4',5'-Hexachlorobiphenyl (PCB #138)" queryTableFieldId="4" dataDxfId="253"/>
    <tableColumn id="5" xr3:uid="{EC5736AB-CF8D-4746-8668-1CC3AAAE2C3A}" uniqueName="5" name="2,2',4,4',5,5'-Hexachlorobiphenyl (PCB #153)" queryTableFieldId="5" dataDxfId="252"/>
    <tableColumn id="6" xr3:uid="{B7EC4E39-D997-4454-8EE2-B2DAFC0805B8}" uniqueName="6" name="Acenaphthene" queryTableFieldId="6" dataDxfId="251"/>
    <tableColumn id="8" xr3:uid="{87C79722-241E-46F9-874F-92BFC66FF917}" uniqueName="8" name="BHC-beta" queryTableFieldId="8" dataDxfId="250"/>
    <tableColumn id="9" xr3:uid="{5F433CDF-526D-420B-931E-E46138B2B917}" uniqueName="9" name="Caffeine" queryTableFieldId="9" dataDxfId="249"/>
    <tableColumn id="11" xr3:uid="{11B68623-6622-40E1-9E3C-C1C2AC91FAC4}" uniqueName="11" name="DDE-p,p'" queryTableFieldId="11" dataDxfId="248"/>
    <tableColumn id="12" xr3:uid="{648DE48D-DE4B-4583-969C-10073D2863DC}" uniqueName="12" name="DEHA (Di(2-ethylhexyl) adipate)" queryTableFieldId="12" dataDxfId="247"/>
    <tableColumn id="13" xr3:uid="{788D0C10-39AF-44D3-97A1-D7C980324015}" uniqueName="13" name="DINCH (Diisononyl hexahydrophthalate)" queryTableFieldId="13" dataDxfId="246"/>
    <tableColumn id="15" xr3:uid="{00908B46-B82A-4FA6-BEA2-27D099808FEC}" uniqueName="15" name="DPHP (Bis(2-propylheptyl) phthalate)" queryTableFieldId="15" dataDxfId="245"/>
    <tableColumn id="16" xr3:uid="{16107B3C-2C51-442B-B91A-98FDE5316C27}" uniqueName="16" name="EHS (2-Ethylhexyl salicylate)" queryTableFieldId="16" dataDxfId="244"/>
    <tableColumn id="18" xr3:uid="{D70DA5BD-A68E-4AE0-AB9F-84ED2BBE1483}" uniqueName="18" name="Flupyram" queryTableFieldId="18" dataDxfId="243"/>
    <tableColumn id="21" xr3:uid="{FACCEC4B-1522-49A9-BB92-27C99783B174}" uniqueName="21" name="Fluorene" queryTableFieldId="21" dataDxfId="242"/>
    <tableColumn id="22" xr3:uid="{0B50299E-3EB6-4374-A611-F3886698854F}" uniqueName="22" name="Galaxolide" queryTableFieldId="22" dataDxfId="241"/>
    <tableColumn id="23" xr3:uid="{4BF16342-A9A0-407C-810F-0883750373AF}" uniqueName="23" name="OC (Octocrylene)" queryTableFieldId="23" dataDxfId="240"/>
    <tableColumn id="24" xr3:uid="{257DEB42-FE58-4229-9BAD-34EF040BD5F9}" uniqueName="24" name="Oxybenzone" queryTableFieldId="24" dataDxfId="239"/>
    <tableColumn id="25" xr3:uid="{1B2EC613-95E0-48FE-AD2C-E313887043F9}" uniqueName="25" name="Phenanthrene" queryTableFieldId="25" dataDxfId="238"/>
    <tableColumn id="1" xr3:uid="{EF3652BA-3527-474C-88A3-061A46B84E51}" uniqueName="1" name="Picolinafen" queryTableFieldId="45" dataDxfId="237"/>
    <tableColumn id="2" xr3:uid="{9F2ED4BA-83F5-4F92-B94D-D424139F9E10}" uniqueName="2" name="Tonalid" queryTableFieldId="46" dataDxfId="236"/>
    <tableColumn id="28" xr3:uid="{3F6B65DE-7B30-4653-9364-EDE71D9C6999}" uniqueName="28" name="Triclosan" queryTableFieldId="28" dataDxfId="235"/>
    <tableColumn id="30" xr3:uid="{A85B7BFB-123D-423D-A0CE-1E6C6A8B9B45}" uniqueName="30" name="Triphenyl phosphate" queryTableFieldId="30" dataDxfId="234"/>
    <tableColumn id="31" xr3:uid="{130F4554-7AA9-4565-9264-B7D106F5E207}" uniqueName="31" name="UV 328" queryTableFieldId="31" dataDxfId="233"/>
    <tableColumn id="32" xr3:uid="{457A85C9-F60D-4CA9-9834-FA38DC790481}" uniqueName="32" name="Uvinul A Plus" queryTableFieldId="32" dataDxfId="23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4953F5E-7439-4598-8A43-FA0D49CE64CD}" name="Tabelle1_169" displayName="Tabelle1_169" ref="A1:AK53" tableType="queryTable" totalsRowShown="0" headerRowDxfId="231" dataDxfId="229" headerRowBorderDxfId="230">
  <autoFilter ref="A1:AK53" xr:uid="{E4D117BD-AE65-4C8F-B920-74F9415409F6}"/>
  <sortState xmlns:xlrd2="http://schemas.microsoft.com/office/spreadsheetml/2017/richdata2" ref="A2:AJ53">
    <sortCondition ref="A1:A53"/>
  </sortState>
  <tableColumns count="37">
    <tableColumn id="33" xr3:uid="{59F56646-474C-4A54-ADB0-432E30DA77BD}" uniqueName="33" name="Probennummer F" queryTableFieldId="33" dataDxfId="228"/>
    <tableColumn id="43" xr3:uid="{4DDB829C-B18A-4486-85F9-A599C728F91B}" uniqueName="43" name="Interne Nummer" queryTableFieldId="43" dataDxfId="227"/>
    <tableColumn id="42" xr3:uid="{57539325-BE69-4FE4-A84D-310F3467A0AE}" uniqueName="42" name="Tierart" queryTableFieldId="42" dataDxfId="226"/>
    <tableColumn id="41" xr3:uid="{58F58D2C-7397-44C7-AA76-EC355C64822F}" uniqueName="41" name="Geschlecht" queryTableFieldId="41" dataDxfId="225"/>
    <tableColumn id="20" xr3:uid="{9D13E6AE-5BFB-49C5-8F9C-003E90F514F7}" uniqueName="20" name="Alter" queryTableFieldId="49" dataDxfId="224"/>
    <tableColumn id="40" xr3:uid="{F0AC34B8-4A78-4F1A-9AF1-304841597AAD}" uniqueName="40" name="Alter (vom Park angegeben)" queryTableFieldId="40" dataDxfId="223"/>
    <tableColumn id="39" xr3:uid="{8488FF22-BA20-4EB2-BE5C-B5F8704A8AAE}" uniqueName="39" name="Datum Erlegung" queryTableFieldId="39" dataDxfId="222"/>
    <tableColumn id="38" xr3:uid="{895A4962-BD7C-4DA0-BF52-AF6BD8FAA48A}" uniqueName="38" name="Gewicht [kg]" queryTableFieldId="38" dataDxfId="221"/>
    <tableColumn id="37" xr3:uid="{A097D588-7694-4E67-A154-CDDF1C43FF1F}" uniqueName="37" name="x" queryTableFieldId="37" dataDxfId="220"/>
    <tableColumn id="36" xr3:uid="{C3AEF2A5-226E-4EB4-B469-17347AF063FD}" uniqueName="36" name="y" queryTableFieldId="36" dataDxfId="219"/>
    <tableColumn id="35" xr3:uid="{F3F99C10-7124-4403-B99D-91E00FD2BBD1}" uniqueName="35" name="Bemerkung" queryTableFieldId="35" dataDxfId="218"/>
    <tableColumn id="19" xr3:uid="{F98A5278-2F37-4CEC-A1A8-86420DFAC7B5}" uniqueName="19" name="(-)-Cotinine" queryTableFieldId="48" dataDxfId="217"/>
    <tableColumn id="3" xr3:uid="{5BDEB01F-58FB-4277-B230-09F7EABE048F}" uniqueName="3" name="2,2',3,4,4',5,5'-Heptachlorobiphenyl (PCB #180)" queryTableFieldId="3" dataDxfId="216"/>
    <tableColumn id="4" xr3:uid="{E938F38D-A30A-46B1-9455-FBFB5F4504B0}" uniqueName="4" name="2,2',3,4,4',5'-Hexachlorobiphenyl (PCB #138)" queryTableFieldId="4" dataDxfId="215"/>
    <tableColumn id="5" xr3:uid="{50E5C2E2-DFC8-4CE5-9D97-96ED540D11F1}" uniqueName="5" name="2,2',4,4',5,5'-Hexachlorobiphenyl (PCB #153)" queryTableFieldId="5" dataDxfId="214"/>
    <tableColumn id="2" xr3:uid="{51A99533-C1D2-4C78-AE51-81EFAB7B946B}" uniqueName="2" name="2,2',4,5,5'-Pentachlorobiphenyl (PCB #101)" queryTableFieldId="45" dataDxfId="213"/>
    <tableColumn id="1" xr3:uid="{4A9EC0E0-8C79-4D5A-9648-DC890B36D89E}" uniqueName="1" name="2,4,4'-Trichlorobiphenyl (PCB #52)" queryTableFieldId="44" dataDxfId="212"/>
    <tableColumn id="6" xr3:uid="{ECA97CA8-5212-4460-AB19-890075665094}" uniqueName="6" name="Acenaphthene" queryTableFieldId="6" dataDxfId="211"/>
    <tableColumn id="7" xr3:uid="{A3C4AD97-C571-4AC3-A1FB-4DBC1C5FAE72}" uniqueName="7" name="Avobenzone" queryTableFieldId="7" dataDxfId="210"/>
    <tableColumn id="8" xr3:uid="{A9FFF1BE-7FB8-4C0B-A6D2-62E9C1C5184A}" uniqueName="8" name="BHC-beta" queryTableFieldId="8" dataDxfId="209"/>
    <tableColumn id="9" xr3:uid="{D0DF8423-9A90-4313-9D0C-EDC89DD5D31F}" uniqueName="9" name="Caffeine" queryTableFieldId="9" dataDxfId="208"/>
    <tableColumn id="11" xr3:uid="{497E3937-047B-41F6-9A22-2B725B3A4CE8}" uniqueName="11" name="DDE-p,p'" queryTableFieldId="11" dataDxfId="207"/>
    <tableColumn id="12" xr3:uid="{DDAD512F-1968-4B4A-8F59-A3962959AB23}" uniqueName="12" name="DEHA (Di(2-ethylhexyl) adipate)" queryTableFieldId="12" dataDxfId="206"/>
    <tableColumn id="13" xr3:uid="{53351AA5-7F80-44E7-9E00-8EF5FA41F246}" uniqueName="13" name="DINCH (Diisononyl hexahydrophthalate)" queryTableFieldId="13" dataDxfId="205"/>
    <tableColumn id="14" xr3:uid="{899DC8AF-B925-4122-BE91-023032D42F31}" uniqueName="14" name="Diphenylamine" queryTableFieldId="14" dataDxfId="204"/>
    <tableColumn id="15" xr3:uid="{8F8C204B-7D13-4A24-BD3A-F87439E55D07}" uniqueName="15" name="DPHP (Bis(2-propylheptyl) phthalate)" queryTableFieldId="15" dataDxfId="203"/>
    <tableColumn id="16" xr3:uid="{FF4DFD27-615B-443A-854C-FB793B32BCCA}" uniqueName="16" name="EHS (2-Ethylhexyl salicylate)" queryTableFieldId="16" dataDxfId="202"/>
    <tableColumn id="18" xr3:uid="{257F0056-4AB8-4071-B1E0-0F462BF4FB67}" uniqueName="18" name="Estrone" queryTableFieldId="18" dataDxfId="201"/>
    <tableColumn id="21" xr3:uid="{945C8D9D-3B28-4903-B2FF-F3FC7A1AD37D}" uniqueName="21" name="Fluorene" queryTableFieldId="21" dataDxfId="200"/>
    <tableColumn id="22" xr3:uid="{1B7B9FB6-48C1-4601-B2D7-B969D7D3E347}" uniqueName="22" name="Galaxolide" queryTableFieldId="22" dataDxfId="199"/>
    <tableColumn id="23" xr3:uid="{1ADCC233-5987-476A-9E54-6704A95CC5F7}" uniqueName="23" name="OC (Octocrylene)" queryTableFieldId="23" dataDxfId="198"/>
    <tableColumn id="24" xr3:uid="{33A1CDA2-5A8D-4BDE-BF68-2F3BB46A776A}" uniqueName="24" name="Oxybenzone" queryTableFieldId="24" dataDxfId="197"/>
    <tableColumn id="25" xr3:uid="{D4CC7727-C5FF-45EE-84D6-6F1BDFFCFDBB}" uniqueName="25" name="Phenanthrene" queryTableFieldId="25" dataDxfId="196"/>
    <tableColumn id="30" xr3:uid="{4C8B1204-7B13-4E21-99B2-27C32BF7B498}" uniqueName="30" name="Tetraconazole" queryTableFieldId="30" dataDxfId="195"/>
    <tableColumn id="31" xr3:uid="{9860299C-050D-4EA8-8D9B-5184E0FEC660}" uniqueName="31" name="Triphenyl phosphate" queryTableFieldId="31" dataDxfId="194"/>
    <tableColumn id="32" xr3:uid="{BDAB1A27-2674-4C3A-88F4-DC7ACD5D0847}" uniqueName="32" name="UV 328" queryTableFieldId="32" dataDxfId="193"/>
    <tableColumn id="17" xr3:uid="{1B0D806C-BEDC-40FE-95B7-3DB87A15248B}" uniqueName="17" name="Uvinul A Plus" queryTableFieldId="47" dataDxfId="19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972E4C-72E9-44AD-8351-F5287597AF46}" name="Tabelle1_18" displayName="Tabelle1_18" ref="A1:AP51" tableType="queryTable" totalsRowShown="0" headerRowDxfId="191" dataDxfId="189" headerRowBorderDxfId="190">
  <autoFilter ref="A1:AP51" xr:uid="{E4D117BD-AE65-4C8F-B920-74F9415409F6}"/>
  <sortState xmlns:xlrd2="http://schemas.microsoft.com/office/spreadsheetml/2017/richdata2" ref="A2:AP51">
    <sortCondition ref="A1:A51"/>
  </sortState>
  <tableColumns count="42">
    <tableColumn id="33" xr3:uid="{D86FBF79-D05D-4FA2-A3D5-37C813B4B22B}" uniqueName="33" name="Probennummer G" queryTableFieldId="33" dataDxfId="188"/>
    <tableColumn id="43" xr3:uid="{73C65201-06EF-4E3E-8B78-18DDA312F7DB}" uniqueName="43" name="Interne Nummer" queryTableFieldId="43" dataDxfId="187"/>
    <tableColumn id="42" xr3:uid="{77E3DFBB-953E-4838-80BF-02B9D9C0162A}" uniqueName="42" name="Tierart" queryTableFieldId="42" dataDxfId="186"/>
    <tableColumn id="41" xr3:uid="{666E7C31-3D46-49CC-854C-DBF0D8C14436}" uniqueName="41" name="Geschlecht" queryTableFieldId="41" dataDxfId="185"/>
    <tableColumn id="10" xr3:uid="{841720D9-F935-456A-8631-14870A72BD6B}" uniqueName="10" name="Alter" queryTableFieldId="51" dataDxfId="184"/>
    <tableColumn id="40" xr3:uid="{D2E9844D-9A35-443E-92C2-0ACEB0A0D975}" uniqueName="40" name="Alter (vom Park angegeben)" queryTableFieldId="40" dataDxfId="183"/>
    <tableColumn id="39" xr3:uid="{85DB2247-7E67-448B-BA39-449CC761435B}" uniqueName="39" name="Datum Erlegung" queryTableFieldId="39" dataDxfId="182"/>
    <tableColumn id="38" xr3:uid="{9A6B4519-394C-4858-BB5F-C939CE867D75}" uniqueName="38" name="Gewicht [kg]" queryTableFieldId="38" dataDxfId="181"/>
    <tableColumn id="37" xr3:uid="{69F87671-421C-4F6D-B7C0-7A092115923B}" uniqueName="37" name="x" queryTableFieldId="37" dataDxfId="180"/>
    <tableColumn id="36" xr3:uid="{030C964F-D4EB-405B-BB55-32768410E704}" uniqueName="36" name="y" queryTableFieldId="36" dataDxfId="179"/>
    <tableColumn id="35" xr3:uid="{E4E04C31-6A5F-432B-837D-5C1C8D5499D5}" uniqueName="35" name="Bemerkung" queryTableFieldId="35" dataDxfId="178"/>
    <tableColumn id="1" xr3:uid="{01224627-751C-4ED7-B9D3-0131BBB3B9FA}" uniqueName="1" name="(-)-Cotinine" queryTableFieldId="1" dataDxfId="177"/>
    <tableColumn id="44" xr3:uid="{1D944DF1-685A-4809-A05E-EC2F53F9A6D6}" uniqueName="44" name="1,3-Dinitrobenzene" queryTableFieldId="46" dataDxfId="176"/>
    <tableColumn id="3" xr3:uid="{22F7B08B-6BD5-4848-9D60-CC9033DD91B5}" uniqueName="3" name="2,2',3,4,4',5,5'-Heptachlorobiphenyl (PCB #180)" queryTableFieldId="3" dataDxfId="175"/>
    <tableColumn id="4" xr3:uid="{B427C42E-62FC-47C0-822C-C4587230A9FB}" uniqueName="4" name="2,2',3,4,4',5'-Hexachlorobiphenyl (PCB #138)" queryTableFieldId="4" dataDxfId="174"/>
    <tableColumn id="5" xr3:uid="{BA3126C9-5DF1-42F3-8291-946FF33C3B86}" uniqueName="5" name="2,2',4,4',5,5'-Hexachlorobiphenyl (PCB #153)" queryTableFieldId="5" dataDxfId="173"/>
    <tableColumn id="2" xr3:uid="{E780070B-B23F-4939-8A0F-C3005F57C2DC}" uniqueName="2" name="2,2',4,4'-tetrabromodiphenyl ether (BDE-47)" queryTableFieldId="44" dataDxfId="172"/>
    <tableColumn id="45" xr3:uid="{12F56619-F4BC-4AAE-9EA2-EEB7F5BC580A}" uniqueName="45" name="2,2',5,5'-Tetrachlorobiphenyl (PCB #52)" queryTableFieldId="47" dataDxfId="171"/>
    <tableColumn id="6" xr3:uid="{01718781-FF55-473C-A2B3-B03D1F2E394C}" uniqueName="6" name="Acenaphthene" queryTableFieldId="6" dataDxfId="170"/>
    <tableColumn id="7" xr3:uid="{025268B9-B234-464D-8854-3869B0D33884}" uniqueName="7" name="Avobenzone" queryTableFieldId="7" dataDxfId="169"/>
    <tableColumn id="8" xr3:uid="{ED9918BF-727B-44DF-9525-D6AE2151EEF3}" uniqueName="8" name="BHC-beta" queryTableFieldId="8" dataDxfId="168"/>
    <tableColumn id="46" xr3:uid="{F9C86F5E-A4C5-407F-9FF3-AB861BC3B167}" uniqueName="46" name="Boscalid" queryTableFieldId="48" dataDxfId="167"/>
    <tableColumn id="9" xr3:uid="{EF09B716-AA10-4CB5-A3DC-BDC15F9A4D9B}" uniqueName="9" name="Caffeine" queryTableFieldId="9" dataDxfId="166"/>
    <tableColumn id="11" xr3:uid="{C1F96999-3D80-4687-B1B8-5CECE70774B9}" uniqueName="11" name="DDE-p,p'" queryTableFieldId="11" dataDxfId="165"/>
    <tableColumn id="12" xr3:uid="{9155EB54-3D1A-4165-8215-28744188807D}" uniqueName="12" name="DEHA (Di(2-ethylhexyl) adipate)" queryTableFieldId="12" dataDxfId="164"/>
    <tableColumn id="13" xr3:uid="{80868304-C4B9-4514-8C3D-332C67CA7238}" uniqueName="13" name="DINCH (Diisononyl hexahydrophthalate)" queryTableFieldId="13" dataDxfId="163"/>
    <tableColumn id="14" xr3:uid="{0CD35295-F8A7-4DCB-91F3-B4ABC3630F23}" uniqueName="14" name="Diphenylamine" queryTableFieldId="14" dataDxfId="162"/>
    <tableColumn id="15" xr3:uid="{B301D857-62A8-411A-B7FB-6F0211E7924D}" uniqueName="15" name="DPHP (Bis(2-propylheptyl) phthalate)" queryTableFieldId="15" dataDxfId="161"/>
    <tableColumn id="16" xr3:uid="{DA868846-B00B-4CE7-9C66-015521E4A75B}" uniqueName="16" name="EHS (2-Ethylhexyl salicylate)" queryTableFieldId="16" dataDxfId="160"/>
    <tableColumn id="18" xr3:uid="{BDEB8446-1D74-42A6-A42F-391F60DDBEAC}" uniqueName="18" name="Epoxiconazole" queryTableFieldId="18" dataDxfId="159"/>
    <tableColumn id="47" xr3:uid="{BD3DB28F-8EBC-4788-81D2-9D56EC6726BC}" uniqueName="47" name="Fludioxonil" queryTableFieldId="49" dataDxfId="158"/>
    <tableColumn id="21" xr3:uid="{FF6E00D9-FE46-4A76-930A-EBCEECB162F7}" uniqueName="21" name="Fluorene" queryTableFieldId="21" dataDxfId="157"/>
    <tableColumn id="22" xr3:uid="{D6A605E7-511E-40C2-B942-FD342939BA88}" uniqueName="22" name="Galaxolide" queryTableFieldId="22" dataDxfId="156"/>
    <tableColumn id="23" xr3:uid="{C22B9161-CEE5-4A07-ADBF-00D7F6CF86B4}" uniqueName="23" name="OC (Octocrylene)" queryTableFieldId="23" dataDxfId="155"/>
    <tableColumn id="24" xr3:uid="{426D7AE9-31B5-4E3A-A6A8-401C0AED2441}" uniqueName="24" name="Oxybenzone" queryTableFieldId="24" dataDxfId="154"/>
    <tableColumn id="25" xr3:uid="{77343769-FCF0-4488-BA28-B9E68978E14D}" uniqueName="25" name="Phenanthrene" queryTableFieldId="25" dataDxfId="153"/>
    <tableColumn id="48" xr3:uid="{6921F8AA-85E1-40AE-92F0-64D5404FF17C}" uniqueName="48" name="Picolinafen" queryTableFieldId="50" dataDxfId="152"/>
    <tableColumn id="26" xr3:uid="{38FDC18D-1AB8-40C5-904F-36B9867EF25E}" uniqueName="26" name="TDCPP" queryTableFieldId="26" dataDxfId="151"/>
    <tableColumn id="28" xr3:uid="{B8FCCA6E-45A5-4F20-9604-D547E7F687A1}" uniqueName="28" name="Tebuconazole" queryTableFieldId="28" dataDxfId="150"/>
    <tableColumn id="30" xr3:uid="{ADB6475E-308D-4922-AC65-4BC25C890ECD}" uniqueName="30" name="Triphenyl phosphate" queryTableFieldId="30" dataDxfId="149"/>
    <tableColumn id="31" xr3:uid="{CD71CAE7-5752-4B99-8FAA-0309297B7D35}" uniqueName="31" name="UV 328" queryTableFieldId="31" dataDxfId="148"/>
    <tableColumn id="32" xr3:uid="{914E12F0-BEAF-4A77-9135-093E4D38C055}" uniqueName="32" name="Uvinul A Plus" queryTableFieldId="32" dataDxfId="147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67C948-5781-4B72-9BE7-78362C8F9C6B}" name="Tabelle1_147" displayName="Tabelle1_147" ref="A1:AI6" tableType="queryTable" totalsRowShown="0" headerRowDxfId="146" dataDxfId="144" headerRowBorderDxfId="145">
  <autoFilter ref="A1:AI6" xr:uid="{E4D117BD-AE65-4C8F-B920-74F9415409F6}"/>
  <sortState xmlns:xlrd2="http://schemas.microsoft.com/office/spreadsheetml/2017/richdata2" ref="A2:AI6">
    <sortCondition ref="A1:A6"/>
  </sortState>
  <tableColumns count="35">
    <tableColumn id="33" xr3:uid="{B78199D2-7659-4774-9CF5-B7590E6FAB80}" uniqueName="33" name="Probennummer H" queryTableFieldId="33" dataDxfId="143"/>
    <tableColumn id="43" xr3:uid="{98AB644E-3D33-41A0-A32F-5DD4E295A30E}" uniqueName="43" name="Interne Nummer" queryTableFieldId="43" dataDxfId="142"/>
    <tableColumn id="42" xr3:uid="{1A0E77B1-F544-4611-947E-1520DD6338BB}" uniqueName="42" name="Tierart" queryTableFieldId="42" dataDxfId="141"/>
    <tableColumn id="41" xr3:uid="{ED8547F6-8A5D-49B0-8092-31B16C527F13}" uniqueName="41" name="Geschlecht" queryTableFieldId="41" dataDxfId="140"/>
    <tableColumn id="40" xr3:uid="{96AFD0ED-21C3-4B9E-9F19-97EFD21B79B4}" uniqueName="40" name="Alter" queryTableFieldId="40" dataDxfId="139"/>
    <tableColumn id="39" xr3:uid="{CE8E16C2-1820-46BD-91E5-B665DF10545E}" uniqueName="39" name="Datum Erlegung" queryTableFieldId="39" dataDxfId="138"/>
    <tableColumn id="38" xr3:uid="{E1196285-E17D-42D9-87A0-860F8DC623D6}" uniqueName="38" name="Gewicht [kg]" queryTableFieldId="38" dataDxfId="137"/>
    <tableColumn id="37" xr3:uid="{E4E5C1AD-6891-4868-93C5-1E81502876CC}" uniqueName="37" name="x" queryTableFieldId="37" dataDxfId="136"/>
    <tableColumn id="36" xr3:uid="{D93C3F75-0968-46E4-83C4-7FEE0C2AE86D}" uniqueName="36" name="y" queryTableFieldId="36" dataDxfId="135"/>
    <tableColumn id="35" xr3:uid="{14ED0BD6-5C67-465A-94A2-156E7C3A89C4}" uniqueName="35" name="Bemerkung" queryTableFieldId="35" dataDxfId="134"/>
    <tableColumn id="2" xr3:uid="{D7769AA2-CF9F-4A2D-A1F4-E7B5EB4D7B46}" uniqueName="2" name="(-)-Cotinine" queryTableFieldId="46" dataDxfId="133"/>
    <tableColumn id="3" xr3:uid="{3A0F67FF-2BF0-4E31-8A12-0D6CCA4C1B50}" uniqueName="3" name="2,2',3,4,4',5,5'-Heptachlorobiphenyl (PCB #180)" queryTableFieldId="3" dataDxfId="132"/>
    <tableColumn id="4" xr3:uid="{09DAA7D6-2E80-4AE8-9169-B9E60575D767}" uniqueName="4" name="2,2',3,4,4',5'-Hexachlorobiphenyl (PCB #138)" queryTableFieldId="4" dataDxfId="131"/>
    <tableColumn id="5" xr3:uid="{20A4264A-5494-4C13-AD8B-52889ED479E0}" uniqueName="5" name="2,2',4,4',5,5'-Hexachlorobiphenyl (PCB #153)" queryTableFieldId="5" dataDxfId="130"/>
    <tableColumn id="10" xr3:uid="{4BD2AC9D-3567-4847-890B-582146FB45C8}" uniqueName="10" name="2,2',5,5'-Tetrachlorobiphenyl (PCB #52)" queryTableFieldId="10" dataDxfId="129"/>
    <tableColumn id="6" xr3:uid="{A7454B69-1D1F-4DAA-B6D9-EF3DEF69C7EE}" uniqueName="6" name="Acenaphthene" queryTableFieldId="6" dataDxfId="128"/>
    <tableColumn id="7" xr3:uid="{FC26AE47-63F1-4CC1-9E20-E6FD6521B352}" uniqueName="7" name="Avobenzone" queryTableFieldId="7" dataDxfId="127"/>
    <tableColumn id="8" xr3:uid="{F81FFC15-C601-4EE4-8391-63DD6707EC67}" uniqueName="8" name="BHC-beta" queryTableFieldId="8" dataDxfId="126"/>
    <tableColumn id="9" xr3:uid="{4157FC50-5A67-49E7-BF43-CDB59588EF66}" uniqueName="9" name="Caffeine" queryTableFieldId="9" dataDxfId="125"/>
    <tableColumn id="11" xr3:uid="{2286A78D-E7E7-4C88-88FD-FE44F672B641}" uniqueName="11" name="DDE-p,p'" queryTableFieldId="11" dataDxfId="124"/>
    <tableColumn id="12" xr3:uid="{D2FB9327-CD62-4200-8AC6-B433CF6E906E}" uniqueName="12" name="DEHA (Di(2-ethylhexyl) adipate)" queryTableFieldId="12" dataDxfId="123"/>
    <tableColumn id="13" xr3:uid="{5553C19C-48CC-4166-B87A-3F044B47B372}" uniqueName="13" name="DINCH (Diisononyl hexahydrophthalate)" queryTableFieldId="13" dataDxfId="122"/>
    <tableColumn id="1" xr3:uid="{ADD98B1A-7DD2-4E28-8D05-883CB972B700}" uniqueName="1" name="Diphenylamine" queryTableFieldId="45" dataDxfId="121"/>
    <tableColumn id="15" xr3:uid="{0C599422-A017-47E6-B994-C32D219AF385}" uniqueName="15" name="DPHP (Bis(2-propylheptyl) phthalate)" queryTableFieldId="15" dataDxfId="120"/>
    <tableColumn id="16" xr3:uid="{7C93F7C8-42E9-4A62-B7B1-A3E88FD0B6E4}" uniqueName="16" name="EHS (2-Ethylhexyl salicylate)" queryTableFieldId="16" dataDxfId="119"/>
    <tableColumn id="17" xr3:uid="{8C2DEAC4-AF88-444A-9083-38FF7744E07F}" uniqueName="17" name="Estrone" queryTableFieldId="17" dataDxfId="118"/>
    <tableColumn id="21" xr3:uid="{8FE161C4-627B-4842-A79B-0F2CF8598D06}" uniqueName="21" name="Fluorene" queryTableFieldId="21" dataDxfId="117"/>
    <tableColumn id="22" xr3:uid="{5D875BEA-8D8C-4DE8-9633-CECCCCF11DF9}" uniqueName="22" name="Galaxolide" queryTableFieldId="22" dataDxfId="116"/>
    <tableColumn id="23" xr3:uid="{EC3E9017-49AC-477B-8783-213C14D0CE5C}" uniqueName="23" name="OC (Octocrylene)" queryTableFieldId="23" dataDxfId="115"/>
    <tableColumn id="24" xr3:uid="{8948D6AC-309B-477C-9A5C-753756F54F7D}" uniqueName="24" name="Oxybenzone" queryTableFieldId="24" dataDxfId="114"/>
    <tableColumn id="25" xr3:uid="{232B59BC-C0D0-4C7F-AF0C-6042D980DE33}" uniqueName="25" name="Phenanthrene" queryTableFieldId="25" dataDxfId="113"/>
    <tableColumn id="28" xr3:uid="{15C88207-3999-49D3-8061-CA9EA37DDE45}" uniqueName="28" name="TDCPP" queryTableFieldId="28" dataDxfId="112"/>
    <tableColumn id="30" xr3:uid="{52A7B945-98FF-4574-9470-E03630905AA7}" uniqueName="30" name="Triphenyl phosphate" queryTableFieldId="30" dataDxfId="111"/>
    <tableColumn id="31" xr3:uid="{FC09204B-C299-4EFE-BDE0-41BE74D2ACA6}" uniqueName="31" name="UV 328" queryTableFieldId="31" dataDxfId="110"/>
    <tableColumn id="32" xr3:uid="{BFB095E4-52EC-4D1F-8D84-AAAAF3E4CF24}" uniqueName="32" name="Uvinul A Plus" queryTableFieldId="32" dataDxfId="109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7E3324-646E-4FD5-860A-63C2B480AE3D}" name="Tabelle1_16" displayName="Tabelle1_16" ref="A1:AL51" tableType="queryTable" totalsRowShown="0" headerRowDxfId="108" dataDxfId="106" headerRowBorderDxfId="107">
  <autoFilter ref="A1:AL51" xr:uid="{E4D117BD-AE65-4C8F-B920-74F9415409F6}"/>
  <sortState xmlns:xlrd2="http://schemas.microsoft.com/office/spreadsheetml/2017/richdata2" ref="A2:AK51">
    <sortCondition ref="A1:A51"/>
  </sortState>
  <tableColumns count="38">
    <tableColumn id="33" xr3:uid="{6A1033AC-39C0-4784-80DD-DE2778698B5A}" uniqueName="33" name="Probennummer Z" queryTableFieldId="33" dataDxfId="105"/>
    <tableColumn id="43" xr3:uid="{4AC73640-BE98-4AD6-9C6B-1AB9A8F7FBC6}" uniqueName="43" name="Interne Nummer" queryTableFieldId="43" dataDxfId="104"/>
    <tableColumn id="42" xr3:uid="{DA1DAD67-6E26-40B2-889C-9FEB7CE61CDC}" uniqueName="42" name="Tierart" queryTableFieldId="42" dataDxfId="103"/>
    <tableColumn id="41" xr3:uid="{38798FF2-C3AC-42E9-A6F9-07F760D8234C}" uniqueName="41" name="Geschlecht" queryTableFieldId="41" dataDxfId="102"/>
    <tableColumn id="40" xr3:uid="{9FB286A8-0A76-4BC9-BC58-FE08178B9F81}" uniqueName="40" name="Alter" queryTableFieldId="40" dataDxfId="101"/>
    <tableColumn id="39" xr3:uid="{A7A2F7B9-24A6-4C14-BCDC-675DC91D3ADA}" uniqueName="39" name="Datum Erlegung" queryTableFieldId="39" dataDxfId="100"/>
    <tableColumn id="38" xr3:uid="{5450F7A9-B15A-4903-A264-A34B669135B7}" uniqueName="38" name="Gewicht [kg]" queryTableFieldId="38" dataDxfId="99"/>
    <tableColumn id="37" xr3:uid="{FBEA6276-8B90-4F7F-80B9-AAF715D85EFE}" uniqueName="37" name="x" queryTableFieldId="37" dataDxfId="98"/>
    <tableColumn id="36" xr3:uid="{DAA61798-622C-4FF3-9360-2EE8665A38C4}" uniqueName="36" name="y" queryTableFieldId="36" dataDxfId="97"/>
    <tableColumn id="35" xr3:uid="{79281293-08A0-4A0F-B142-3BBEC4BEC3F2}" uniqueName="35" name="Bemerkung" queryTableFieldId="35" dataDxfId="96"/>
    <tableColumn id="3" xr3:uid="{8B4FAB08-DFD4-4460-9BE2-72D91D1AE36A}" uniqueName="3" name="2,2',3,4,4',5,5'-Heptachlorobiphenyl (PCB #180)" queryTableFieldId="3" dataDxfId="95"/>
    <tableColumn id="4" xr3:uid="{C35C7237-8849-44E0-9720-A065F7D6FDF8}" uniqueName="4" name="2,2',3,4,4',5'-Hexachlorobiphenyl (PCB #138)" queryTableFieldId="4" dataDxfId="94"/>
    <tableColumn id="5" xr3:uid="{4444FF8A-56D7-49AC-8C8B-37A9125EEF39}" uniqueName="5" name="2,2',4,4',5,5'-Hexachlorobiphenyl (PCB #153)" queryTableFieldId="5" dataDxfId="93"/>
    <tableColumn id="2" xr3:uid="{E2B899A8-3B07-4663-B453-305BFE5707BB}" uniqueName="2" name="2,2',4,5,5'-Pentachlorobiphenyl (PCB #101)" queryTableFieldId="45" dataDxfId="92"/>
    <tableColumn id="1" xr3:uid="{9FD6606B-4A59-4F61-AC9B-6E5E97C19F4B}" uniqueName="1" name="2,4,4'-Trichlorobiphenyl (PCB #28)" queryTableFieldId="44" dataDxfId="91"/>
    <tableColumn id="6" xr3:uid="{4E6F60F3-E0B8-42F9-8001-07244D566135}" uniqueName="6" name="Acenaphthene" queryTableFieldId="6" dataDxfId="90"/>
    <tableColumn id="7" xr3:uid="{0989CBB7-50E5-4F3A-9780-8C037A7153E4}" uniqueName="7" name="Avobenzone" queryTableFieldId="7" dataDxfId="89"/>
    <tableColumn id="8" xr3:uid="{9A3C3C69-E5C8-4CCC-89F9-D01BF6997F19}" uniqueName="8" name="BHC-beta" queryTableFieldId="8" dataDxfId="88"/>
    <tableColumn id="9" xr3:uid="{6C531754-671A-4AC9-96DE-65B0CB5CFDC7}" uniqueName="9" name="Caffeine" queryTableFieldId="9" dataDxfId="87"/>
    <tableColumn id="11" xr3:uid="{36D3C4C7-26D4-4407-883C-AD75F60EE963}" uniqueName="11" name="DDE-p,p'" queryTableFieldId="11" dataDxfId="86"/>
    <tableColumn id="12" xr3:uid="{A37F0244-A927-4B49-A29D-83BC40E17B66}" uniqueName="12" name="DEHA (Di(2-ethylhexyl) adipate)" queryTableFieldId="12" dataDxfId="85"/>
    <tableColumn id="10" xr3:uid="{7AFDF0B1-BFDE-499C-8E2F-1436B5DB628A}" uniqueName="10" name="Dieldrin" queryTableFieldId="46" dataDxfId="84"/>
    <tableColumn id="13" xr3:uid="{CDE38978-DA3A-43F3-A14A-7B4E9DF443DF}" uniqueName="13" name="DINCH (Diisononyl hexahydrophthalate)" queryTableFieldId="13" dataDxfId="83"/>
    <tableColumn id="14" xr3:uid="{3FBB9615-B790-4268-9C1E-A36DB7816A03}" uniqueName="14" name="Diphenylamine" queryTableFieldId="14" dataDxfId="82"/>
    <tableColumn id="15" xr3:uid="{637A0AA3-8F2E-47A0-A983-14CAA26AB42E}" uniqueName="15" name="DPHP (Bis(2-propylheptyl) phthalate)" queryTableFieldId="15" dataDxfId="81"/>
    <tableColumn id="16" xr3:uid="{5B50DA03-AAFD-462E-9F0F-5196F277AB31}" uniqueName="16" name="EHS (2-Ethylhexyl salicylate)" queryTableFieldId="16" dataDxfId="80"/>
    <tableColumn id="18" xr3:uid="{09BD545B-94EA-46E0-9337-3FF26CAF143F}" uniqueName="18" name="Estrone" queryTableFieldId="18" dataDxfId="79"/>
    <tableColumn id="20" xr3:uid="{2F77AB7C-2D8E-44F8-97C2-42E85DBE2F92}" uniqueName="20" name="Fluopyram" queryTableFieldId="20" dataDxfId="78"/>
    <tableColumn id="21" xr3:uid="{FBBFEF02-A3CC-40AA-A841-D79F731D5C4F}" uniqueName="21" name="Fluorene" queryTableFieldId="21" dataDxfId="77"/>
    <tableColumn id="22" xr3:uid="{ABBA6E72-116C-439A-AA23-68863C5263B4}" uniqueName="22" name="Galaxolide" queryTableFieldId="22" dataDxfId="76"/>
    <tableColumn id="23" xr3:uid="{9115B492-33AF-4C70-A783-DC864D151EF3}" uniqueName="23" name="OC (Octocrylene)" queryTableFieldId="23" dataDxfId="75"/>
    <tableColumn id="24" xr3:uid="{AACA2892-3BFC-42BB-9DA0-22EA1FEF9F2D}" uniqueName="24" name="Oxybenzone" queryTableFieldId="24" dataDxfId="74"/>
    <tableColumn id="25" xr3:uid="{EF387EF8-93EA-4F99-BEF0-3677135D04DC}" uniqueName="25" name="Phenanthrene" queryTableFieldId="25" dataDxfId="73"/>
    <tableColumn id="26" xr3:uid="{C48804B4-2621-4F7F-8247-3BBBEC0E2EA4}" uniqueName="26" name="TDCPP" queryTableFieldId="26" dataDxfId="72"/>
    <tableColumn id="30" xr3:uid="{DB6E414A-19A4-4BD0-9274-F0EAFFD2AD38}" uniqueName="30" name="Tetraconazole" queryTableFieldId="30" dataDxfId="71"/>
    <tableColumn id="31" xr3:uid="{E50CC822-2FFF-4DDD-95EB-F1F6CB4542B5}" uniqueName="31" name="Triphenyl phosphate" queryTableFieldId="31" dataDxfId="70"/>
    <tableColumn id="32" xr3:uid="{FB56A75C-E879-4310-B60F-636F50E47AB7}" uniqueName="32" name="UV 328" queryTableFieldId="32" dataDxfId="69"/>
    <tableColumn id="17" xr3:uid="{97AD96B5-D1A8-4FAA-9840-D1FF67BA27E3}" uniqueName="17" name="Uvinul A Plus" queryTableFieldId="47" dataDxfId="68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0126EAD-FCFC-4CC3-86EF-A792E8770B4A}" name="Tabelle10" displayName="Tabelle10" ref="A1:E43" totalsRowShown="0" headerRowDxfId="67" dataDxfId="66">
  <autoFilter ref="A1:E43" xr:uid="{10126EAD-FCFC-4CC3-86EF-A792E8770B4A}"/>
  <tableColumns count="5">
    <tableColumn id="1" xr3:uid="{2F69A2DB-E8DB-4EF8-A86D-C0443C393E55}" name="Name" dataDxfId="65"/>
    <tableColumn id="2" xr3:uid="{308CD7CB-25CB-4C8C-A945-03274A59857F}" name="primäre Kategorie" dataDxfId="64"/>
    <tableColumn id="4" xr3:uid="{15C185F9-799E-4506-A97F-846D32490639}" name="sekundäre Kategorie" dataDxfId="63"/>
    <tableColumn id="3" xr3:uid="{5A244ADF-4127-4EC3-9071-23F4B165317E}" name="Unterkategorie" dataDxfId="62"/>
    <tableColumn id="5" xr3:uid="{C11E390B-1ECC-487B-8DFF-A67A4E811F35}" name="LOQ (µg/kg)" dataDxfId="61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1F766B-6FE6-4BB2-9295-74D40501A060}" name="Tabelle1" displayName="Tabelle1" ref="A1:BD33" totalsRowShown="0" headerRowDxfId="60" dataDxfId="58" headerRowBorderDxfId="59" tableBorderDxfId="57" totalsRowBorderDxfId="56">
  <autoFilter ref="A1:BD33" xr:uid="{331F766B-6FE6-4BB2-9295-74D40501A060}"/>
  <tableColumns count="56">
    <tableColumn id="1" xr3:uid="{4246524A-AB94-4E90-9347-EDB7D0D9169C}" name="Compound Method" dataDxfId="55"/>
    <tableColumn id="2" xr3:uid="{34E80540-3184-4971-B9E0-CBF6A2C05E37}" name="2" dataDxfId="54"/>
    <tableColumn id="3" xr3:uid="{D755A6C5-365B-4D8B-A6EF-A73DCBFAB80E}" name="3" dataDxfId="53"/>
    <tableColumn id="4" xr3:uid="{08AC4124-D9C4-4840-A0B8-131A97750626}" name="30" dataDxfId="52"/>
    <tableColumn id="5" xr3:uid="{D76FDF41-CBE0-4637-BA21-D5C8BBAECD21}" name="37" dataDxfId="51"/>
    <tableColumn id="6" xr3:uid="{9D2AD5DE-FA8A-4206-B28D-34A1CE812334}" name="24" dataDxfId="50"/>
    <tableColumn id="7" xr3:uid="{A15EA087-164A-4207-9DB9-0904B22869BB}" name="19" dataDxfId="49"/>
    <tableColumn id="8" xr3:uid="{E47F3127-45E6-46BC-9F22-F3129341538D}" name="39" dataDxfId="48"/>
    <tableColumn id="9" xr3:uid="{FC7C08E7-DFAC-438D-8721-97D78DA6294B}" name="18" dataDxfId="47"/>
    <tableColumn id="10" xr3:uid="{A9F5953B-48E3-4D98-A938-C19F15B69CCC}" name="22" dataDxfId="46"/>
    <tableColumn id="11" xr3:uid="{668DAD9C-78C3-4481-B1A3-966E25144839}" name="42" dataDxfId="45"/>
    <tableColumn id="12" xr3:uid="{FF10C3DB-7F17-478A-83EE-5DC11DA7684C}" name="7" dataDxfId="44"/>
    <tableColumn id="13" xr3:uid="{5FE4579C-4444-4804-B9EA-14AB55E3F2B5}" name="31" dataDxfId="43"/>
    <tableColumn id="14" xr3:uid="{D313E7E9-79D4-414E-8A8A-F2816D9CEC51}" name="17" dataDxfId="42"/>
    <tableColumn id="15" xr3:uid="{42D38054-92E7-4AE5-817C-6CD531C77CF7}" name="9" dataDxfId="41"/>
    <tableColumn id="16" xr3:uid="{574EFA56-65AE-4503-BF5A-B114D69D748A}" name="23" dataDxfId="40"/>
    <tableColumn id="17" xr3:uid="{0E8BC681-ED4D-469F-A9AC-FE9F33E0F63B}" name="29" dataDxfId="39"/>
    <tableColumn id="18" xr3:uid="{112B2A3A-D91C-4411-A980-F584461C0765}" name="14" dataDxfId="38"/>
    <tableColumn id="19" xr3:uid="{2BBC2E6B-3D26-4191-81CB-DD3F91CDF3F1}" name="41" dataDxfId="37"/>
    <tableColumn id="20" xr3:uid="{02EA6FAC-2414-402F-98B7-343574416922}" name="20" dataDxfId="36"/>
    <tableColumn id="21" xr3:uid="{D924F138-E017-4BE8-AE52-350AF3C285EC}" name="49" dataDxfId="35"/>
    <tableColumn id="22" xr3:uid="{5FAE2A2C-146C-41CE-8D38-14683D563093}" name="6" dataDxfId="34"/>
    <tableColumn id="23" xr3:uid="{D7CBE49D-3B2F-4552-A8A2-4B27A5AB05EE}" name="40" dataDxfId="33"/>
    <tableColumn id="24" xr3:uid="{91AE276F-9637-4B71-AB70-0F4AA614FC6D}" name="35" dataDxfId="32"/>
    <tableColumn id="25" xr3:uid="{5F61C063-8DF8-4D2E-A530-A3D6F356A894}" name="43" dataDxfId="31"/>
    <tableColumn id="26" xr3:uid="{CFD1375F-9007-4280-B44A-9362E39324B8}" name="28" dataDxfId="30"/>
    <tableColumn id="27" xr3:uid="{8CC6FED7-1A98-4F1F-A73C-60037C4E14D4}" name="1" dataDxfId="29"/>
    <tableColumn id="28" xr3:uid="{B9D35672-638D-4E52-9BB5-B033EFC3C0C2}" name="13" dataDxfId="28"/>
    <tableColumn id="29" xr3:uid="{96B79E94-42B2-45B2-80E0-2986C2464F23}" name="45" dataDxfId="27"/>
    <tableColumn id="30" xr3:uid="{CF8049EF-1093-4D9A-8E23-20F9C46F732B}" name="5" dataDxfId="26"/>
    <tableColumn id="31" xr3:uid="{5D5D2BE8-F38D-4884-A2A2-F6AB264CE104}" name="32" dataDxfId="25"/>
    <tableColumn id="32" xr3:uid="{14ED9167-19EA-45D5-8EC9-533B8C6A57A1}" name="12" dataDxfId="24"/>
    <tableColumn id="33" xr3:uid="{9159C65B-2EFA-4BE6-B6F5-C51150663D65}" name="33" dataDxfId="23"/>
    <tableColumn id="34" xr3:uid="{7BF1DAF9-0BCF-4060-ABDC-3D8011A8BF0A}" name="8" dataDxfId="22"/>
    <tableColumn id="35" xr3:uid="{BECF6BDD-0833-4FB8-BC48-24C691ACB323}" name="27" dataDxfId="21"/>
    <tableColumn id="36" xr3:uid="{36EC21F2-3032-48F4-8D93-9F9091C21E4B}" name="15" dataDxfId="20"/>
    <tableColumn id="37" xr3:uid="{86A792E5-9C5A-404B-AAE8-12660939C7D1}" name="11" dataDxfId="19"/>
    <tableColumn id="38" xr3:uid="{563406A6-A3EF-4366-A6B8-F27EA77B4F3F}" name="50" dataDxfId="18"/>
    <tableColumn id="39" xr3:uid="{62B78E40-25E3-473E-B56F-6BDA6852D7B4}" name="34" dataDxfId="17"/>
    <tableColumn id="40" xr3:uid="{7BDAB32F-E4C4-4F0F-9503-C263FE619980}" name="48" dataDxfId="16"/>
    <tableColumn id="41" xr3:uid="{FC8AEFFF-B741-447F-9C2B-A848873FC798}" name="25" dataDxfId="15"/>
    <tableColumn id="42" xr3:uid="{6E4BC582-B478-41D2-96CA-F06703478130}" name="36" dataDxfId="14"/>
    <tableColumn id="43" xr3:uid="{42FDC659-D3B5-4E98-9D63-3B96CF5932ED}" name="44" dataDxfId="13"/>
    <tableColumn id="44" xr3:uid="{CD2D4456-87F3-4BF4-9EC1-3ECD955D9647}" name="38" dataDxfId="12"/>
    <tableColumn id="45" xr3:uid="{9D59AF8B-8C21-4AA6-B42A-E55C7ECF7C2C}" name="47" dataDxfId="11"/>
    <tableColumn id="46" xr3:uid="{8EF57A0F-266B-4CED-ADB7-638CBA884E56}" name="26" dataDxfId="10"/>
    <tableColumn id="47" xr3:uid="{E334C9B5-D4A4-445C-9B91-73F787211ACE}" name="46" dataDxfId="9"/>
    <tableColumn id="48" xr3:uid="{488CA05D-4738-432F-B033-967C8E3CE8A5}" name="10" dataDxfId="8"/>
    <tableColumn id="49" xr3:uid="{E5FDCFFE-8232-4DC6-80F9-AD42AFF382AA}" name="16" dataDxfId="7"/>
    <tableColumn id="50" xr3:uid="{18D3A07F-DEB2-4AC7-BAE1-53069727C62D}" name="4" dataDxfId="6"/>
    <tableColumn id="51" xr3:uid="{3854C97C-AD43-4646-A5B3-27987676E5FE}" name="21" dataDxfId="5"/>
    <tableColumn id="52" xr3:uid="{CAF91B92-49F7-420C-B09E-A5484895B0C4}" name="100" dataDxfId="4"/>
    <tableColumn id="53" xr3:uid="{10D5F5B2-99C6-4609-B8E6-C32206F0160D}" name="91" dataDxfId="3"/>
    <tableColumn id="54" xr3:uid="{B35C96AC-2A92-4F5F-8BD6-80BCA3313BDE}" name="96" dataDxfId="2"/>
    <tableColumn id="55" xr3:uid="{B211F90B-DD47-472A-B99B-A4BFACAA21FE}" name="87" dataDxfId="1"/>
    <tableColumn id="56" xr3:uid="{3BC4DEB8-30CB-40BB-8B89-86E0A66E879A}" name="9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DBB9A-B9DA-4A01-8DA7-10C0C4E6418A}">
  <dimension ref="A1:AH17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AA19" sqref="AA19"/>
    </sheetView>
  </sheetViews>
  <sheetFormatPr baseColWidth="10" defaultRowHeight="14.5" x14ac:dyDescent="0.35"/>
  <cols>
    <col min="2" max="2" width="11.54296875" bestFit="1" customWidth="1"/>
    <col min="6" max="7" width="11.54296875" bestFit="1" customWidth="1"/>
    <col min="8" max="9" width="18.81640625" bestFit="1" customWidth="1"/>
    <col min="10" max="10" width="37.26953125" customWidth="1"/>
    <col min="11" max="11" width="20" customWidth="1"/>
    <col min="12" max="12" width="21.1796875" customWidth="1"/>
    <col min="13" max="13" width="19.453125" customWidth="1"/>
    <col min="14" max="14" width="15.7265625" bestFit="1" customWidth="1"/>
    <col min="15" max="15" width="10" customWidth="1"/>
    <col min="16" max="16" width="8.1796875" customWidth="1"/>
    <col min="17" max="17" width="7.81640625" customWidth="1"/>
    <col min="18" max="18" width="11" bestFit="1" customWidth="1"/>
    <col min="20" max="20" width="10" customWidth="1"/>
    <col min="21" max="21" width="16.453125" customWidth="1"/>
    <col min="22" max="22" width="11.26953125" customWidth="1"/>
    <col min="23" max="23" width="10.453125" customWidth="1"/>
    <col min="24" max="24" width="11.7265625" customWidth="1"/>
    <col min="25" max="25" width="9.1796875" customWidth="1"/>
    <col min="26" max="26" width="13.453125" bestFit="1" customWidth="1"/>
    <col min="27" max="27" width="12.1796875" bestFit="1" customWidth="1"/>
    <col min="28" max="28" width="13" bestFit="1" customWidth="1"/>
    <col min="29" max="29" width="9.1796875" customWidth="1"/>
    <col min="30" max="30" width="14.54296875" bestFit="1" customWidth="1"/>
    <col min="31" max="31" width="15.7265625" bestFit="1" customWidth="1"/>
    <col min="32" max="32" width="10.54296875" customWidth="1"/>
    <col min="33" max="33" width="14" customWidth="1"/>
    <col min="34" max="34" width="9.453125" bestFit="1" customWidth="1"/>
    <col min="35" max="35" width="7.453125" customWidth="1"/>
  </cols>
  <sheetData>
    <row r="1" spans="1:34" s="10" customFormat="1" ht="63" customHeight="1" x14ac:dyDescent="0.35">
      <c r="A1" s="14" t="s">
        <v>136</v>
      </c>
      <c r="B1" s="16" t="s">
        <v>96</v>
      </c>
      <c r="C1" s="15" t="s">
        <v>97</v>
      </c>
      <c r="D1" s="15" t="s">
        <v>98</v>
      </c>
      <c r="E1" s="15" t="s">
        <v>99</v>
      </c>
      <c r="F1" s="16" t="s">
        <v>100</v>
      </c>
      <c r="G1" s="16" t="s">
        <v>101</v>
      </c>
      <c r="H1" s="15" t="s">
        <v>102</v>
      </c>
      <c r="I1" s="15" t="s">
        <v>103</v>
      </c>
      <c r="J1" s="17" t="s">
        <v>104</v>
      </c>
      <c r="K1" s="18" t="s">
        <v>131</v>
      </c>
      <c r="L1" s="18" t="s">
        <v>132</v>
      </c>
      <c r="M1" s="18" t="s">
        <v>133</v>
      </c>
      <c r="N1" s="18" t="s">
        <v>134</v>
      </c>
      <c r="O1" s="18" t="s">
        <v>48</v>
      </c>
      <c r="P1" s="18" t="s">
        <v>69</v>
      </c>
      <c r="Q1" s="18" t="s">
        <v>63</v>
      </c>
      <c r="R1" s="18" t="s">
        <v>16</v>
      </c>
      <c r="S1" s="18" t="s">
        <v>3</v>
      </c>
      <c r="T1" s="18" t="s">
        <v>74</v>
      </c>
      <c r="U1" s="18" t="s">
        <v>6</v>
      </c>
      <c r="V1" s="18" t="s">
        <v>18</v>
      </c>
      <c r="W1" s="18" t="s">
        <v>0</v>
      </c>
      <c r="X1" s="18" t="s">
        <v>33</v>
      </c>
      <c r="Y1" s="18" t="s">
        <v>135</v>
      </c>
      <c r="Z1" s="18" t="s">
        <v>62</v>
      </c>
      <c r="AA1" s="18" t="s">
        <v>68</v>
      </c>
      <c r="AB1" s="18" t="s">
        <v>4</v>
      </c>
      <c r="AC1" s="18" t="s">
        <v>46</v>
      </c>
      <c r="AD1" s="18" t="s">
        <v>42</v>
      </c>
      <c r="AE1" s="18" t="s">
        <v>66</v>
      </c>
      <c r="AF1" s="18" t="s">
        <v>51</v>
      </c>
      <c r="AG1" s="18" t="s">
        <v>39</v>
      </c>
      <c r="AH1" s="18" t="s">
        <v>8</v>
      </c>
    </row>
    <row r="2" spans="1:34" x14ac:dyDescent="0.35">
      <c r="A2" s="11" t="s">
        <v>184</v>
      </c>
      <c r="B2" s="19" t="s">
        <v>120</v>
      </c>
      <c r="C2" s="19" t="s">
        <v>115</v>
      </c>
      <c r="D2" s="19" t="s">
        <v>108</v>
      </c>
      <c r="E2" s="19" t="s">
        <v>118</v>
      </c>
      <c r="F2" s="20">
        <v>45271</v>
      </c>
      <c r="G2" s="19">
        <v>83.5</v>
      </c>
      <c r="H2" s="24"/>
      <c r="I2" s="25"/>
      <c r="J2" s="19" t="s">
        <v>483</v>
      </c>
      <c r="K2" s="21"/>
      <c r="L2" s="21" t="s">
        <v>88</v>
      </c>
      <c r="M2" s="21" t="s">
        <v>119</v>
      </c>
      <c r="N2" s="21"/>
      <c r="O2" s="21" t="s">
        <v>89</v>
      </c>
      <c r="P2" s="21"/>
      <c r="Q2" s="21" t="s">
        <v>88</v>
      </c>
      <c r="R2" s="21"/>
      <c r="S2" s="21" t="s">
        <v>88</v>
      </c>
      <c r="T2" s="21" t="s">
        <v>92</v>
      </c>
      <c r="U2" s="21"/>
      <c r="V2" s="21" t="s">
        <v>90</v>
      </c>
      <c r="W2" s="21">
        <v>4.8</v>
      </c>
      <c r="X2" s="21"/>
      <c r="Y2" s="21"/>
      <c r="Z2" s="21" t="s">
        <v>89</v>
      </c>
      <c r="AA2" s="28" t="s">
        <v>119</v>
      </c>
      <c r="AB2" s="21" t="s">
        <v>90</v>
      </c>
      <c r="AC2" s="21" t="s">
        <v>88</v>
      </c>
      <c r="AD2" s="21" t="s">
        <v>90</v>
      </c>
      <c r="AE2" s="21"/>
      <c r="AF2" s="21" t="s">
        <v>88</v>
      </c>
      <c r="AG2" s="21"/>
      <c r="AH2" s="21" t="s">
        <v>90</v>
      </c>
    </row>
    <row r="3" spans="1:34" x14ac:dyDescent="0.35">
      <c r="A3" s="12" t="s">
        <v>185</v>
      </c>
      <c r="B3" s="19" t="s">
        <v>121</v>
      </c>
      <c r="C3" s="19" t="s">
        <v>115</v>
      </c>
      <c r="D3" s="19" t="s">
        <v>108</v>
      </c>
      <c r="E3" s="19" t="s">
        <v>130</v>
      </c>
      <c r="F3" s="20">
        <v>45321</v>
      </c>
      <c r="G3" s="19">
        <v>52.5</v>
      </c>
      <c r="H3" s="31"/>
      <c r="I3" s="31"/>
      <c r="J3" s="19" t="s">
        <v>483</v>
      </c>
      <c r="K3" s="21" t="s">
        <v>88</v>
      </c>
      <c r="L3" s="21" t="s">
        <v>88</v>
      </c>
      <c r="M3" s="21" t="s">
        <v>119</v>
      </c>
      <c r="N3" s="21"/>
      <c r="O3" s="21" t="s">
        <v>89</v>
      </c>
      <c r="P3" s="21"/>
      <c r="Q3" s="21"/>
      <c r="R3" s="21"/>
      <c r="S3" s="21" t="s">
        <v>88</v>
      </c>
      <c r="T3" s="21">
        <v>20.5</v>
      </c>
      <c r="U3" s="21" t="s">
        <v>89</v>
      </c>
      <c r="V3" s="21" t="s">
        <v>90</v>
      </c>
      <c r="W3" s="21" t="s">
        <v>89</v>
      </c>
      <c r="X3" s="21"/>
      <c r="Y3" s="21" t="s">
        <v>88</v>
      </c>
      <c r="Z3" s="21" t="s">
        <v>89</v>
      </c>
      <c r="AA3" s="45" t="s">
        <v>119</v>
      </c>
      <c r="AB3" s="21" t="s">
        <v>90</v>
      </c>
      <c r="AC3" s="21" t="s">
        <v>88</v>
      </c>
      <c r="AD3" s="21" t="s">
        <v>90</v>
      </c>
      <c r="AE3" s="21">
        <v>1.5</v>
      </c>
      <c r="AF3" s="21" t="s">
        <v>88</v>
      </c>
      <c r="AG3" s="21"/>
      <c r="AH3" s="21" t="s">
        <v>90</v>
      </c>
    </row>
    <row r="4" spans="1:34" x14ac:dyDescent="0.35">
      <c r="A4" s="12" t="s">
        <v>186</v>
      </c>
      <c r="B4" s="19" t="s">
        <v>122</v>
      </c>
      <c r="C4" s="19" t="s">
        <v>115</v>
      </c>
      <c r="D4" s="19" t="s">
        <v>108</v>
      </c>
      <c r="E4" s="19" t="s">
        <v>130</v>
      </c>
      <c r="F4" s="20">
        <v>45322</v>
      </c>
      <c r="G4" s="19">
        <v>64</v>
      </c>
      <c r="H4" s="25"/>
      <c r="I4" s="25"/>
      <c r="J4" s="19" t="s">
        <v>483</v>
      </c>
      <c r="K4" s="21" t="s">
        <v>88</v>
      </c>
      <c r="L4" s="21" t="s">
        <v>88</v>
      </c>
      <c r="M4" s="21" t="s">
        <v>119</v>
      </c>
      <c r="N4" s="21"/>
      <c r="O4" s="21" t="s">
        <v>89</v>
      </c>
      <c r="P4" s="21"/>
      <c r="Q4" s="21"/>
      <c r="R4" s="21" t="s">
        <v>119</v>
      </c>
      <c r="S4" s="21" t="s">
        <v>88</v>
      </c>
      <c r="T4" s="21" t="s">
        <v>92</v>
      </c>
      <c r="U4" s="21"/>
      <c r="V4" s="21" t="s">
        <v>90</v>
      </c>
      <c r="W4" s="21" t="s">
        <v>89</v>
      </c>
      <c r="X4" s="21"/>
      <c r="Y4" s="21"/>
      <c r="Z4" s="21" t="s">
        <v>89</v>
      </c>
      <c r="AA4" s="28" t="s">
        <v>119</v>
      </c>
      <c r="AB4" s="21">
        <v>11.5</v>
      </c>
      <c r="AC4" s="21" t="s">
        <v>88</v>
      </c>
      <c r="AD4" s="21" t="s">
        <v>90</v>
      </c>
      <c r="AE4" s="21" t="s">
        <v>88</v>
      </c>
      <c r="AF4" s="21" t="s">
        <v>88</v>
      </c>
      <c r="AG4" s="21" t="s">
        <v>89</v>
      </c>
      <c r="AH4" s="21" t="s">
        <v>90</v>
      </c>
    </row>
    <row r="5" spans="1:34" x14ac:dyDescent="0.35">
      <c r="A5" s="12" t="s">
        <v>187</v>
      </c>
      <c r="B5" s="19" t="s">
        <v>123</v>
      </c>
      <c r="C5" s="19" t="s">
        <v>115</v>
      </c>
      <c r="D5" s="19" t="s">
        <v>108</v>
      </c>
      <c r="E5" s="19" t="s">
        <v>130</v>
      </c>
      <c r="F5" s="20">
        <v>45287</v>
      </c>
      <c r="G5" s="19">
        <v>59</v>
      </c>
      <c r="H5" s="22"/>
      <c r="I5" s="22"/>
      <c r="J5" s="19" t="s">
        <v>483</v>
      </c>
      <c r="K5" s="21" t="s">
        <v>88</v>
      </c>
      <c r="L5" s="21" t="s">
        <v>88</v>
      </c>
      <c r="M5" s="21" t="s">
        <v>119</v>
      </c>
      <c r="N5" s="21"/>
      <c r="O5" s="21" t="s">
        <v>89</v>
      </c>
      <c r="P5" s="21"/>
      <c r="Q5" s="21"/>
      <c r="R5" s="21"/>
      <c r="S5" s="21" t="s">
        <v>88</v>
      </c>
      <c r="T5" s="21" t="s">
        <v>92</v>
      </c>
      <c r="U5" s="21" t="s">
        <v>89</v>
      </c>
      <c r="V5" s="21" t="s">
        <v>90</v>
      </c>
      <c r="W5" s="21" t="s">
        <v>89</v>
      </c>
      <c r="X5" s="21"/>
      <c r="Y5" s="21"/>
      <c r="Z5" s="21" t="s">
        <v>89</v>
      </c>
      <c r="AA5" s="45" t="s">
        <v>119</v>
      </c>
      <c r="AB5" s="21" t="s">
        <v>90</v>
      </c>
      <c r="AC5" s="21" t="s">
        <v>88</v>
      </c>
      <c r="AD5" s="21" t="s">
        <v>90</v>
      </c>
      <c r="AE5" s="21"/>
      <c r="AF5" s="21" t="s">
        <v>88</v>
      </c>
      <c r="AG5" s="21"/>
      <c r="AH5" s="21" t="s">
        <v>90</v>
      </c>
    </row>
    <row r="6" spans="1:34" x14ac:dyDescent="0.35">
      <c r="A6" s="12" t="s">
        <v>188</v>
      </c>
      <c r="B6" s="19" t="s">
        <v>124</v>
      </c>
      <c r="C6" s="19" t="s">
        <v>115</v>
      </c>
      <c r="D6" s="19" t="s">
        <v>106</v>
      </c>
      <c r="E6" s="19" t="s">
        <v>118</v>
      </c>
      <c r="F6" s="20">
        <v>45316</v>
      </c>
      <c r="G6" s="19">
        <v>84</v>
      </c>
      <c r="H6" s="25"/>
      <c r="I6" s="25"/>
      <c r="J6" s="19" t="s">
        <v>484</v>
      </c>
      <c r="K6" s="21"/>
      <c r="L6" s="21"/>
      <c r="M6" s="21"/>
      <c r="N6" s="21"/>
      <c r="O6" s="21" t="s">
        <v>89</v>
      </c>
      <c r="P6" s="21"/>
      <c r="Q6" s="21"/>
      <c r="R6" s="21" t="s">
        <v>119</v>
      </c>
      <c r="S6" s="21" t="s">
        <v>88</v>
      </c>
      <c r="T6" s="21">
        <v>42.6</v>
      </c>
      <c r="U6" s="21"/>
      <c r="V6" s="21" t="s">
        <v>90</v>
      </c>
      <c r="W6" s="21" t="s">
        <v>89</v>
      </c>
      <c r="X6" s="21"/>
      <c r="Y6" s="21"/>
      <c r="Z6" s="21" t="s">
        <v>89</v>
      </c>
      <c r="AA6" s="28" t="s">
        <v>119</v>
      </c>
      <c r="AB6" s="21" t="s">
        <v>90</v>
      </c>
      <c r="AC6" s="21" t="s">
        <v>88</v>
      </c>
      <c r="AD6" s="21" t="s">
        <v>90</v>
      </c>
      <c r="AE6" s="21"/>
      <c r="AF6" s="21" t="s">
        <v>88</v>
      </c>
      <c r="AG6" s="21" t="s">
        <v>89</v>
      </c>
      <c r="AH6" s="21" t="s">
        <v>90</v>
      </c>
    </row>
    <row r="7" spans="1:34" x14ac:dyDescent="0.35">
      <c r="A7" s="12" t="s">
        <v>189</v>
      </c>
      <c r="B7" s="19" t="s">
        <v>125</v>
      </c>
      <c r="C7" s="19" t="s">
        <v>115</v>
      </c>
      <c r="D7" s="19" t="s">
        <v>108</v>
      </c>
      <c r="E7" s="19" t="s">
        <v>118</v>
      </c>
      <c r="F7" s="20">
        <v>45321</v>
      </c>
      <c r="G7" s="19">
        <v>71</v>
      </c>
      <c r="H7" s="31"/>
      <c r="I7" s="31"/>
      <c r="J7" s="19" t="s">
        <v>483</v>
      </c>
      <c r="K7" s="21"/>
      <c r="L7" s="21" t="s">
        <v>88</v>
      </c>
      <c r="M7" s="21" t="s">
        <v>119</v>
      </c>
      <c r="N7" s="21"/>
      <c r="O7" s="21" t="s">
        <v>89</v>
      </c>
      <c r="P7" s="21"/>
      <c r="Q7" s="21"/>
      <c r="R7" s="21"/>
      <c r="S7" s="21" t="s">
        <v>88</v>
      </c>
      <c r="T7" s="21">
        <v>30.8</v>
      </c>
      <c r="U7" s="21" t="s">
        <v>89</v>
      </c>
      <c r="V7" s="21" t="s">
        <v>90</v>
      </c>
      <c r="W7" s="21" t="s">
        <v>89</v>
      </c>
      <c r="X7" s="21" t="s">
        <v>88</v>
      </c>
      <c r="Y7" s="21" t="s">
        <v>88</v>
      </c>
      <c r="Z7" s="21" t="s">
        <v>89</v>
      </c>
      <c r="AA7" s="45" t="s">
        <v>119</v>
      </c>
      <c r="AB7" s="21" t="s">
        <v>90</v>
      </c>
      <c r="AC7" s="21" t="s">
        <v>88</v>
      </c>
      <c r="AD7" s="21" t="s">
        <v>90</v>
      </c>
      <c r="AE7" s="21">
        <v>1.3</v>
      </c>
      <c r="AF7" s="21" t="s">
        <v>88</v>
      </c>
      <c r="AG7" s="21"/>
      <c r="AH7" s="21" t="s">
        <v>90</v>
      </c>
    </row>
    <row r="8" spans="1:34" x14ac:dyDescent="0.35">
      <c r="A8" s="12" t="s">
        <v>190</v>
      </c>
      <c r="B8" s="19" t="s">
        <v>126</v>
      </c>
      <c r="C8" s="19" t="s">
        <v>115</v>
      </c>
      <c r="D8" s="19" t="s">
        <v>108</v>
      </c>
      <c r="E8" s="19" t="s">
        <v>118</v>
      </c>
      <c r="F8" s="20">
        <v>45265</v>
      </c>
      <c r="G8" s="26">
        <v>87</v>
      </c>
      <c r="H8" s="25"/>
      <c r="I8" s="25"/>
      <c r="J8" s="19" t="s">
        <v>483</v>
      </c>
      <c r="K8" s="21" t="s">
        <v>88</v>
      </c>
      <c r="L8" s="21" t="s">
        <v>88</v>
      </c>
      <c r="M8" s="21" t="s">
        <v>119</v>
      </c>
      <c r="N8" s="21" t="s">
        <v>88</v>
      </c>
      <c r="O8" s="21" t="s">
        <v>89</v>
      </c>
      <c r="P8" s="21"/>
      <c r="Q8" s="21"/>
      <c r="R8" s="21">
        <v>9.8000000000000007</v>
      </c>
      <c r="S8" s="21" t="s">
        <v>88</v>
      </c>
      <c r="T8" s="21" t="s">
        <v>92</v>
      </c>
      <c r="U8" s="21"/>
      <c r="V8" s="21" t="s">
        <v>90</v>
      </c>
      <c r="W8" s="21" t="s">
        <v>89</v>
      </c>
      <c r="X8" s="21"/>
      <c r="Y8" s="21"/>
      <c r="Z8" s="21" t="s">
        <v>89</v>
      </c>
      <c r="AA8" s="28" t="s">
        <v>119</v>
      </c>
      <c r="AB8" s="21">
        <v>10.5</v>
      </c>
      <c r="AC8" s="21" t="s">
        <v>88</v>
      </c>
      <c r="AD8" s="21" t="s">
        <v>90</v>
      </c>
      <c r="AE8" s="21" t="s">
        <v>88</v>
      </c>
      <c r="AF8" s="21" t="s">
        <v>88</v>
      </c>
      <c r="AG8" s="21" t="s">
        <v>89</v>
      </c>
      <c r="AH8" s="21" t="s">
        <v>90</v>
      </c>
    </row>
    <row r="9" spans="1:34" x14ac:dyDescent="0.35">
      <c r="A9" s="12" t="s">
        <v>191</v>
      </c>
      <c r="B9" s="19" t="s">
        <v>127</v>
      </c>
      <c r="C9" s="19" t="s">
        <v>115</v>
      </c>
      <c r="D9" s="19" t="s">
        <v>106</v>
      </c>
      <c r="E9" s="19" t="s">
        <v>130</v>
      </c>
      <c r="F9" s="20">
        <v>45316</v>
      </c>
      <c r="G9" s="19">
        <v>72</v>
      </c>
      <c r="H9" s="22"/>
      <c r="I9" s="22"/>
      <c r="J9" s="19" t="s">
        <v>484</v>
      </c>
      <c r="K9" s="21"/>
      <c r="L9" s="21" t="s">
        <v>88</v>
      </c>
      <c r="M9" s="21" t="s">
        <v>119</v>
      </c>
      <c r="N9" s="21"/>
      <c r="O9" s="21" t="s">
        <v>89</v>
      </c>
      <c r="P9" s="21">
        <v>12.8</v>
      </c>
      <c r="Q9" s="21"/>
      <c r="R9" s="21"/>
      <c r="S9" s="21" t="s">
        <v>88</v>
      </c>
      <c r="T9" s="21">
        <v>29.1</v>
      </c>
      <c r="U9" s="21"/>
      <c r="V9" s="21" t="s">
        <v>90</v>
      </c>
      <c r="W9" s="21" t="s">
        <v>89</v>
      </c>
      <c r="X9" s="21" t="s">
        <v>88</v>
      </c>
      <c r="Y9" s="21" t="s">
        <v>88</v>
      </c>
      <c r="Z9" s="21" t="s">
        <v>89</v>
      </c>
      <c r="AA9" s="45" t="s">
        <v>119</v>
      </c>
      <c r="AB9" s="21" t="s">
        <v>90</v>
      </c>
      <c r="AC9" s="21" t="s">
        <v>88</v>
      </c>
      <c r="AD9" s="21" t="s">
        <v>90</v>
      </c>
      <c r="AE9" s="21">
        <v>2</v>
      </c>
      <c r="AF9" s="21" t="s">
        <v>88</v>
      </c>
      <c r="AG9" s="21" t="s">
        <v>89</v>
      </c>
      <c r="AH9" s="21" t="s">
        <v>90</v>
      </c>
    </row>
    <row r="10" spans="1:34" x14ac:dyDescent="0.35">
      <c r="A10" s="12" t="s">
        <v>192</v>
      </c>
      <c r="B10" s="19" t="s">
        <v>121</v>
      </c>
      <c r="C10" s="19" t="s">
        <v>115</v>
      </c>
      <c r="D10" s="19" t="s">
        <v>108</v>
      </c>
      <c r="E10" s="19" t="s">
        <v>130</v>
      </c>
      <c r="F10" s="20">
        <v>45321</v>
      </c>
      <c r="G10" s="19">
        <v>52.5</v>
      </c>
      <c r="H10" s="25"/>
      <c r="I10" s="25"/>
      <c r="J10" s="19" t="s">
        <v>483</v>
      </c>
      <c r="K10" s="21"/>
      <c r="L10" s="21" t="s">
        <v>88</v>
      </c>
      <c r="M10" s="21" t="s">
        <v>119</v>
      </c>
      <c r="N10" s="21"/>
      <c r="O10" s="21" t="s">
        <v>89</v>
      </c>
      <c r="P10" s="21"/>
      <c r="Q10" s="21"/>
      <c r="R10" s="21"/>
      <c r="S10" s="21" t="s">
        <v>88</v>
      </c>
      <c r="T10" s="21" t="s">
        <v>92</v>
      </c>
      <c r="U10" s="21" t="s">
        <v>89</v>
      </c>
      <c r="V10" s="21" t="s">
        <v>90</v>
      </c>
      <c r="W10" s="21" t="s">
        <v>89</v>
      </c>
      <c r="X10" s="21"/>
      <c r="Y10" s="21" t="s">
        <v>88</v>
      </c>
      <c r="Z10" s="21" t="s">
        <v>89</v>
      </c>
      <c r="AA10" s="28" t="s">
        <v>119</v>
      </c>
      <c r="AB10" s="21" t="s">
        <v>90</v>
      </c>
      <c r="AC10" s="21" t="s">
        <v>88</v>
      </c>
      <c r="AD10" s="21" t="s">
        <v>90</v>
      </c>
      <c r="AE10" s="21">
        <v>1.9</v>
      </c>
      <c r="AF10" s="21" t="s">
        <v>88</v>
      </c>
      <c r="AG10" s="21"/>
      <c r="AH10" s="21" t="s">
        <v>90</v>
      </c>
    </row>
    <row r="11" spans="1:34" x14ac:dyDescent="0.35">
      <c r="A11" s="12" t="s">
        <v>193</v>
      </c>
      <c r="B11" s="19" t="s">
        <v>128</v>
      </c>
      <c r="C11" s="19" t="s">
        <v>115</v>
      </c>
      <c r="D11" s="19" t="s">
        <v>108</v>
      </c>
      <c r="E11" s="19" t="s">
        <v>118</v>
      </c>
      <c r="F11" s="20">
        <v>45289</v>
      </c>
      <c r="G11" s="19">
        <v>108</v>
      </c>
      <c r="H11" s="31"/>
      <c r="I11" s="31"/>
      <c r="J11" s="19" t="s">
        <v>483</v>
      </c>
      <c r="K11" s="21"/>
      <c r="L11" s="21" t="s">
        <v>88</v>
      </c>
      <c r="M11" s="21"/>
      <c r="N11" s="21"/>
      <c r="O11" s="21" t="s">
        <v>89</v>
      </c>
      <c r="P11" s="21"/>
      <c r="Q11" s="21"/>
      <c r="R11" s="21">
        <v>7.7</v>
      </c>
      <c r="S11" s="21" t="s">
        <v>88</v>
      </c>
      <c r="T11" s="21" t="s">
        <v>92</v>
      </c>
      <c r="U11" s="21"/>
      <c r="V11" s="21" t="s">
        <v>90</v>
      </c>
      <c r="W11" s="21">
        <v>6.8</v>
      </c>
      <c r="X11" s="21"/>
      <c r="Y11" s="21"/>
      <c r="Z11" s="21" t="s">
        <v>89</v>
      </c>
      <c r="AA11" s="45" t="s">
        <v>119</v>
      </c>
      <c r="AB11" s="21" t="s">
        <v>90</v>
      </c>
      <c r="AC11" s="21" t="s">
        <v>88</v>
      </c>
      <c r="AD11" s="21" t="s">
        <v>90</v>
      </c>
      <c r="AE11" s="21"/>
      <c r="AF11" s="21" t="s">
        <v>88</v>
      </c>
      <c r="AG11" s="21"/>
      <c r="AH11" s="21" t="s">
        <v>90</v>
      </c>
    </row>
    <row r="12" spans="1:34" x14ac:dyDescent="0.35">
      <c r="A12" s="12" t="s">
        <v>194</v>
      </c>
      <c r="B12" s="19" t="s">
        <v>129</v>
      </c>
      <c r="C12" s="19" t="s">
        <v>115</v>
      </c>
      <c r="D12" s="19" t="s">
        <v>108</v>
      </c>
      <c r="E12" s="19" t="s">
        <v>118</v>
      </c>
      <c r="F12" s="20">
        <v>45319</v>
      </c>
      <c r="G12" s="19">
        <v>79</v>
      </c>
      <c r="H12" s="25"/>
      <c r="I12" s="25"/>
      <c r="J12" s="19" t="s">
        <v>483</v>
      </c>
      <c r="K12" s="21" t="s">
        <v>88</v>
      </c>
      <c r="L12" s="21">
        <v>2.1</v>
      </c>
      <c r="M12" s="21">
        <v>2.1</v>
      </c>
      <c r="N12" s="21" t="s">
        <v>88</v>
      </c>
      <c r="O12" s="21" t="s">
        <v>89</v>
      </c>
      <c r="P12" s="21"/>
      <c r="Q12" s="21" t="s">
        <v>88</v>
      </c>
      <c r="R12" s="21"/>
      <c r="S12" s="21" t="s">
        <v>88</v>
      </c>
      <c r="T12" s="21">
        <v>48.3</v>
      </c>
      <c r="U12" s="21" t="s">
        <v>89</v>
      </c>
      <c r="V12" s="21" t="s">
        <v>90</v>
      </c>
      <c r="W12" s="21">
        <v>7.2</v>
      </c>
      <c r="X12" s="21"/>
      <c r="Y12" s="21"/>
      <c r="Z12" s="21" t="s">
        <v>89</v>
      </c>
      <c r="AA12" s="28" t="s">
        <v>119</v>
      </c>
      <c r="AB12" s="21" t="s">
        <v>90</v>
      </c>
      <c r="AC12" s="21" t="s">
        <v>88</v>
      </c>
      <c r="AD12" s="21" t="s">
        <v>90</v>
      </c>
      <c r="AE12" s="21"/>
      <c r="AF12" s="21" t="s">
        <v>88</v>
      </c>
      <c r="AG12" s="21"/>
      <c r="AH12" s="21" t="s">
        <v>90</v>
      </c>
    </row>
    <row r="13" spans="1:34" x14ac:dyDescent="0.35">
      <c r="A13" s="12" t="s">
        <v>195</v>
      </c>
      <c r="B13" s="19" t="s">
        <v>122</v>
      </c>
      <c r="C13" s="19" t="s">
        <v>115</v>
      </c>
      <c r="D13" s="19" t="s">
        <v>108</v>
      </c>
      <c r="E13" s="19" t="s">
        <v>130</v>
      </c>
      <c r="F13" s="20">
        <v>45322</v>
      </c>
      <c r="G13" s="19">
        <v>64</v>
      </c>
      <c r="H13" s="22"/>
      <c r="I13" s="22"/>
      <c r="J13" s="19" t="s">
        <v>483</v>
      </c>
      <c r="K13" s="21"/>
      <c r="L13" s="21" t="s">
        <v>88</v>
      </c>
      <c r="M13" s="21" t="s">
        <v>119</v>
      </c>
      <c r="N13" s="21"/>
      <c r="O13" s="21" t="s">
        <v>89</v>
      </c>
      <c r="P13" s="21"/>
      <c r="Q13" s="21"/>
      <c r="R13" s="21" t="s">
        <v>119</v>
      </c>
      <c r="S13" s="21" t="s">
        <v>88</v>
      </c>
      <c r="T13" s="21">
        <v>25.5</v>
      </c>
      <c r="U13" s="21"/>
      <c r="V13" s="21" t="s">
        <v>90</v>
      </c>
      <c r="W13" s="21" t="s">
        <v>89</v>
      </c>
      <c r="X13" s="21"/>
      <c r="Y13" s="21"/>
      <c r="Z13" s="21" t="s">
        <v>89</v>
      </c>
      <c r="AA13" s="45" t="s">
        <v>119</v>
      </c>
      <c r="AB13" s="21">
        <v>12</v>
      </c>
      <c r="AC13" s="21" t="s">
        <v>88</v>
      </c>
      <c r="AD13" s="21" t="s">
        <v>90</v>
      </c>
      <c r="AE13" s="21"/>
      <c r="AF13" s="21" t="s">
        <v>88</v>
      </c>
      <c r="AG13" s="21" t="s">
        <v>89</v>
      </c>
      <c r="AH13" s="21" t="s">
        <v>90</v>
      </c>
    </row>
    <row r="14" spans="1:34" x14ac:dyDescent="0.35">
      <c r="A14" s="12" t="s">
        <v>196</v>
      </c>
      <c r="B14" s="19" t="s">
        <v>125</v>
      </c>
      <c r="C14" s="19" t="s">
        <v>115</v>
      </c>
      <c r="D14" s="26" t="s">
        <v>108</v>
      </c>
      <c r="E14" s="19" t="s">
        <v>118</v>
      </c>
      <c r="F14" s="20">
        <v>45321</v>
      </c>
      <c r="G14" s="26">
        <v>71</v>
      </c>
      <c r="H14" s="25"/>
      <c r="I14" s="25"/>
      <c r="J14" s="19" t="s">
        <v>483</v>
      </c>
      <c r="K14" s="21"/>
      <c r="L14" s="21" t="s">
        <v>88</v>
      </c>
      <c r="M14" s="21" t="s">
        <v>119</v>
      </c>
      <c r="N14" s="21"/>
      <c r="O14" s="21" t="s">
        <v>89</v>
      </c>
      <c r="P14" s="21"/>
      <c r="Q14" s="21"/>
      <c r="R14" s="21"/>
      <c r="S14" s="21" t="s">
        <v>88</v>
      </c>
      <c r="T14" s="21">
        <v>26</v>
      </c>
      <c r="U14" s="21"/>
      <c r="V14" s="21" t="s">
        <v>90</v>
      </c>
      <c r="W14" s="21" t="s">
        <v>89</v>
      </c>
      <c r="X14" s="21" t="s">
        <v>88</v>
      </c>
      <c r="Y14" s="21" t="s">
        <v>88</v>
      </c>
      <c r="Z14" s="21" t="s">
        <v>89</v>
      </c>
      <c r="AA14" s="28" t="s">
        <v>119</v>
      </c>
      <c r="AB14" s="21" t="s">
        <v>90</v>
      </c>
      <c r="AC14" s="21" t="s">
        <v>88</v>
      </c>
      <c r="AD14" s="21" t="s">
        <v>90</v>
      </c>
      <c r="AE14" s="21" t="s">
        <v>88</v>
      </c>
      <c r="AF14" s="21" t="s">
        <v>88</v>
      </c>
      <c r="AG14" s="21" t="s">
        <v>89</v>
      </c>
      <c r="AH14" s="21" t="s">
        <v>90</v>
      </c>
    </row>
    <row r="17" spans="2:2" x14ac:dyDescent="0.35">
      <c r="B17" t="s">
        <v>477</v>
      </c>
    </row>
  </sheetData>
  <phoneticPr fontId="3" type="noConversion"/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F0E6D-7865-428D-BA39-ADF846A24869}">
  <sheetPr>
    <outlinePr summaryBelow="0"/>
  </sheetPr>
  <dimension ref="A1:BD33"/>
  <sheetViews>
    <sheetView topLeftCell="AD1" zoomScaleNormal="100" workbookViewId="0">
      <selection activeCell="B1" sqref="B1:BD1"/>
    </sheetView>
  </sheetViews>
  <sheetFormatPr baseColWidth="10" defaultColWidth="9.1796875" defaultRowHeight="14.5" x14ac:dyDescent="0.35"/>
  <cols>
    <col min="1" max="1" width="46.1796875" customWidth="1"/>
    <col min="2" max="56" width="9.26953125" customWidth="1"/>
  </cols>
  <sheetData>
    <row r="1" spans="1:56" ht="16.5" customHeight="1" x14ac:dyDescent="0.35">
      <c r="A1" s="3" t="s">
        <v>30</v>
      </c>
      <c r="B1" s="2" t="s">
        <v>52</v>
      </c>
      <c r="C1" s="2" t="s">
        <v>31</v>
      </c>
      <c r="D1" s="2" t="s">
        <v>55</v>
      </c>
      <c r="E1" s="2" t="s">
        <v>7</v>
      </c>
      <c r="F1" s="2" t="s">
        <v>5</v>
      </c>
      <c r="G1" s="2" t="s">
        <v>19</v>
      </c>
      <c r="H1" s="2" t="s">
        <v>65</v>
      </c>
      <c r="I1" s="2" t="s">
        <v>87</v>
      </c>
      <c r="J1" s="2" t="s">
        <v>84</v>
      </c>
      <c r="K1" s="2" t="s">
        <v>73</v>
      </c>
      <c r="L1" s="2" t="s">
        <v>76</v>
      </c>
      <c r="M1" s="2" t="s">
        <v>14</v>
      </c>
      <c r="N1" s="2" t="s">
        <v>56</v>
      </c>
      <c r="O1" s="2" t="s">
        <v>61</v>
      </c>
      <c r="P1" s="2" t="s">
        <v>37</v>
      </c>
      <c r="Q1" s="2" t="s">
        <v>28</v>
      </c>
      <c r="R1" s="2" t="s">
        <v>85</v>
      </c>
      <c r="S1" s="2" t="s">
        <v>82</v>
      </c>
      <c r="T1" s="2" t="s">
        <v>78</v>
      </c>
      <c r="U1" s="2" t="s">
        <v>12</v>
      </c>
      <c r="V1" s="2" t="s">
        <v>77</v>
      </c>
      <c r="W1" s="2" t="s">
        <v>38</v>
      </c>
      <c r="X1" s="2" t="s">
        <v>71</v>
      </c>
      <c r="Y1" s="2" t="s">
        <v>22</v>
      </c>
      <c r="Z1" s="2" t="s">
        <v>26</v>
      </c>
      <c r="AA1" s="2" t="s">
        <v>53</v>
      </c>
      <c r="AB1" s="2" t="s">
        <v>25</v>
      </c>
      <c r="AC1" s="2" t="s">
        <v>40</v>
      </c>
      <c r="AD1" s="2" t="s">
        <v>81</v>
      </c>
      <c r="AE1" s="2" t="s">
        <v>35</v>
      </c>
      <c r="AF1" s="2" t="s">
        <v>86</v>
      </c>
      <c r="AG1" s="2" t="s">
        <v>17</v>
      </c>
      <c r="AH1" s="2" t="s">
        <v>36</v>
      </c>
      <c r="AI1" s="2" t="s">
        <v>34</v>
      </c>
      <c r="AJ1" s="2" t="s">
        <v>83</v>
      </c>
      <c r="AK1" s="2" t="s">
        <v>59</v>
      </c>
      <c r="AL1" s="2" t="s">
        <v>67</v>
      </c>
      <c r="AM1" s="2" t="s">
        <v>50</v>
      </c>
      <c r="AN1" s="2" t="s">
        <v>80</v>
      </c>
      <c r="AO1" s="2" t="s">
        <v>29</v>
      </c>
      <c r="AP1" s="2" t="s">
        <v>13</v>
      </c>
      <c r="AQ1" s="2" t="s">
        <v>70</v>
      </c>
      <c r="AR1" s="2" t="s">
        <v>15</v>
      </c>
      <c r="AS1" s="2" t="s">
        <v>41</v>
      </c>
      <c r="AT1" s="2" t="s">
        <v>10</v>
      </c>
      <c r="AU1" s="2" t="s">
        <v>2</v>
      </c>
      <c r="AV1" s="2" t="s">
        <v>20</v>
      </c>
      <c r="AW1" s="2" t="s">
        <v>24</v>
      </c>
      <c r="AX1" s="2" t="s">
        <v>75</v>
      </c>
      <c r="AY1" s="2" t="s">
        <v>32</v>
      </c>
      <c r="AZ1" s="2" t="s">
        <v>21</v>
      </c>
      <c r="BA1" s="2" t="s">
        <v>27</v>
      </c>
      <c r="BB1" s="2" t="s">
        <v>44</v>
      </c>
      <c r="BC1" s="2" t="s">
        <v>1</v>
      </c>
      <c r="BD1" s="2" t="s">
        <v>60</v>
      </c>
    </row>
    <row r="2" spans="1:56" x14ac:dyDescent="0.35">
      <c r="A2" s="1" t="s">
        <v>49</v>
      </c>
      <c r="B2" s="4"/>
      <c r="C2" s="4"/>
      <c r="D2" s="4">
        <v>9.0225710526774403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>
        <v>10.9915351209645</v>
      </c>
      <c r="T2" s="4"/>
      <c r="U2" s="4"/>
      <c r="V2" s="4">
        <v>10.027304272081301</v>
      </c>
      <c r="W2" s="4"/>
      <c r="X2" s="4">
        <v>29.839753961405499</v>
      </c>
      <c r="Y2" s="4">
        <v>12.462209040901501</v>
      </c>
      <c r="Z2" s="4"/>
      <c r="AA2" s="4"/>
      <c r="AB2" s="4"/>
      <c r="AC2" s="4"/>
      <c r="AD2" s="4">
        <v>4.4499152102204604</v>
      </c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>
        <v>50.3668477988967</v>
      </c>
      <c r="AQ2" s="4">
        <v>19.618121863304399</v>
      </c>
      <c r="AR2" s="4"/>
      <c r="AS2" s="4"/>
      <c r="AT2" s="4"/>
      <c r="AU2" s="4"/>
      <c r="AV2" s="4"/>
      <c r="AW2" s="4">
        <v>40.216665025078001</v>
      </c>
      <c r="AX2" s="4"/>
      <c r="AY2" s="4"/>
      <c r="AZ2" s="4"/>
      <c r="BA2" s="4"/>
      <c r="BB2" s="4"/>
      <c r="BC2" s="4"/>
      <c r="BD2" s="4"/>
    </row>
    <row r="3" spans="1:56" x14ac:dyDescent="0.35">
      <c r="A3" s="1" t="s">
        <v>58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>
        <v>1.4</v>
      </c>
      <c r="AQ3" s="4"/>
      <c r="AR3" s="4">
        <v>9.3000000000000007</v>
      </c>
      <c r="AS3" s="4"/>
      <c r="AT3" s="4"/>
      <c r="AU3" s="4"/>
      <c r="AV3" s="4"/>
      <c r="AW3" s="4"/>
      <c r="AX3" s="4"/>
      <c r="AY3" s="4"/>
      <c r="AZ3" s="4">
        <v>1.8</v>
      </c>
      <c r="BA3" s="4"/>
      <c r="BB3" s="4"/>
      <c r="BC3" s="4"/>
      <c r="BD3" s="4"/>
    </row>
    <row r="4" spans="1:56" x14ac:dyDescent="0.35">
      <c r="A4" s="1" t="s">
        <v>57</v>
      </c>
      <c r="B4" s="4" t="s">
        <v>88</v>
      </c>
      <c r="C4" s="4"/>
      <c r="D4" s="4" t="s">
        <v>88</v>
      </c>
      <c r="E4" s="4" t="s">
        <v>88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 t="s">
        <v>88</v>
      </c>
      <c r="AC4" s="4"/>
      <c r="AD4" s="4"/>
      <c r="AE4" s="4"/>
      <c r="AF4" s="4"/>
      <c r="AG4" s="4"/>
      <c r="AH4" s="4"/>
      <c r="AI4" s="4" t="s">
        <v>88</v>
      </c>
      <c r="AJ4" s="4"/>
      <c r="AK4" s="4" t="s">
        <v>88</v>
      </c>
      <c r="AL4" s="4"/>
      <c r="AM4" s="4"/>
      <c r="AN4" s="4"/>
      <c r="AO4" s="4"/>
      <c r="AP4" s="4"/>
      <c r="AQ4" s="4"/>
      <c r="AR4" s="4"/>
      <c r="AS4" s="4"/>
      <c r="AT4" s="4"/>
      <c r="AU4" s="4"/>
      <c r="AV4" s="4" t="s">
        <v>88</v>
      </c>
      <c r="AW4" s="4"/>
      <c r="AX4" s="4"/>
      <c r="AY4" s="4"/>
      <c r="AZ4" s="4"/>
      <c r="BA4" s="4" t="s">
        <v>88</v>
      </c>
      <c r="BB4" s="4"/>
      <c r="BC4" s="4" t="s">
        <v>88</v>
      </c>
      <c r="BD4" s="4"/>
    </row>
    <row r="5" spans="1:56" x14ac:dyDescent="0.35">
      <c r="A5" s="1" t="s">
        <v>64</v>
      </c>
      <c r="B5" s="4">
        <v>0.974019169068429</v>
      </c>
      <c r="C5" s="4">
        <v>1.0242220775983999</v>
      </c>
      <c r="D5" s="4">
        <v>1.28363820445182</v>
      </c>
      <c r="E5" s="4">
        <v>2.1821232846259702</v>
      </c>
      <c r="F5" s="4">
        <v>1.25645205383467</v>
      </c>
      <c r="G5" s="4" t="s">
        <v>88</v>
      </c>
      <c r="H5" s="4" t="s">
        <v>88</v>
      </c>
      <c r="I5" s="4" t="s">
        <v>88</v>
      </c>
      <c r="J5" s="4" t="s">
        <v>88</v>
      </c>
      <c r="K5" s="4">
        <v>1.06312161620882</v>
      </c>
      <c r="L5" s="4"/>
      <c r="M5" s="4" t="s">
        <v>88</v>
      </c>
      <c r="N5" s="4" t="s">
        <v>88</v>
      </c>
      <c r="O5" s="4" t="s">
        <v>88</v>
      </c>
      <c r="P5" s="4" t="s">
        <v>88</v>
      </c>
      <c r="Q5" s="4">
        <v>1.1137933326274101</v>
      </c>
      <c r="R5" s="4" t="s">
        <v>88</v>
      </c>
      <c r="S5" s="4">
        <v>1.15850829771571</v>
      </c>
      <c r="T5" s="4" t="s">
        <v>88</v>
      </c>
      <c r="U5" s="4" t="s">
        <v>88</v>
      </c>
      <c r="V5" s="4" t="s">
        <v>88</v>
      </c>
      <c r="W5" s="4" t="s">
        <v>88</v>
      </c>
      <c r="X5" s="4" t="s">
        <v>88</v>
      </c>
      <c r="Y5" s="4"/>
      <c r="Z5" s="4" t="s">
        <v>88</v>
      </c>
      <c r="AA5" s="4" t="s">
        <v>88</v>
      </c>
      <c r="AB5" s="4">
        <v>1.2160122456792799</v>
      </c>
      <c r="AC5" s="4" t="s">
        <v>88</v>
      </c>
      <c r="AD5" s="4" t="s">
        <v>88</v>
      </c>
      <c r="AE5" s="4" t="s">
        <v>88</v>
      </c>
      <c r="AF5" s="4" t="s">
        <v>88</v>
      </c>
      <c r="AG5" s="4" t="s">
        <v>88</v>
      </c>
      <c r="AH5" s="4" t="s">
        <v>88</v>
      </c>
      <c r="AI5" s="4" t="s">
        <v>88</v>
      </c>
      <c r="AJ5" s="4" t="s">
        <v>88</v>
      </c>
      <c r="AK5" s="4">
        <v>1.1175766107151901</v>
      </c>
      <c r="AL5" s="4" t="s">
        <v>88</v>
      </c>
      <c r="AM5" s="4" t="s">
        <v>88</v>
      </c>
      <c r="AN5" s="4" t="s">
        <v>88</v>
      </c>
      <c r="AO5" s="4" t="s">
        <v>88</v>
      </c>
      <c r="AP5" s="4" t="s">
        <v>88</v>
      </c>
      <c r="AQ5" s="4" t="s">
        <v>88</v>
      </c>
      <c r="AR5" s="4" t="s">
        <v>88</v>
      </c>
      <c r="AS5" s="4" t="s">
        <v>88</v>
      </c>
      <c r="AT5" s="4" t="s">
        <v>88</v>
      </c>
      <c r="AU5" s="4" t="s">
        <v>88</v>
      </c>
      <c r="AV5" s="4">
        <v>1.1672958262061299</v>
      </c>
      <c r="AW5" s="4" t="s">
        <v>88</v>
      </c>
      <c r="AX5" s="4">
        <v>1.0323827416993501</v>
      </c>
      <c r="AY5" s="4" t="s">
        <v>88</v>
      </c>
      <c r="AZ5" s="4" t="s">
        <v>88</v>
      </c>
      <c r="BA5" s="4">
        <v>1.6299536048550001</v>
      </c>
      <c r="BB5" s="4" t="s">
        <v>88</v>
      </c>
      <c r="BC5" s="4">
        <v>1.58781303922678</v>
      </c>
      <c r="BD5" s="4" t="s">
        <v>88</v>
      </c>
    </row>
    <row r="6" spans="1:56" x14ac:dyDescent="0.35">
      <c r="A6" s="1" t="s">
        <v>79</v>
      </c>
      <c r="B6" s="4">
        <v>1.14560260240712</v>
      </c>
      <c r="C6" s="4">
        <v>1.38102050108065</v>
      </c>
      <c r="D6" s="4">
        <v>1.4289813710123001</v>
      </c>
      <c r="E6" s="4">
        <v>1.19212431011757</v>
      </c>
      <c r="F6" s="4">
        <v>1.47718456576694</v>
      </c>
      <c r="G6" s="4" t="s">
        <v>88</v>
      </c>
      <c r="H6" s="4" t="s">
        <v>88</v>
      </c>
      <c r="I6" s="4" t="s">
        <v>88</v>
      </c>
      <c r="J6" s="4" t="s">
        <v>88</v>
      </c>
      <c r="K6" s="4">
        <v>1.1806413634467201</v>
      </c>
      <c r="L6" s="4" t="s">
        <v>88</v>
      </c>
      <c r="M6" s="4" t="s">
        <v>88</v>
      </c>
      <c r="N6" s="4" t="s">
        <v>88</v>
      </c>
      <c r="O6" s="4" t="s">
        <v>88</v>
      </c>
      <c r="P6" s="4" t="s">
        <v>88</v>
      </c>
      <c r="Q6" s="4">
        <v>1.30197818760118</v>
      </c>
      <c r="R6" s="4" t="s">
        <v>88</v>
      </c>
      <c r="S6" s="4">
        <v>1.3351096805153799</v>
      </c>
      <c r="T6" s="4" t="s">
        <v>88</v>
      </c>
      <c r="U6" s="4" t="s">
        <v>88</v>
      </c>
      <c r="V6" s="4" t="s">
        <v>88</v>
      </c>
      <c r="W6" s="4" t="s">
        <v>88</v>
      </c>
      <c r="X6" s="4" t="s">
        <v>88</v>
      </c>
      <c r="Y6" s="4" t="s">
        <v>88</v>
      </c>
      <c r="Z6" s="4" t="s">
        <v>88</v>
      </c>
      <c r="AA6" s="4" t="s">
        <v>88</v>
      </c>
      <c r="AB6" s="4">
        <v>1.6133686056740399</v>
      </c>
      <c r="AC6" s="4" t="s">
        <v>88</v>
      </c>
      <c r="AD6" s="4" t="s">
        <v>88</v>
      </c>
      <c r="AE6" s="4" t="s">
        <v>88</v>
      </c>
      <c r="AF6" s="4" t="s">
        <v>88</v>
      </c>
      <c r="AG6" s="4" t="s">
        <v>88</v>
      </c>
      <c r="AH6" s="4" t="s">
        <v>88</v>
      </c>
      <c r="AI6" s="4" t="s">
        <v>88</v>
      </c>
      <c r="AJ6" s="4" t="s">
        <v>88</v>
      </c>
      <c r="AK6" s="4">
        <v>1.2112831362313601</v>
      </c>
      <c r="AL6" s="4" t="s">
        <v>88</v>
      </c>
      <c r="AM6" s="4" t="s">
        <v>88</v>
      </c>
      <c r="AN6" s="4" t="s">
        <v>88</v>
      </c>
      <c r="AO6" s="4">
        <v>1.01366255075013</v>
      </c>
      <c r="AP6" s="4" t="s">
        <v>88</v>
      </c>
      <c r="AQ6" s="4" t="s">
        <v>88</v>
      </c>
      <c r="AR6" s="4" t="s">
        <v>88</v>
      </c>
      <c r="AS6" s="4" t="s">
        <v>88</v>
      </c>
      <c r="AT6" s="4" t="s">
        <v>88</v>
      </c>
      <c r="AU6" s="4" t="s">
        <v>88</v>
      </c>
      <c r="AV6" s="4">
        <v>1.3802889071205</v>
      </c>
      <c r="AW6" s="4" t="s">
        <v>88</v>
      </c>
      <c r="AX6" s="4">
        <v>1.07364321727012</v>
      </c>
      <c r="AY6" s="4" t="s">
        <v>88</v>
      </c>
      <c r="AZ6" s="4" t="s">
        <v>88</v>
      </c>
      <c r="BA6" s="4">
        <v>2.2593226146991201</v>
      </c>
      <c r="BB6" s="4" t="s">
        <v>88</v>
      </c>
      <c r="BC6" s="4">
        <v>2.4438399567059199</v>
      </c>
      <c r="BD6" s="4" t="s">
        <v>88</v>
      </c>
    </row>
    <row r="7" spans="1:56" x14ac:dyDescent="0.35">
      <c r="A7" s="1" t="s">
        <v>48</v>
      </c>
      <c r="B7" s="4" t="s">
        <v>89</v>
      </c>
      <c r="C7" s="4" t="s">
        <v>89</v>
      </c>
      <c r="D7" s="4" t="s">
        <v>89</v>
      </c>
      <c r="E7" s="4" t="s">
        <v>89</v>
      </c>
      <c r="F7" s="4" t="s">
        <v>89</v>
      </c>
      <c r="G7" s="4" t="s">
        <v>89</v>
      </c>
      <c r="H7" s="4" t="s">
        <v>89</v>
      </c>
      <c r="I7" s="4" t="s">
        <v>89</v>
      </c>
      <c r="J7" s="4" t="s">
        <v>89</v>
      </c>
      <c r="K7" s="4" t="s">
        <v>89</v>
      </c>
      <c r="L7" s="4" t="s">
        <v>89</v>
      </c>
      <c r="M7" s="4" t="s">
        <v>89</v>
      </c>
      <c r="N7" s="4" t="s">
        <v>89</v>
      </c>
      <c r="O7" s="4" t="s">
        <v>89</v>
      </c>
      <c r="P7" s="4" t="s">
        <v>89</v>
      </c>
      <c r="Q7" s="4" t="s">
        <v>89</v>
      </c>
      <c r="R7" s="4" t="s">
        <v>89</v>
      </c>
      <c r="S7" s="4" t="s">
        <v>89</v>
      </c>
      <c r="T7" s="4" t="s">
        <v>89</v>
      </c>
      <c r="U7" s="4" t="s">
        <v>89</v>
      </c>
      <c r="V7" s="4" t="s">
        <v>89</v>
      </c>
      <c r="W7" s="4" t="s">
        <v>89</v>
      </c>
      <c r="X7" s="4" t="s">
        <v>89</v>
      </c>
      <c r="Y7" s="4" t="s">
        <v>89</v>
      </c>
      <c r="Z7" s="4" t="s">
        <v>89</v>
      </c>
      <c r="AA7" s="4">
        <v>6.14</v>
      </c>
      <c r="AB7" s="4" t="s">
        <v>89</v>
      </c>
      <c r="AC7" s="4" t="s">
        <v>89</v>
      </c>
      <c r="AD7" s="4" t="s">
        <v>89</v>
      </c>
      <c r="AE7" s="4" t="s">
        <v>89</v>
      </c>
      <c r="AF7" s="4" t="s">
        <v>89</v>
      </c>
      <c r="AG7" s="4" t="s">
        <v>89</v>
      </c>
      <c r="AH7" s="4" t="s">
        <v>89</v>
      </c>
      <c r="AI7" s="4" t="s">
        <v>89</v>
      </c>
      <c r="AJ7" s="4" t="s">
        <v>89</v>
      </c>
      <c r="AK7" s="4" t="s">
        <v>89</v>
      </c>
      <c r="AL7" s="4" t="s">
        <v>89</v>
      </c>
      <c r="AM7" s="4" t="s">
        <v>89</v>
      </c>
      <c r="AN7" s="4" t="s">
        <v>89</v>
      </c>
      <c r="AO7" s="4">
        <v>4.0599999999999996</v>
      </c>
      <c r="AP7" s="4" t="s">
        <v>89</v>
      </c>
      <c r="AQ7" s="4" t="s">
        <v>89</v>
      </c>
      <c r="AR7" s="4" t="s">
        <v>89</v>
      </c>
      <c r="AS7" s="4" t="s">
        <v>89</v>
      </c>
      <c r="AT7" s="4" t="s">
        <v>89</v>
      </c>
      <c r="AU7" s="4" t="s">
        <v>89</v>
      </c>
      <c r="AV7" s="4" t="s">
        <v>89</v>
      </c>
      <c r="AW7" s="4" t="s">
        <v>89</v>
      </c>
      <c r="AX7" s="4" t="s">
        <v>89</v>
      </c>
      <c r="AY7" s="4" t="s">
        <v>89</v>
      </c>
      <c r="AZ7" s="4" t="s">
        <v>89</v>
      </c>
      <c r="BA7" s="4" t="s">
        <v>89</v>
      </c>
      <c r="BB7" s="4" t="s">
        <v>89</v>
      </c>
      <c r="BC7" s="4" t="s">
        <v>89</v>
      </c>
      <c r="BD7" s="4" t="s">
        <v>89</v>
      </c>
    </row>
    <row r="8" spans="1:56" x14ac:dyDescent="0.35">
      <c r="A8" s="1" t="s">
        <v>69</v>
      </c>
      <c r="B8" s="4">
        <v>23.16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 t="s">
        <v>90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 t="s">
        <v>90</v>
      </c>
      <c r="AY8" s="4"/>
      <c r="AZ8" s="4"/>
      <c r="BA8" s="4"/>
      <c r="BB8" s="4"/>
      <c r="BC8" s="4" t="s">
        <v>72</v>
      </c>
      <c r="BD8" s="4" t="s">
        <v>90</v>
      </c>
    </row>
    <row r="9" spans="1:56" x14ac:dyDescent="0.35">
      <c r="A9" s="1" t="s">
        <v>63</v>
      </c>
      <c r="B9" s="4"/>
      <c r="C9" s="4"/>
      <c r="D9" s="4"/>
      <c r="E9" s="4"/>
      <c r="F9" s="4" t="s">
        <v>88</v>
      </c>
      <c r="G9" s="4"/>
      <c r="H9" s="4"/>
      <c r="I9" s="4"/>
      <c r="J9" s="4"/>
      <c r="K9" s="4"/>
      <c r="L9" s="4"/>
      <c r="M9" s="4"/>
      <c r="N9" s="4"/>
      <c r="O9" s="4"/>
      <c r="P9" s="4"/>
      <c r="Q9" s="4" t="s">
        <v>88</v>
      </c>
      <c r="R9" s="4"/>
      <c r="S9" s="4"/>
      <c r="T9" s="4"/>
      <c r="U9" s="4"/>
      <c r="V9" s="4" t="s">
        <v>88</v>
      </c>
      <c r="W9" s="4"/>
      <c r="X9" s="4"/>
      <c r="Y9" s="4"/>
      <c r="Z9" s="4"/>
      <c r="AA9" s="4"/>
      <c r="AB9" s="4" t="s">
        <v>88</v>
      </c>
      <c r="AC9" s="4"/>
      <c r="AD9" s="4"/>
      <c r="AE9" s="4"/>
      <c r="AF9" s="4"/>
      <c r="AG9" s="4"/>
      <c r="AH9" s="4"/>
      <c r="AI9" s="4" t="s">
        <v>88</v>
      </c>
      <c r="AJ9" s="4"/>
      <c r="AK9" s="4"/>
      <c r="AL9" s="4"/>
      <c r="AM9" s="4"/>
      <c r="AN9" s="4" t="s">
        <v>88</v>
      </c>
      <c r="AO9" s="4"/>
      <c r="AP9" s="4" t="s">
        <v>88</v>
      </c>
      <c r="AQ9" s="4"/>
      <c r="AR9" s="4"/>
      <c r="AS9" s="4"/>
      <c r="AT9" s="4"/>
      <c r="AU9" s="4"/>
      <c r="AV9" s="4"/>
      <c r="AW9" s="4"/>
      <c r="AX9" s="4" t="s">
        <v>88</v>
      </c>
      <c r="AY9" s="4"/>
      <c r="AZ9" s="4" t="s">
        <v>88</v>
      </c>
      <c r="BA9" s="4" t="s">
        <v>88</v>
      </c>
      <c r="BB9" s="4"/>
      <c r="BC9" s="4"/>
      <c r="BD9" s="4"/>
    </row>
    <row r="10" spans="1:56" x14ac:dyDescent="0.35">
      <c r="A10" s="1" t="s">
        <v>16</v>
      </c>
      <c r="B10" s="4" t="s">
        <v>89</v>
      </c>
      <c r="C10" s="4" t="s">
        <v>89</v>
      </c>
      <c r="D10" s="4">
        <v>10.65</v>
      </c>
      <c r="E10" s="4" t="s">
        <v>89</v>
      </c>
      <c r="F10" s="4" t="s">
        <v>89</v>
      </c>
      <c r="G10" s="4" t="s">
        <v>89</v>
      </c>
      <c r="H10" s="4" t="s">
        <v>89</v>
      </c>
      <c r="I10" s="4">
        <v>32.25</v>
      </c>
      <c r="J10" s="4" t="s">
        <v>89</v>
      </c>
      <c r="K10" s="4" t="s">
        <v>89</v>
      </c>
      <c r="L10" s="4" t="s">
        <v>89</v>
      </c>
      <c r="M10" s="4" t="s">
        <v>89</v>
      </c>
      <c r="N10" s="4" t="s">
        <v>89</v>
      </c>
      <c r="O10" s="4" t="s">
        <v>89</v>
      </c>
      <c r="P10" s="4" t="s">
        <v>89</v>
      </c>
      <c r="Q10" s="4" t="s">
        <v>89</v>
      </c>
      <c r="R10" s="4" t="s">
        <v>89</v>
      </c>
      <c r="S10" s="4">
        <v>6.57</v>
      </c>
      <c r="T10" s="4">
        <v>4.95</v>
      </c>
      <c r="U10" s="4">
        <v>29.52</v>
      </c>
      <c r="V10" s="4">
        <v>8.15</v>
      </c>
      <c r="W10" s="4">
        <v>4.63</v>
      </c>
      <c r="X10" s="4">
        <v>52.07</v>
      </c>
      <c r="Y10" s="4">
        <v>4.21</v>
      </c>
      <c r="Z10" s="4" t="s">
        <v>89</v>
      </c>
      <c r="AA10" s="4" t="s">
        <v>89</v>
      </c>
      <c r="AB10" s="4" t="s">
        <v>89</v>
      </c>
      <c r="AC10" s="4" t="s">
        <v>89</v>
      </c>
      <c r="AD10" s="4">
        <v>9.9700000000000006</v>
      </c>
      <c r="AE10" s="4">
        <v>11.58</v>
      </c>
      <c r="AF10" s="4" t="s">
        <v>89</v>
      </c>
      <c r="AG10" s="4" t="s">
        <v>89</v>
      </c>
      <c r="AH10" s="4">
        <v>11.58</v>
      </c>
      <c r="AI10" s="4" t="s">
        <v>89</v>
      </c>
      <c r="AJ10" s="4" t="s">
        <v>89</v>
      </c>
      <c r="AK10" s="4" t="s">
        <v>89</v>
      </c>
      <c r="AL10" s="4" t="s">
        <v>89</v>
      </c>
      <c r="AM10" s="4" t="s">
        <v>89</v>
      </c>
      <c r="AN10" s="4" t="s">
        <v>89</v>
      </c>
      <c r="AO10" s="4" t="s">
        <v>89</v>
      </c>
      <c r="AP10" s="4">
        <v>13.88</v>
      </c>
      <c r="AQ10" s="4">
        <v>4.78</v>
      </c>
      <c r="AR10" s="4" t="s">
        <v>89</v>
      </c>
      <c r="AS10" s="4">
        <v>4.1100000000000003</v>
      </c>
      <c r="AT10" s="4" t="s">
        <v>89</v>
      </c>
      <c r="AU10" s="4">
        <v>8.3699999999999992</v>
      </c>
      <c r="AV10" s="4">
        <v>5.71</v>
      </c>
      <c r="AW10" s="4">
        <v>9.84</v>
      </c>
      <c r="AX10" s="4" t="s">
        <v>89</v>
      </c>
      <c r="AY10" s="4" t="s">
        <v>89</v>
      </c>
      <c r="AZ10" s="4" t="s">
        <v>89</v>
      </c>
      <c r="BA10" s="4" t="s">
        <v>89</v>
      </c>
      <c r="BB10" s="4" t="s">
        <v>89</v>
      </c>
      <c r="BC10" s="4" t="s">
        <v>89</v>
      </c>
      <c r="BD10" s="4" t="s">
        <v>89</v>
      </c>
    </row>
    <row r="11" spans="1:56" x14ac:dyDescent="0.35">
      <c r="A11" s="1" t="s">
        <v>91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>
        <v>3.75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</row>
    <row r="12" spans="1:56" x14ac:dyDescent="0.35">
      <c r="A12" s="1" t="s">
        <v>3</v>
      </c>
      <c r="B12" s="4" t="s">
        <v>88</v>
      </c>
      <c r="C12" s="4" t="s">
        <v>88</v>
      </c>
      <c r="D12" s="4" t="s">
        <v>88</v>
      </c>
      <c r="E12" s="4">
        <v>1.8964980217218601</v>
      </c>
      <c r="F12" s="4" t="s">
        <v>88</v>
      </c>
      <c r="G12" s="4">
        <v>2.3458698856812101</v>
      </c>
      <c r="H12" s="4" t="s">
        <v>88</v>
      </c>
      <c r="I12" s="4" t="s">
        <v>88</v>
      </c>
      <c r="J12" s="4" t="s">
        <v>88</v>
      </c>
      <c r="K12" s="4" t="s">
        <v>88</v>
      </c>
      <c r="L12" s="4" t="s">
        <v>88</v>
      </c>
      <c r="M12" s="4" t="s">
        <v>88</v>
      </c>
      <c r="N12" s="4" t="s">
        <v>88</v>
      </c>
      <c r="O12" s="4" t="s">
        <v>88</v>
      </c>
      <c r="P12" s="4" t="s">
        <v>88</v>
      </c>
      <c r="Q12" s="4" t="s">
        <v>88</v>
      </c>
      <c r="R12" s="4" t="s">
        <v>88</v>
      </c>
      <c r="S12" s="4" t="s">
        <v>88</v>
      </c>
      <c r="T12" s="4" t="s">
        <v>88</v>
      </c>
      <c r="U12" s="4" t="s">
        <v>88</v>
      </c>
      <c r="V12" s="4" t="s">
        <v>88</v>
      </c>
      <c r="W12" s="4" t="s">
        <v>88</v>
      </c>
      <c r="X12" s="4" t="s">
        <v>88</v>
      </c>
      <c r="Y12" s="4" t="s">
        <v>88</v>
      </c>
      <c r="Z12" s="4" t="s">
        <v>88</v>
      </c>
      <c r="AA12" s="4" t="s">
        <v>88</v>
      </c>
      <c r="AB12" s="4" t="s">
        <v>88</v>
      </c>
      <c r="AC12" s="4" t="s">
        <v>88</v>
      </c>
      <c r="AD12" s="4" t="s">
        <v>88</v>
      </c>
      <c r="AE12" s="4" t="s">
        <v>88</v>
      </c>
      <c r="AF12" s="4" t="s">
        <v>88</v>
      </c>
      <c r="AG12" s="4" t="s">
        <v>88</v>
      </c>
      <c r="AH12" s="4" t="s">
        <v>88</v>
      </c>
      <c r="AI12" s="4" t="s">
        <v>88</v>
      </c>
      <c r="AJ12" s="4" t="s">
        <v>88</v>
      </c>
      <c r="AK12" s="4" t="s">
        <v>88</v>
      </c>
      <c r="AL12" s="4" t="s">
        <v>88</v>
      </c>
      <c r="AM12" s="4" t="s">
        <v>88</v>
      </c>
      <c r="AN12" s="4" t="s">
        <v>88</v>
      </c>
      <c r="AO12" s="4" t="s">
        <v>88</v>
      </c>
      <c r="AP12" s="4" t="s">
        <v>88</v>
      </c>
      <c r="AQ12" s="4" t="s">
        <v>88</v>
      </c>
      <c r="AR12" s="4" t="s">
        <v>88</v>
      </c>
      <c r="AS12" s="4" t="s">
        <v>88</v>
      </c>
      <c r="AT12" s="4" t="s">
        <v>88</v>
      </c>
      <c r="AU12" s="4" t="s">
        <v>88</v>
      </c>
      <c r="AV12" s="4" t="s">
        <v>88</v>
      </c>
      <c r="AW12" s="4" t="s">
        <v>88</v>
      </c>
      <c r="AX12" s="4" t="s">
        <v>88</v>
      </c>
      <c r="AY12" s="4" t="s">
        <v>88</v>
      </c>
      <c r="AZ12" s="4" t="s">
        <v>88</v>
      </c>
      <c r="BA12" s="4" t="s">
        <v>88</v>
      </c>
      <c r="BB12" s="4" t="s">
        <v>88</v>
      </c>
      <c r="BC12" s="4" t="s">
        <v>88</v>
      </c>
      <c r="BD12" s="4" t="s">
        <v>88</v>
      </c>
    </row>
    <row r="13" spans="1:56" x14ac:dyDescent="0.35">
      <c r="A13" s="1" t="s">
        <v>74</v>
      </c>
      <c r="B13" s="4" t="s">
        <v>92</v>
      </c>
      <c r="C13" s="4" t="s">
        <v>92</v>
      </c>
      <c r="D13" s="4" t="s">
        <v>92</v>
      </c>
      <c r="E13" s="4" t="s">
        <v>92</v>
      </c>
      <c r="F13" s="4" t="s">
        <v>92</v>
      </c>
      <c r="G13" s="4" t="s">
        <v>92</v>
      </c>
      <c r="H13" s="4" t="s">
        <v>92</v>
      </c>
      <c r="I13" s="4" t="s">
        <v>92</v>
      </c>
      <c r="J13" s="4" t="s">
        <v>92</v>
      </c>
      <c r="K13" s="4">
        <v>26.035186865222201</v>
      </c>
      <c r="L13" s="4" t="s">
        <v>92</v>
      </c>
      <c r="M13" s="4" t="s">
        <v>92</v>
      </c>
      <c r="N13" s="4">
        <v>38.033940370266102</v>
      </c>
      <c r="O13" s="4" t="s">
        <v>92</v>
      </c>
      <c r="P13" s="4" t="s">
        <v>92</v>
      </c>
      <c r="Q13" s="4" t="s">
        <v>92</v>
      </c>
      <c r="R13" s="4" t="s">
        <v>92</v>
      </c>
      <c r="S13" s="4" t="s">
        <v>92</v>
      </c>
      <c r="T13" s="4" t="s">
        <v>92</v>
      </c>
      <c r="U13" s="4" t="s">
        <v>92</v>
      </c>
      <c r="V13" s="4" t="s">
        <v>92</v>
      </c>
      <c r="W13" s="4" t="s">
        <v>92</v>
      </c>
      <c r="X13" s="4">
        <v>31.824850255098099</v>
      </c>
      <c r="Y13" s="4" t="s">
        <v>92</v>
      </c>
      <c r="Z13" s="4" t="s">
        <v>92</v>
      </c>
      <c r="AA13" s="4" t="s">
        <v>92</v>
      </c>
      <c r="AB13" s="4" t="s">
        <v>92</v>
      </c>
      <c r="AC13" s="4" t="s">
        <v>92</v>
      </c>
      <c r="AD13" s="4" t="s">
        <v>92</v>
      </c>
      <c r="AE13" s="4" t="s">
        <v>92</v>
      </c>
      <c r="AF13" s="4" t="s">
        <v>92</v>
      </c>
      <c r="AG13" s="4" t="s">
        <v>92</v>
      </c>
      <c r="AH13" s="4" t="s">
        <v>92</v>
      </c>
      <c r="AI13" s="4" t="s">
        <v>92</v>
      </c>
      <c r="AJ13" s="4" t="s">
        <v>92</v>
      </c>
      <c r="AK13" s="4" t="s">
        <v>92</v>
      </c>
      <c r="AL13" s="4" t="s">
        <v>92</v>
      </c>
      <c r="AM13" s="4" t="s">
        <v>92</v>
      </c>
      <c r="AN13" s="4" t="s">
        <v>92</v>
      </c>
      <c r="AO13" s="4" t="s">
        <v>92</v>
      </c>
      <c r="AP13" s="4" t="s">
        <v>92</v>
      </c>
      <c r="AQ13" s="4" t="s">
        <v>92</v>
      </c>
      <c r="AR13" s="4" t="s">
        <v>92</v>
      </c>
      <c r="AS13" s="4" t="s">
        <v>92</v>
      </c>
      <c r="AT13" s="4" t="s">
        <v>92</v>
      </c>
      <c r="AU13" s="4" t="s">
        <v>92</v>
      </c>
      <c r="AV13" s="4" t="s">
        <v>92</v>
      </c>
      <c r="AW13" s="4" t="s">
        <v>92</v>
      </c>
      <c r="AX13" s="4" t="s">
        <v>92</v>
      </c>
      <c r="AY13" s="4" t="s">
        <v>92</v>
      </c>
      <c r="AZ13" s="4">
        <v>29.223384338285499</v>
      </c>
      <c r="BA13" s="4" t="s">
        <v>92</v>
      </c>
      <c r="BB13" s="4" t="s">
        <v>92</v>
      </c>
      <c r="BC13" s="4" t="s">
        <v>92</v>
      </c>
      <c r="BD13" s="4" t="s">
        <v>92</v>
      </c>
    </row>
    <row r="14" spans="1:56" x14ac:dyDescent="0.35">
      <c r="A14" s="1" t="s">
        <v>6</v>
      </c>
      <c r="B14" s="4"/>
      <c r="C14" s="4"/>
      <c r="D14" s="4">
        <v>6.4891030376112298</v>
      </c>
      <c r="E14" s="4"/>
      <c r="F14" s="4">
        <v>7.1114088234580404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8.5661383890271008</v>
      </c>
      <c r="R14" s="4"/>
      <c r="S14" s="4"/>
      <c r="T14" s="4">
        <v>6.4424456385236297</v>
      </c>
      <c r="U14" s="4"/>
      <c r="V14" s="4"/>
      <c r="W14" s="4"/>
      <c r="X14" s="4"/>
      <c r="Y14" s="4" t="s">
        <v>89</v>
      </c>
      <c r="Z14" s="4"/>
      <c r="AA14" s="4"/>
      <c r="AB14" s="4"/>
      <c r="AC14" s="4"/>
      <c r="AD14" s="4"/>
      <c r="AE14" s="4"/>
      <c r="AF14" s="4"/>
      <c r="AG14" s="4">
        <v>5.3606352740391499</v>
      </c>
      <c r="AH14" s="4"/>
      <c r="AI14" s="4"/>
      <c r="AJ14" s="4">
        <v>4.4849661288753202</v>
      </c>
      <c r="AK14" s="4"/>
      <c r="AL14" s="4">
        <v>16.9114945836609</v>
      </c>
      <c r="AM14" s="4"/>
      <c r="AN14" s="4">
        <v>6.9042763780322396</v>
      </c>
      <c r="AO14" s="4"/>
      <c r="AP14" s="4">
        <v>8.2465455177531108</v>
      </c>
      <c r="AQ14" s="4"/>
      <c r="AR14" s="4"/>
      <c r="AS14" s="4"/>
      <c r="AT14" s="4"/>
      <c r="AU14" s="4"/>
      <c r="AV14" s="4"/>
      <c r="AW14" s="4">
        <v>7.7730390596407197</v>
      </c>
      <c r="AX14" s="4">
        <v>10.4752578342324</v>
      </c>
      <c r="AY14" s="4"/>
      <c r="AZ14" s="4">
        <v>4.1997902009149204</v>
      </c>
      <c r="BA14" s="4">
        <v>7.7478672128013901</v>
      </c>
      <c r="BB14" s="4">
        <v>12.2289498253276</v>
      </c>
      <c r="BC14" s="4">
        <v>16.445724711989499</v>
      </c>
      <c r="BD14" s="4">
        <v>13.2258086511959</v>
      </c>
    </row>
    <row r="15" spans="1:56" x14ac:dyDescent="0.35">
      <c r="A15" s="1" t="s">
        <v>54</v>
      </c>
      <c r="B15" s="4"/>
      <c r="C15" s="4"/>
      <c r="D15" s="4"/>
      <c r="E15" s="4" t="s">
        <v>90</v>
      </c>
      <c r="F15" s="4"/>
      <c r="G15" s="4" t="s">
        <v>90</v>
      </c>
      <c r="H15" s="4" t="s">
        <v>90</v>
      </c>
      <c r="I15" s="4"/>
      <c r="J15" s="4" t="s">
        <v>90</v>
      </c>
      <c r="K15" s="4" t="s">
        <v>90</v>
      </c>
      <c r="L15" s="4" t="s">
        <v>90</v>
      </c>
      <c r="M15" s="4" t="s">
        <v>90</v>
      </c>
      <c r="N15" s="4" t="s">
        <v>90</v>
      </c>
      <c r="O15" s="4"/>
      <c r="P15" s="4" t="s">
        <v>90</v>
      </c>
      <c r="Q15" s="4"/>
      <c r="R15" s="4"/>
      <c r="S15" s="4" t="s">
        <v>90</v>
      </c>
      <c r="T15" s="4" t="s">
        <v>90</v>
      </c>
      <c r="U15" s="4" t="s">
        <v>90</v>
      </c>
      <c r="V15" s="4"/>
      <c r="W15" s="4"/>
      <c r="X15" s="4"/>
      <c r="Y15" s="4"/>
      <c r="Z15" s="4"/>
      <c r="AA15" s="4"/>
      <c r="AB15" s="4" t="s">
        <v>90</v>
      </c>
      <c r="AC15" s="4" t="s">
        <v>90</v>
      </c>
      <c r="AD15" s="4"/>
      <c r="AE15" s="4" t="s">
        <v>90</v>
      </c>
      <c r="AF15" s="4"/>
      <c r="AG15" s="4" t="s">
        <v>90</v>
      </c>
      <c r="AH15" s="4" t="s">
        <v>90</v>
      </c>
      <c r="AI15" s="4" t="s">
        <v>90</v>
      </c>
      <c r="AJ15" s="4" t="s">
        <v>90</v>
      </c>
      <c r="AK15" s="4" t="s">
        <v>90</v>
      </c>
      <c r="AL15" s="4"/>
      <c r="AM15" s="4"/>
      <c r="AN15" s="4" t="s">
        <v>90</v>
      </c>
      <c r="AO15" s="4" t="s">
        <v>90</v>
      </c>
      <c r="AP15" s="4" t="s">
        <v>90</v>
      </c>
      <c r="AQ15" s="4"/>
      <c r="AR15" s="4"/>
      <c r="AS15" s="4"/>
      <c r="AT15" s="4" t="s">
        <v>90</v>
      </c>
      <c r="AU15" s="4" t="s">
        <v>90</v>
      </c>
      <c r="AV15" s="4" t="s">
        <v>90</v>
      </c>
      <c r="AW15" s="4" t="s">
        <v>90</v>
      </c>
      <c r="AX15" s="4" t="s">
        <v>90</v>
      </c>
      <c r="AY15" s="4"/>
      <c r="AZ15" s="4" t="s">
        <v>90</v>
      </c>
      <c r="BA15" s="4" t="s">
        <v>90</v>
      </c>
      <c r="BB15" s="4"/>
      <c r="BC15" s="4"/>
      <c r="BD15" s="4"/>
    </row>
    <row r="16" spans="1:56" x14ac:dyDescent="0.35">
      <c r="A16" s="1" t="s">
        <v>18</v>
      </c>
      <c r="B16" s="4" t="s">
        <v>90</v>
      </c>
      <c r="C16" s="4" t="s">
        <v>90</v>
      </c>
      <c r="D16" s="4" t="s">
        <v>90</v>
      </c>
      <c r="E16" s="4" t="s">
        <v>90</v>
      </c>
      <c r="F16" s="4" t="s">
        <v>90</v>
      </c>
      <c r="G16" s="4" t="s">
        <v>90</v>
      </c>
      <c r="H16" s="4" t="s">
        <v>90</v>
      </c>
      <c r="I16" s="4" t="s">
        <v>90</v>
      </c>
      <c r="J16" s="4" t="s">
        <v>90</v>
      </c>
      <c r="K16" s="4" t="s">
        <v>90</v>
      </c>
      <c r="L16" s="4" t="s">
        <v>90</v>
      </c>
      <c r="M16" s="4" t="s">
        <v>90</v>
      </c>
      <c r="N16" s="4" t="s">
        <v>90</v>
      </c>
      <c r="O16" s="4" t="s">
        <v>90</v>
      </c>
      <c r="P16" s="4" t="s">
        <v>90</v>
      </c>
      <c r="Q16" s="4" t="s">
        <v>90</v>
      </c>
      <c r="R16" s="4" t="s">
        <v>90</v>
      </c>
      <c r="S16" s="4" t="s">
        <v>90</v>
      </c>
      <c r="T16" s="4" t="s">
        <v>90</v>
      </c>
      <c r="U16" s="4" t="s">
        <v>90</v>
      </c>
      <c r="V16" s="4" t="s">
        <v>90</v>
      </c>
      <c r="W16" s="4" t="s">
        <v>90</v>
      </c>
      <c r="X16" s="4">
        <v>17.670803603487801</v>
      </c>
      <c r="Y16" s="4" t="s">
        <v>90</v>
      </c>
      <c r="Z16" s="4" t="s">
        <v>90</v>
      </c>
      <c r="AA16" s="4" t="s">
        <v>90</v>
      </c>
      <c r="AB16" s="4" t="s">
        <v>90</v>
      </c>
      <c r="AC16" s="4" t="s">
        <v>90</v>
      </c>
      <c r="AD16" s="4" t="s">
        <v>90</v>
      </c>
      <c r="AE16" s="4" t="s">
        <v>90</v>
      </c>
      <c r="AF16" s="4" t="s">
        <v>90</v>
      </c>
      <c r="AG16" s="4" t="s">
        <v>90</v>
      </c>
      <c r="AH16" s="4" t="s">
        <v>90</v>
      </c>
      <c r="AI16" s="4" t="s">
        <v>90</v>
      </c>
      <c r="AJ16" s="4" t="s">
        <v>90</v>
      </c>
      <c r="AK16" s="4" t="s">
        <v>90</v>
      </c>
      <c r="AL16" s="4" t="s">
        <v>90</v>
      </c>
      <c r="AM16" s="4" t="s">
        <v>90</v>
      </c>
      <c r="AN16" s="4" t="s">
        <v>90</v>
      </c>
      <c r="AO16" s="4" t="s">
        <v>90</v>
      </c>
      <c r="AP16" s="4" t="s">
        <v>90</v>
      </c>
      <c r="AQ16" s="4" t="s">
        <v>90</v>
      </c>
      <c r="AR16" s="4" t="s">
        <v>90</v>
      </c>
      <c r="AS16" s="4" t="s">
        <v>90</v>
      </c>
      <c r="AT16" s="4" t="s">
        <v>90</v>
      </c>
      <c r="AU16" s="4" t="s">
        <v>90</v>
      </c>
      <c r="AV16" s="4" t="s">
        <v>90</v>
      </c>
      <c r="AW16" s="4" t="s">
        <v>90</v>
      </c>
      <c r="AX16" s="4" t="s">
        <v>90</v>
      </c>
      <c r="AY16" s="4" t="s">
        <v>90</v>
      </c>
      <c r="AZ16" s="4" t="s">
        <v>90</v>
      </c>
      <c r="BA16" s="4" t="s">
        <v>90</v>
      </c>
      <c r="BB16" s="4" t="s">
        <v>90</v>
      </c>
      <c r="BC16" s="4" t="s">
        <v>90</v>
      </c>
      <c r="BD16" s="4" t="s">
        <v>90</v>
      </c>
    </row>
    <row r="17" spans="1:56" x14ac:dyDescent="0.35">
      <c r="A17" s="1" t="s">
        <v>0</v>
      </c>
      <c r="B17" s="4" t="s">
        <v>89</v>
      </c>
      <c r="C17" s="4" t="s">
        <v>89</v>
      </c>
      <c r="D17" s="4" t="s">
        <v>89</v>
      </c>
      <c r="E17" s="4" t="s">
        <v>89</v>
      </c>
      <c r="F17" s="4" t="s">
        <v>89</v>
      </c>
      <c r="G17" s="4" t="s">
        <v>89</v>
      </c>
      <c r="H17" s="4" t="s">
        <v>89</v>
      </c>
      <c r="I17" s="4" t="s">
        <v>89</v>
      </c>
      <c r="J17" s="4" t="s">
        <v>89</v>
      </c>
      <c r="K17" s="4" t="s">
        <v>89</v>
      </c>
      <c r="L17" s="4" t="s">
        <v>89</v>
      </c>
      <c r="M17" s="4" t="s">
        <v>89</v>
      </c>
      <c r="N17" s="4" t="s">
        <v>89</v>
      </c>
      <c r="O17" s="4" t="s">
        <v>89</v>
      </c>
      <c r="P17" s="4" t="s">
        <v>89</v>
      </c>
      <c r="Q17" s="4" t="s">
        <v>89</v>
      </c>
      <c r="R17" s="4" t="s">
        <v>89</v>
      </c>
      <c r="S17" s="4" t="s">
        <v>89</v>
      </c>
      <c r="T17" s="4" t="s">
        <v>89</v>
      </c>
      <c r="U17" s="4" t="s">
        <v>89</v>
      </c>
      <c r="V17" s="4" t="s">
        <v>89</v>
      </c>
      <c r="W17" s="4" t="s">
        <v>89</v>
      </c>
      <c r="X17" s="4" t="s">
        <v>89</v>
      </c>
      <c r="Y17" s="4" t="s">
        <v>89</v>
      </c>
      <c r="Z17" s="4" t="s">
        <v>89</v>
      </c>
      <c r="AA17" s="4" t="s">
        <v>89</v>
      </c>
      <c r="AB17" s="4" t="s">
        <v>89</v>
      </c>
      <c r="AC17" s="4" t="s">
        <v>89</v>
      </c>
      <c r="AD17" s="4" t="s">
        <v>89</v>
      </c>
      <c r="AE17" s="4" t="s">
        <v>89</v>
      </c>
      <c r="AF17" s="4" t="s">
        <v>89</v>
      </c>
      <c r="AG17" s="4" t="s">
        <v>89</v>
      </c>
      <c r="AH17" s="4" t="s">
        <v>89</v>
      </c>
      <c r="AI17" s="4" t="s">
        <v>89</v>
      </c>
      <c r="AJ17" s="4" t="s">
        <v>89</v>
      </c>
      <c r="AK17" s="4" t="s">
        <v>89</v>
      </c>
      <c r="AL17" s="4" t="s">
        <v>89</v>
      </c>
      <c r="AM17" s="4" t="s">
        <v>89</v>
      </c>
      <c r="AN17" s="4" t="s">
        <v>89</v>
      </c>
      <c r="AO17" s="4" t="s">
        <v>89</v>
      </c>
      <c r="AP17" s="4" t="s">
        <v>89</v>
      </c>
      <c r="AQ17" s="4" t="s">
        <v>89</v>
      </c>
      <c r="AR17" s="4" t="s">
        <v>89</v>
      </c>
      <c r="AS17" s="4" t="s">
        <v>89</v>
      </c>
      <c r="AT17" s="4" t="s">
        <v>89</v>
      </c>
      <c r="AU17" s="4" t="s">
        <v>89</v>
      </c>
      <c r="AV17" s="4" t="s">
        <v>89</v>
      </c>
      <c r="AW17" s="4" t="s">
        <v>89</v>
      </c>
      <c r="AX17" s="4" t="s">
        <v>89</v>
      </c>
      <c r="AY17" s="4" t="s">
        <v>89</v>
      </c>
      <c r="AZ17" s="4" t="s">
        <v>89</v>
      </c>
      <c r="BA17" s="4" t="s">
        <v>89</v>
      </c>
      <c r="BB17" s="4" t="s">
        <v>89</v>
      </c>
      <c r="BC17" s="4" t="s">
        <v>89</v>
      </c>
      <c r="BD17" s="4" t="s">
        <v>89</v>
      </c>
    </row>
    <row r="18" spans="1:56" x14ac:dyDescent="0.35">
      <c r="A18" s="1" t="s">
        <v>33</v>
      </c>
      <c r="B18" s="4" t="s">
        <v>88</v>
      </c>
      <c r="C18" s="4"/>
      <c r="D18" s="4" t="s">
        <v>88</v>
      </c>
      <c r="E18" s="4"/>
      <c r="F18" s="4"/>
      <c r="G18" s="4" t="s">
        <v>88</v>
      </c>
      <c r="H18" s="4" t="s">
        <v>72</v>
      </c>
      <c r="I18" s="4"/>
      <c r="J18" s="4"/>
      <c r="K18" s="4"/>
      <c r="L18" s="4"/>
      <c r="M18" s="4" t="s">
        <v>72</v>
      </c>
      <c r="N18" s="4"/>
      <c r="O18" s="4"/>
      <c r="P18" s="4"/>
      <c r="Q18" s="4"/>
      <c r="R18" s="4"/>
      <c r="S18" s="4" t="s">
        <v>72</v>
      </c>
      <c r="T18" s="4"/>
      <c r="U18" s="4"/>
      <c r="V18" s="4" t="s">
        <v>72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 t="s">
        <v>72</v>
      </c>
      <c r="AQ18" s="4"/>
      <c r="AR18" s="4"/>
      <c r="AS18" s="4" t="s">
        <v>72</v>
      </c>
      <c r="AT18" s="4"/>
      <c r="AU18" s="4"/>
      <c r="AV18" s="4"/>
      <c r="AW18" s="4" t="s">
        <v>72</v>
      </c>
      <c r="AX18" s="4"/>
      <c r="AY18" s="4"/>
      <c r="AZ18" s="4"/>
      <c r="BA18" s="4"/>
      <c r="BB18" s="4" t="s">
        <v>72</v>
      </c>
      <c r="BC18" s="4"/>
      <c r="BD18" s="4"/>
    </row>
    <row r="19" spans="1:56" x14ac:dyDescent="0.3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 t="s">
        <v>89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</row>
    <row r="20" spans="1:56" x14ac:dyDescent="0.35">
      <c r="A20" s="1" t="s">
        <v>9</v>
      </c>
      <c r="B20" s="4"/>
      <c r="C20" s="4" t="s">
        <v>88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 t="s">
        <v>88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 t="s">
        <v>88</v>
      </c>
      <c r="AY20" s="4"/>
      <c r="AZ20" s="4"/>
      <c r="BA20" s="4"/>
      <c r="BB20" s="4"/>
      <c r="BC20" s="4"/>
      <c r="BD20" s="4"/>
    </row>
    <row r="21" spans="1:56" x14ac:dyDescent="0.35">
      <c r="A21" s="1" t="s">
        <v>11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>
        <v>1.5496585014587301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 t="s">
        <v>88</v>
      </c>
      <c r="BD21" s="4"/>
    </row>
    <row r="22" spans="1:56" x14ac:dyDescent="0.35">
      <c r="A22" s="1" t="s">
        <v>62</v>
      </c>
      <c r="B22" s="4" t="s">
        <v>89</v>
      </c>
      <c r="C22" s="4" t="s">
        <v>89</v>
      </c>
      <c r="D22" s="4" t="s">
        <v>89</v>
      </c>
      <c r="E22" s="4" t="s">
        <v>89</v>
      </c>
      <c r="F22" s="4" t="s">
        <v>89</v>
      </c>
      <c r="G22" s="4" t="s">
        <v>89</v>
      </c>
      <c r="H22" s="4" t="s">
        <v>89</v>
      </c>
      <c r="I22" s="4" t="s">
        <v>89</v>
      </c>
      <c r="J22" s="4" t="s">
        <v>89</v>
      </c>
      <c r="K22" s="4" t="s">
        <v>89</v>
      </c>
      <c r="L22" s="4" t="s">
        <v>89</v>
      </c>
      <c r="M22" s="4" t="s">
        <v>89</v>
      </c>
      <c r="N22" s="4" t="s">
        <v>89</v>
      </c>
      <c r="O22" s="4" t="s">
        <v>89</v>
      </c>
      <c r="P22" s="4" t="s">
        <v>89</v>
      </c>
      <c r="Q22" s="4" t="s">
        <v>89</v>
      </c>
      <c r="R22" s="4" t="s">
        <v>89</v>
      </c>
      <c r="S22" s="4" t="s">
        <v>89</v>
      </c>
      <c r="T22" s="4" t="s">
        <v>89</v>
      </c>
      <c r="U22" s="4" t="s">
        <v>89</v>
      </c>
      <c r="V22" s="4" t="s">
        <v>89</v>
      </c>
      <c r="W22" s="4" t="s">
        <v>89</v>
      </c>
      <c r="X22" s="4">
        <v>18.7375804159796</v>
      </c>
      <c r="Y22" s="4" t="s">
        <v>89</v>
      </c>
      <c r="Z22" s="4" t="s">
        <v>89</v>
      </c>
      <c r="AA22" s="4" t="s">
        <v>89</v>
      </c>
      <c r="AB22" s="4" t="s">
        <v>89</v>
      </c>
      <c r="AC22" s="4" t="s">
        <v>89</v>
      </c>
      <c r="AD22" s="4" t="s">
        <v>89</v>
      </c>
      <c r="AE22" s="4" t="s">
        <v>89</v>
      </c>
      <c r="AF22" s="4" t="s">
        <v>89</v>
      </c>
      <c r="AG22" s="4" t="s">
        <v>89</v>
      </c>
      <c r="AH22" s="4" t="s">
        <v>89</v>
      </c>
      <c r="AI22" s="4" t="s">
        <v>89</v>
      </c>
      <c r="AJ22" s="4" t="s">
        <v>89</v>
      </c>
      <c r="AK22" s="4" t="s">
        <v>89</v>
      </c>
      <c r="AL22" s="4" t="s">
        <v>89</v>
      </c>
      <c r="AM22" s="4" t="s">
        <v>89</v>
      </c>
      <c r="AN22" s="4" t="s">
        <v>89</v>
      </c>
      <c r="AO22" s="4" t="s">
        <v>89</v>
      </c>
      <c r="AP22" s="4" t="s">
        <v>89</v>
      </c>
      <c r="AQ22" s="4" t="s">
        <v>89</v>
      </c>
      <c r="AR22" s="4" t="s">
        <v>89</v>
      </c>
      <c r="AS22" s="4" t="s">
        <v>89</v>
      </c>
      <c r="AT22" s="4" t="s">
        <v>89</v>
      </c>
      <c r="AU22" s="4" t="s">
        <v>89</v>
      </c>
      <c r="AV22" s="4" t="s">
        <v>89</v>
      </c>
      <c r="AW22" s="4" t="s">
        <v>89</v>
      </c>
      <c r="AX22" s="4" t="s">
        <v>89</v>
      </c>
      <c r="AY22" s="4" t="s">
        <v>89</v>
      </c>
      <c r="AZ22" s="4" t="s">
        <v>89</v>
      </c>
      <c r="BA22" s="4" t="s">
        <v>89</v>
      </c>
      <c r="BB22" s="4" t="s">
        <v>89</v>
      </c>
      <c r="BC22" s="4" t="s">
        <v>89</v>
      </c>
      <c r="BD22" s="4" t="s">
        <v>89</v>
      </c>
    </row>
    <row r="23" spans="1:56" x14ac:dyDescent="0.35">
      <c r="A23" s="1" t="s">
        <v>68</v>
      </c>
      <c r="B23" s="4" t="s">
        <v>89</v>
      </c>
      <c r="C23" s="4" t="s">
        <v>89</v>
      </c>
      <c r="D23" s="4" t="s">
        <v>89</v>
      </c>
      <c r="E23" s="4" t="s">
        <v>89</v>
      </c>
      <c r="F23" s="4" t="s">
        <v>89</v>
      </c>
      <c r="G23" s="4" t="s">
        <v>89</v>
      </c>
      <c r="H23" s="4" t="s">
        <v>89</v>
      </c>
      <c r="I23" s="4" t="s">
        <v>89</v>
      </c>
      <c r="J23" s="4" t="s">
        <v>89</v>
      </c>
      <c r="K23" s="4" t="s">
        <v>89</v>
      </c>
      <c r="L23" s="4" t="s">
        <v>89</v>
      </c>
      <c r="M23" s="4" t="s">
        <v>89</v>
      </c>
      <c r="N23" s="4" t="s">
        <v>89</v>
      </c>
      <c r="O23" s="4" t="s">
        <v>89</v>
      </c>
      <c r="P23" s="4" t="s">
        <v>89</v>
      </c>
      <c r="Q23" s="4" t="s">
        <v>89</v>
      </c>
      <c r="R23" s="4" t="s">
        <v>89</v>
      </c>
      <c r="S23" s="4" t="s">
        <v>89</v>
      </c>
      <c r="T23" s="4" t="s">
        <v>89</v>
      </c>
      <c r="U23" s="4" t="s">
        <v>89</v>
      </c>
      <c r="V23" s="4" t="s">
        <v>89</v>
      </c>
      <c r="W23" s="4" t="s">
        <v>89</v>
      </c>
      <c r="X23" s="4">
        <v>8.6634201658958805</v>
      </c>
      <c r="Y23" s="4" t="s">
        <v>89</v>
      </c>
      <c r="Z23" s="4" t="s">
        <v>89</v>
      </c>
      <c r="AA23" s="4" t="s">
        <v>89</v>
      </c>
      <c r="AB23" s="4" t="s">
        <v>89</v>
      </c>
      <c r="AC23" s="4" t="s">
        <v>89</v>
      </c>
      <c r="AD23" s="4" t="s">
        <v>89</v>
      </c>
      <c r="AE23" s="4" t="s">
        <v>89</v>
      </c>
      <c r="AF23" s="4" t="s">
        <v>89</v>
      </c>
      <c r="AG23" s="4" t="s">
        <v>89</v>
      </c>
      <c r="AH23" s="4" t="s">
        <v>89</v>
      </c>
      <c r="AI23" s="4" t="s">
        <v>89</v>
      </c>
      <c r="AJ23" s="4" t="s">
        <v>89</v>
      </c>
      <c r="AK23" s="4" t="s">
        <v>89</v>
      </c>
      <c r="AL23" s="4" t="s">
        <v>89</v>
      </c>
      <c r="AM23" s="4" t="s">
        <v>89</v>
      </c>
      <c r="AN23" s="4" t="s">
        <v>89</v>
      </c>
      <c r="AO23" s="4" t="s">
        <v>89</v>
      </c>
      <c r="AP23" s="4" t="s">
        <v>89</v>
      </c>
      <c r="AQ23" s="4" t="s">
        <v>89</v>
      </c>
      <c r="AR23" s="4" t="s">
        <v>89</v>
      </c>
      <c r="AS23" s="4" t="s">
        <v>89</v>
      </c>
      <c r="AT23" s="4" t="s">
        <v>89</v>
      </c>
      <c r="AU23" s="4" t="s">
        <v>89</v>
      </c>
      <c r="AV23" s="4" t="s">
        <v>89</v>
      </c>
      <c r="AW23" s="4" t="s">
        <v>89</v>
      </c>
      <c r="AX23" s="4" t="s">
        <v>89</v>
      </c>
      <c r="AY23" s="4" t="s">
        <v>89</v>
      </c>
      <c r="AZ23" s="4" t="s">
        <v>89</v>
      </c>
      <c r="BA23" s="4" t="s">
        <v>89</v>
      </c>
      <c r="BB23" s="4" t="s">
        <v>89</v>
      </c>
      <c r="BC23" s="4" t="s">
        <v>89</v>
      </c>
      <c r="BD23" s="4" t="s">
        <v>89</v>
      </c>
    </row>
    <row r="24" spans="1:56" x14ac:dyDescent="0.35">
      <c r="A24" s="1" t="s">
        <v>4</v>
      </c>
      <c r="B24" s="4">
        <v>60.95</v>
      </c>
      <c r="C24" s="4" t="s">
        <v>90</v>
      </c>
      <c r="D24" s="4" t="s">
        <v>90</v>
      </c>
      <c r="E24" s="4" t="s">
        <v>90</v>
      </c>
      <c r="F24" s="4" t="s">
        <v>90</v>
      </c>
      <c r="G24" s="4" t="s">
        <v>90</v>
      </c>
      <c r="H24" s="4" t="s">
        <v>90</v>
      </c>
      <c r="I24" s="4" t="s">
        <v>90</v>
      </c>
      <c r="J24" s="4" t="s">
        <v>90</v>
      </c>
      <c r="K24" s="4" t="s">
        <v>90</v>
      </c>
      <c r="L24" s="4" t="s">
        <v>90</v>
      </c>
      <c r="M24" s="4" t="s">
        <v>90</v>
      </c>
      <c r="N24" s="4" t="s">
        <v>90</v>
      </c>
      <c r="O24" s="4" t="s">
        <v>90</v>
      </c>
      <c r="P24" s="4" t="s">
        <v>90</v>
      </c>
      <c r="Q24" s="4" t="s">
        <v>90</v>
      </c>
      <c r="R24" s="4" t="s">
        <v>90</v>
      </c>
      <c r="S24" s="4" t="s">
        <v>90</v>
      </c>
      <c r="T24" s="4" t="s">
        <v>90</v>
      </c>
      <c r="U24" s="4" t="s">
        <v>90</v>
      </c>
      <c r="V24" s="4" t="s">
        <v>90</v>
      </c>
      <c r="W24" s="4" t="s">
        <v>90</v>
      </c>
      <c r="X24" s="4" t="s">
        <v>90</v>
      </c>
      <c r="Y24" s="4" t="s">
        <v>90</v>
      </c>
      <c r="Z24" s="4" t="s">
        <v>90</v>
      </c>
      <c r="AA24" s="4" t="s">
        <v>90</v>
      </c>
      <c r="AB24" s="4" t="s">
        <v>90</v>
      </c>
      <c r="AC24" s="4" t="s">
        <v>90</v>
      </c>
      <c r="AD24" s="4" t="s">
        <v>90</v>
      </c>
      <c r="AE24" s="4" t="s">
        <v>90</v>
      </c>
      <c r="AF24" s="4" t="s">
        <v>90</v>
      </c>
      <c r="AG24" s="4" t="s">
        <v>90</v>
      </c>
      <c r="AH24" s="4" t="s">
        <v>90</v>
      </c>
      <c r="AI24" s="4" t="s">
        <v>90</v>
      </c>
      <c r="AJ24" s="4" t="s">
        <v>90</v>
      </c>
      <c r="AK24" s="4" t="s">
        <v>90</v>
      </c>
      <c r="AL24" s="4" t="s">
        <v>90</v>
      </c>
      <c r="AM24" s="4" t="s">
        <v>90</v>
      </c>
      <c r="AN24" s="4" t="s">
        <v>90</v>
      </c>
      <c r="AO24" s="4" t="s">
        <v>90</v>
      </c>
      <c r="AP24" s="4" t="s">
        <v>90</v>
      </c>
      <c r="AQ24" s="4" t="s">
        <v>90</v>
      </c>
      <c r="AR24" s="4" t="s">
        <v>90</v>
      </c>
      <c r="AS24" s="4" t="s">
        <v>90</v>
      </c>
      <c r="AT24" s="4" t="s">
        <v>90</v>
      </c>
      <c r="AU24" s="4" t="s">
        <v>90</v>
      </c>
      <c r="AV24" s="4" t="s">
        <v>90</v>
      </c>
      <c r="AW24" s="4" t="s">
        <v>90</v>
      </c>
      <c r="AX24" s="4" t="s">
        <v>90</v>
      </c>
      <c r="AY24" s="4" t="s">
        <v>90</v>
      </c>
      <c r="AZ24" s="4">
        <v>12.85</v>
      </c>
      <c r="BA24" s="4" t="s">
        <v>90</v>
      </c>
      <c r="BB24" s="4" t="s">
        <v>90</v>
      </c>
      <c r="BC24" s="4" t="s">
        <v>90</v>
      </c>
      <c r="BD24" s="4" t="s">
        <v>90</v>
      </c>
    </row>
    <row r="25" spans="1:56" x14ac:dyDescent="0.35">
      <c r="A25" s="1" t="s">
        <v>46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0.13191615764815601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0.101030238718276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0.83205461944515202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4.5311683007705902E-3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0.88988761949093798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10.492112811393399</v>
      </c>
      <c r="BC25" s="4">
        <v>5.7090973216099197E-2</v>
      </c>
      <c r="BD25" s="4">
        <v>17.783275346603901</v>
      </c>
    </row>
    <row r="26" spans="1:56" x14ac:dyDescent="0.35">
      <c r="A26" s="1" t="s">
        <v>42</v>
      </c>
      <c r="B26" s="4" t="s">
        <v>90</v>
      </c>
      <c r="C26" s="4" t="s">
        <v>90</v>
      </c>
      <c r="D26" s="4" t="s">
        <v>90</v>
      </c>
      <c r="E26" s="4" t="s">
        <v>90</v>
      </c>
      <c r="F26" s="4" t="s">
        <v>90</v>
      </c>
      <c r="G26" s="4" t="s">
        <v>90</v>
      </c>
      <c r="H26" s="4" t="s">
        <v>90</v>
      </c>
      <c r="I26" s="4" t="s">
        <v>90</v>
      </c>
      <c r="J26" s="4" t="s">
        <v>90</v>
      </c>
      <c r="K26" s="4" t="s">
        <v>90</v>
      </c>
      <c r="L26" s="4" t="s">
        <v>90</v>
      </c>
      <c r="M26" s="4" t="s">
        <v>90</v>
      </c>
      <c r="N26" s="4" t="s">
        <v>90</v>
      </c>
      <c r="O26" s="4" t="s">
        <v>90</v>
      </c>
      <c r="P26" s="4" t="s">
        <v>90</v>
      </c>
      <c r="Q26" s="4" t="s">
        <v>90</v>
      </c>
      <c r="R26" s="4" t="s">
        <v>90</v>
      </c>
      <c r="S26" s="4" t="s">
        <v>90</v>
      </c>
      <c r="T26" s="4" t="s">
        <v>90</v>
      </c>
      <c r="U26" s="4" t="s">
        <v>90</v>
      </c>
      <c r="V26" s="4" t="s">
        <v>90</v>
      </c>
      <c r="W26" s="4" t="s">
        <v>90</v>
      </c>
      <c r="X26" s="4">
        <v>27.430045427369699</v>
      </c>
      <c r="Y26" s="4" t="s">
        <v>90</v>
      </c>
      <c r="Z26" s="4" t="s">
        <v>90</v>
      </c>
      <c r="AA26" s="4" t="s">
        <v>90</v>
      </c>
      <c r="AB26" s="4" t="s">
        <v>90</v>
      </c>
      <c r="AC26" s="4" t="s">
        <v>90</v>
      </c>
      <c r="AD26" s="4" t="s">
        <v>90</v>
      </c>
      <c r="AE26" s="4" t="s">
        <v>90</v>
      </c>
      <c r="AF26" s="4" t="s">
        <v>90</v>
      </c>
      <c r="AG26" s="4" t="s">
        <v>90</v>
      </c>
      <c r="AH26" s="4" t="s">
        <v>90</v>
      </c>
      <c r="AI26" s="4" t="s">
        <v>90</v>
      </c>
      <c r="AJ26" s="4" t="s">
        <v>90</v>
      </c>
      <c r="AK26" s="4" t="s">
        <v>90</v>
      </c>
      <c r="AL26" s="4">
        <v>17.4062183588529</v>
      </c>
      <c r="AM26" s="4" t="s">
        <v>90</v>
      </c>
      <c r="AN26" s="4" t="s">
        <v>90</v>
      </c>
      <c r="AO26" s="4" t="s">
        <v>90</v>
      </c>
      <c r="AP26" s="4" t="s">
        <v>90</v>
      </c>
      <c r="AQ26" s="4" t="s">
        <v>90</v>
      </c>
      <c r="AR26" s="4" t="s">
        <v>90</v>
      </c>
      <c r="AS26" s="4" t="s">
        <v>90</v>
      </c>
      <c r="AT26" s="4" t="s">
        <v>90</v>
      </c>
      <c r="AU26" s="4" t="s">
        <v>90</v>
      </c>
      <c r="AV26" s="4" t="s">
        <v>90</v>
      </c>
      <c r="AW26" s="4" t="s">
        <v>90</v>
      </c>
      <c r="AX26" s="4" t="s">
        <v>90</v>
      </c>
      <c r="AY26" s="4" t="s">
        <v>90</v>
      </c>
      <c r="AZ26" s="4" t="s">
        <v>90</v>
      </c>
      <c r="BA26" s="4" t="s">
        <v>90</v>
      </c>
      <c r="BB26" s="4" t="s">
        <v>90</v>
      </c>
      <c r="BC26" s="4" t="s">
        <v>90</v>
      </c>
      <c r="BD26" s="4" t="s">
        <v>90</v>
      </c>
    </row>
    <row r="27" spans="1:56" x14ac:dyDescent="0.35">
      <c r="A27" s="1" t="s">
        <v>23</v>
      </c>
      <c r="B27" s="4"/>
      <c r="C27" s="4"/>
      <c r="D27" s="4"/>
      <c r="E27" s="4"/>
      <c r="F27" s="4"/>
      <c r="G27" s="4"/>
      <c r="H27" s="4"/>
      <c r="I27" s="4"/>
      <c r="J27" s="4" t="s">
        <v>89</v>
      </c>
      <c r="K27" s="4"/>
      <c r="L27" s="4"/>
      <c r="M27" s="4"/>
      <c r="N27" s="4"/>
      <c r="O27" s="4"/>
      <c r="P27" s="4"/>
      <c r="Q27" s="4"/>
      <c r="R27" s="4"/>
      <c r="S27" s="4" t="s">
        <v>89</v>
      </c>
      <c r="T27" s="4" t="s">
        <v>89</v>
      </c>
      <c r="U27" s="4"/>
      <c r="V27" s="4"/>
      <c r="W27" s="4"/>
      <c r="X27" s="4" t="s">
        <v>89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 t="s">
        <v>72</v>
      </c>
      <c r="AN27" s="4"/>
      <c r="AO27" s="4" t="s">
        <v>89</v>
      </c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1:56" x14ac:dyDescent="0.35">
      <c r="A28" s="1" t="s">
        <v>43</v>
      </c>
      <c r="B28" s="4"/>
      <c r="C28" s="4"/>
      <c r="D28" s="4" t="s">
        <v>89</v>
      </c>
      <c r="E28" s="4"/>
      <c r="F28" s="4"/>
      <c r="G28" s="4"/>
      <c r="H28" s="4"/>
      <c r="I28" s="4">
        <v>15.8994788399505</v>
      </c>
      <c r="J28" s="4"/>
      <c r="K28" s="4"/>
      <c r="L28" s="4"/>
      <c r="M28" s="4"/>
      <c r="N28" s="4">
        <v>29.9103693150387</v>
      </c>
      <c r="O28" s="4"/>
      <c r="P28" s="4"/>
      <c r="Q28" s="4"/>
      <c r="R28" s="4"/>
      <c r="S28" s="4" t="s">
        <v>89</v>
      </c>
      <c r="T28" s="4" t="s">
        <v>89</v>
      </c>
      <c r="U28" s="4"/>
      <c r="V28" s="4" t="s">
        <v>89</v>
      </c>
      <c r="W28" s="4" t="s">
        <v>72</v>
      </c>
      <c r="X28" s="4"/>
      <c r="Y28" s="4"/>
      <c r="Z28" s="4"/>
      <c r="AA28" s="4"/>
      <c r="AB28" s="4" t="s">
        <v>89</v>
      </c>
      <c r="AC28" s="4"/>
      <c r="AD28" s="4"/>
      <c r="AE28" s="4"/>
      <c r="AF28" s="4"/>
      <c r="AG28" s="4" t="s">
        <v>89</v>
      </c>
      <c r="AH28" s="4"/>
      <c r="AI28" s="4" t="s">
        <v>89</v>
      </c>
      <c r="AJ28" s="4"/>
      <c r="AK28" s="4" t="s">
        <v>89</v>
      </c>
      <c r="AL28" s="4"/>
      <c r="AM28" s="4"/>
      <c r="AN28" s="4"/>
      <c r="AO28" s="4"/>
      <c r="AP28" s="4"/>
      <c r="AQ28" s="4"/>
      <c r="AR28" s="4"/>
      <c r="AS28" s="4"/>
      <c r="AT28" s="4"/>
      <c r="AU28" s="4" t="s">
        <v>89</v>
      </c>
      <c r="AV28" s="4" t="s">
        <v>89</v>
      </c>
      <c r="AW28" s="4"/>
      <c r="AX28" s="4"/>
      <c r="AY28" s="4"/>
      <c r="AZ28" s="4"/>
      <c r="BA28" s="4"/>
      <c r="BB28" s="4"/>
      <c r="BC28" s="4"/>
      <c r="BD28" s="4"/>
    </row>
    <row r="29" spans="1:56" x14ac:dyDescent="0.35">
      <c r="A29" s="1" t="s">
        <v>66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 t="s">
        <v>88</v>
      </c>
      <c r="BB29" s="4"/>
      <c r="BC29" s="4"/>
      <c r="BD29" s="4"/>
    </row>
    <row r="30" spans="1:56" x14ac:dyDescent="0.35">
      <c r="A30" s="1" t="s">
        <v>47</v>
      </c>
      <c r="B30" s="4" t="s">
        <v>88</v>
      </c>
      <c r="C30" s="4" t="s">
        <v>88</v>
      </c>
      <c r="D30" s="4" t="s">
        <v>88</v>
      </c>
      <c r="E30" s="4" t="s">
        <v>88</v>
      </c>
      <c r="F30" s="4" t="s">
        <v>88</v>
      </c>
      <c r="G30" s="4" t="s">
        <v>88</v>
      </c>
      <c r="H30" s="4" t="s">
        <v>88</v>
      </c>
      <c r="I30" s="4" t="s">
        <v>88</v>
      </c>
      <c r="J30" s="4" t="s">
        <v>88</v>
      </c>
      <c r="K30" s="4" t="s">
        <v>88</v>
      </c>
      <c r="L30" s="4" t="s">
        <v>88</v>
      </c>
      <c r="M30" s="4" t="s">
        <v>88</v>
      </c>
      <c r="N30" s="4" t="s">
        <v>88</v>
      </c>
      <c r="O30" s="4" t="s">
        <v>88</v>
      </c>
      <c r="P30" s="4" t="s">
        <v>88</v>
      </c>
      <c r="Q30" s="4" t="s">
        <v>88</v>
      </c>
      <c r="R30" s="4" t="s">
        <v>88</v>
      </c>
      <c r="S30" s="4" t="s">
        <v>88</v>
      </c>
      <c r="T30" s="4" t="s">
        <v>88</v>
      </c>
      <c r="U30" s="4" t="s">
        <v>88</v>
      </c>
      <c r="V30" s="4" t="s">
        <v>88</v>
      </c>
      <c r="W30" s="4" t="s">
        <v>88</v>
      </c>
      <c r="X30" s="4">
        <v>4.7355344481431896</v>
      </c>
      <c r="Y30" s="4" t="s">
        <v>88</v>
      </c>
      <c r="Z30" s="4" t="s">
        <v>88</v>
      </c>
      <c r="AA30" s="4" t="s">
        <v>88</v>
      </c>
      <c r="AB30" s="4" t="s">
        <v>88</v>
      </c>
      <c r="AC30" s="4" t="s">
        <v>88</v>
      </c>
      <c r="AD30" s="4" t="s">
        <v>88</v>
      </c>
      <c r="AE30" s="4" t="s">
        <v>88</v>
      </c>
      <c r="AF30" s="4" t="s">
        <v>88</v>
      </c>
      <c r="AG30" s="4" t="s">
        <v>88</v>
      </c>
      <c r="AH30" s="4" t="s">
        <v>88</v>
      </c>
      <c r="AI30" s="4" t="s">
        <v>88</v>
      </c>
      <c r="AJ30" s="4" t="s">
        <v>88</v>
      </c>
      <c r="AK30" s="4" t="s">
        <v>88</v>
      </c>
      <c r="AL30" s="4" t="s">
        <v>88</v>
      </c>
      <c r="AM30" s="4" t="s">
        <v>88</v>
      </c>
      <c r="AN30" s="4" t="s">
        <v>88</v>
      </c>
      <c r="AO30" s="4" t="s">
        <v>88</v>
      </c>
      <c r="AP30" s="4" t="s">
        <v>88</v>
      </c>
      <c r="AQ30" s="4" t="s">
        <v>88</v>
      </c>
      <c r="AR30" s="4" t="s">
        <v>88</v>
      </c>
      <c r="AS30" s="4" t="s">
        <v>88</v>
      </c>
      <c r="AT30" s="4" t="s">
        <v>88</v>
      </c>
      <c r="AU30" s="4" t="s">
        <v>88</v>
      </c>
      <c r="AV30" s="4" t="s">
        <v>88</v>
      </c>
      <c r="AW30" s="4" t="s">
        <v>88</v>
      </c>
      <c r="AX30" s="4" t="s">
        <v>88</v>
      </c>
      <c r="AY30" s="4" t="s">
        <v>88</v>
      </c>
      <c r="AZ30" s="4" t="s">
        <v>88</v>
      </c>
      <c r="BA30" s="4" t="s">
        <v>88</v>
      </c>
      <c r="BB30" s="4" t="s">
        <v>88</v>
      </c>
      <c r="BC30" s="4" t="s">
        <v>88</v>
      </c>
      <c r="BD30" s="4" t="s">
        <v>88</v>
      </c>
    </row>
    <row r="31" spans="1:56" x14ac:dyDescent="0.35">
      <c r="A31" s="1" t="s">
        <v>51</v>
      </c>
      <c r="B31" s="4" t="s">
        <v>88</v>
      </c>
      <c r="C31" s="4" t="s">
        <v>88</v>
      </c>
      <c r="D31" s="4" t="s">
        <v>88</v>
      </c>
      <c r="E31" s="4" t="s">
        <v>88</v>
      </c>
      <c r="F31" s="4" t="s">
        <v>88</v>
      </c>
      <c r="G31" s="4" t="s">
        <v>88</v>
      </c>
      <c r="H31" s="4" t="s">
        <v>88</v>
      </c>
      <c r="I31" s="4" t="s">
        <v>88</v>
      </c>
      <c r="J31" s="4" t="s">
        <v>88</v>
      </c>
      <c r="K31" s="4" t="s">
        <v>88</v>
      </c>
      <c r="L31" s="4" t="s">
        <v>88</v>
      </c>
      <c r="M31" s="4" t="s">
        <v>88</v>
      </c>
      <c r="N31" s="4" t="s">
        <v>88</v>
      </c>
      <c r="O31" s="4" t="s">
        <v>88</v>
      </c>
      <c r="P31" s="4" t="s">
        <v>88</v>
      </c>
      <c r="Q31" s="4" t="s">
        <v>88</v>
      </c>
      <c r="R31" s="4" t="s">
        <v>88</v>
      </c>
      <c r="S31" s="4" t="s">
        <v>88</v>
      </c>
      <c r="T31" s="4" t="s">
        <v>88</v>
      </c>
      <c r="U31" s="4" t="s">
        <v>88</v>
      </c>
      <c r="V31" s="4" t="s">
        <v>88</v>
      </c>
      <c r="W31" s="4" t="s">
        <v>88</v>
      </c>
      <c r="X31" s="4" t="s">
        <v>88</v>
      </c>
      <c r="Y31" s="4" t="s">
        <v>88</v>
      </c>
      <c r="Z31" s="4" t="s">
        <v>88</v>
      </c>
      <c r="AA31" s="4" t="s">
        <v>88</v>
      </c>
      <c r="AB31" s="4" t="s">
        <v>88</v>
      </c>
      <c r="AC31" s="4" t="s">
        <v>88</v>
      </c>
      <c r="AD31" s="4" t="s">
        <v>88</v>
      </c>
      <c r="AE31" s="4" t="s">
        <v>88</v>
      </c>
      <c r="AF31" s="4" t="s">
        <v>88</v>
      </c>
      <c r="AG31" s="4" t="s">
        <v>88</v>
      </c>
      <c r="AH31" s="4" t="s">
        <v>88</v>
      </c>
      <c r="AI31" s="4" t="s">
        <v>88</v>
      </c>
      <c r="AJ31" s="4" t="s">
        <v>88</v>
      </c>
      <c r="AK31" s="4" t="s">
        <v>88</v>
      </c>
      <c r="AL31" s="4" t="s">
        <v>88</v>
      </c>
      <c r="AM31" s="4" t="s">
        <v>88</v>
      </c>
      <c r="AN31" s="4" t="s">
        <v>88</v>
      </c>
      <c r="AO31" s="4" t="s">
        <v>88</v>
      </c>
      <c r="AP31" s="4" t="s">
        <v>88</v>
      </c>
      <c r="AQ31" s="4" t="s">
        <v>88</v>
      </c>
      <c r="AR31" s="4" t="s">
        <v>88</v>
      </c>
      <c r="AS31" s="4" t="s">
        <v>88</v>
      </c>
      <c r="AT31" s="4" t="s">
        <v>88</v>
      </c>
      <c r="AU31" s="4" t="s">
        <v>88</v>
      </c>
      <c r="AV31" s="4" t="s">
        <v>88</v>
      </c>
      <c r="AW31" s="4" t="s">
        <v>88</v>
      </c>
      <c r="AX31" s="4" t="s">
        <v>88</v>
      </c>
      <c r="AY31" s="4" t="s">
        <v>88</v>
      </c>
      <c r="AZ31" s="4" t="s">
        <v>88</v>
      </c>
      <c r="BA31" s="4" t="s">
        <v>88</v>
      </c>
      <c r="BB31" s="4" t="s">
        <v>88</v>
      </c>
      <c r="BC31" s="4" t="s">
        <v>88</v>
      </c>
      <c r="BD31" s="4" t="s">
        <v>88</v>
      </c>
    </row>
    <row r="32" spans="1:56" x14ac:dyDescent="0.35">
      <c r="A32" s="1" t="s">
        <v>39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>
        <v>0</v>
      </c>
      <c r="M32" s="4"/>
      <c r="N32" s="4"/>
      <c r="O32" s="4"/>
      <c r="P32" s="4"/>
      <c r="Q32" s="4"/>
      <c r="R32" s="4"/>
      <c r="S32" s="4"/>
      <c r="T32" s="4"/>
      <c r="U32" s="4">
        <v>0</v>
      </c>
      <c r="V32" s="4"/>
      <c r="W32" s="4"/>
      <c r="X32" s="4"/>
      <c r="Y32" s="4"/>
      <c r="Z32" s="4"/>
      <c r="AA32" s="4"/>
      <c r="AB32" s="4">
        <v>0</v>
      </c>
      <c r="AC32" s="4"/>
      <c r="AD32" s="4"/>
      <c r="AE32" s="4"/>
      <c r="AF32" s="4"/>
      <c r="AG32" s="4">
        <v>0</v>
      </c>
      <c r="AH32" s="4"/>
      <c r="AI32" s="4"/>
      <c r="AJ32" s="4"/>
      <c r="AK32" s="4"/>
      <c r="AL32" s="4"/>
      <c r="AM32" s="4"/>
      <c r="AN32" s="4">
        <v>0</v>
      </c>
      <c r="AO32" s="4"/>
      <c r="AP32" s="4">
        <v>0</v>
      </c>
      <c r="AQ32" s="4"/>
      <c r="AR32" s="4"/>
      <c r="AS32" s="4"/>
      <c r="AT32" s="4"/>
      <c r="AU32" s="4">
        <v>0</v>
      </c>
      <c r="AV32" s="4">
        <v>0</v>
      </c>
      <c r="AW32" s="4"/>
      <c r="AX32" s="4"/>
      <c r="AY32" s="4"/>
      <c r="AZ32" s="4">
        <v>0</v>
      </c>
      <c r="BA32" s="4">
        <v>0</v>
      </c>
      <c r="BB32" s="4">
        <v>0</v>
      </c>
      <c r="BC32" s="4"/>
      <c r="BD32" s="4"/>
    </row>
    <row r="33" spans="1:56" x14ac:dyDescent="0.35">
      <c r="A33" s="1" t="s">
        <v>8</v>
      </c>
      <c r="B33" s="4" t="s">
        <v>90</v>
      </c>
      <c r="C33" s="4" t="s">
        <v>90</v>
      </c>
      <c r="D33" s="4" t="s">
        <v>90</v>
      </c>
      <c r="E33" s="4" t="s">
        <v>90</v>
      </c>
      <c r="F33" s="4" t="s">
        <v>90</v>
      </c>
      <c r="G33" s="4" t="s">
        <v>90</v>
      </c>
      <c r="H33" s="4" t="s">
        <v>90</v>
      </c>
      <c r="I33" s="4" t="s">
        <v>90</v>
      </c>
      <c r="J33" s="4" t="s">
        <v>90</v>
      </c>
      <c r="K33" s="4" t="s">
        <v>90</v>
      </c>
      <c r="L33" s="4" t="s">
        <v>90</v>
      </c>
      <c r="M33" s="4" t="s">
        <v>90</v>
      </c>
      <c r="N33" s="4" t="s">
        <v>90</v>
      </c>
      <c r="O33" s="4" t="s">
        <v>90</v>
      </c>
      <c r="P33" s="4" t="s">
        <v>90</v>
      </c>
      <c r="Q33" s="4" t="s">
        <v>90</v>
      </c>
      <c r="R33" s="4" t="s">
        <v>90</v>
      </c>
      <c r="S33" s="4" t="s">
        <v>90</v>
      </c>
      <c r="T33" s="4" t="s">
        <v>90</v>
      </c>
      <c r="U33" s="4" t="s">
        <v>90</v>
      </c>
      <c r="V33" s="4" t="s">
        <v>90</v>
      </c>
      <c r="W33" s="4" t="s">
        <v>90</v>
      </c>
      <c r="X33" s="4" t="s">
        <v>90</v>
      </c>
      <c r="Y33" s="4" t="s">
        <v>90</v>
      </c>
      <c r="Z33" s="4" t="s">
        <v>90</v>
      </c>
      <c r="AA33" s="4" t="s">
        <v>90</v>
      </c>
      <c r="AB33" s="4" t="s">
        <v>90</v>
      </c>
      <c r="AC33" s="4" t="s">
        <v>90</v>
      </c>
      <c r="AD33" s="4" t="s">
        <v>90</v>
      </c>
      <c r="AE33" s="4" t="s">
        <v>90</v>
      </c>
      <c r="AF33" s="4" t="s">
        <v>90</v>
      </c>
      <c r="AG33" s="4" t="s">
        <v>90</v>
      </c>
      <c r="AH33" s="4" t="s">
        <v>90</v>
      </c>
      <c r="AI33" s="4" t="s">
        <v>90</v>
      </c>
      <c r="AJ33" s="4" t="s">
        <v>90</v>
      </c>
      <c r="AK33" s="4" t="s">
        <v>90</v>
      </c>
      <c r="AL33" s="4" t="s">
        <v>90</v>
      </c>
      <c r="AM33" s="4" t="s">
        <v>90</v>
      </c>
      <c r="AN33" s="4" t="s">
        <v>90</v>
      </c>
      <c r="AO33" s="4" t="s">
        <v>90</v>
      </c>
      <c r="AP33" s="4" t="s">
        <v>90</v>
      </c>
      <c r="AQ33" s="4" t="s">
        <v>90</v>
      </c>
      <c r="AR33" s="4" t="s">
        <v>90</v>
      </c>
      <c r="AS33" s="4" t="s">
        <v>90</v>
      </c>
      <c r="AT33" s="4" t="s">
        <v>90</v>
      </c>
      <c r="AU33" s="4" t="s">
        <v>90</v>
      </c>
      <c r="AV33" s="4" t="s">
        <v>90</v>
      </c>
      <c r="AW33" s="4" t="s">
        <v>90</v>
      </c>
      <c r="AX33" s="4" t="s">
        <v>90</v>
      </c>
      <c r="AY33" s="4" t="s">
        <v>90</v>
      </c>
      <c r="AZ33" s="4" t="s">
        <v>90</v>
      </c>
      <c r="BA33" s="4" t="s">
        <v>90</v>
      </c>
      <c r="BB33" s="4" t="s">
        <v>90</v>
      </c>
      <c r="BC33" s="4" t="s">
        <v>90</v>
      </c>
      <c r="BD33" s="4" t="s">
        <v>90</v>
      </c>
    </row>
  </sheetData>
  <pageMargins left="0.7" right="0.7" top="0.75" bottom="0.75" header="0.3" footer="0.3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9E2D-0DDD-470C-823A-D5713B5452B0}">
  <dimension ref="A1:AP57"/>
  <sheetViews>
    <sheetView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B12" sqref="AB12"/>
    </sheetView>
  </sheetViews>
  <sheetFormatPr baseColWidth="10" defaultRowHeight="14.5" x14ac:dyDescent="0.35"/>
  <cols>
    <col min="1" max="1" width="13.7265625" bestFit="1" customWidth="1"/>
    <col min="2" max="2" width="11.54296875" bestFit="1" customWidth="1"/>
    <col min="6" max="7" width="11.54296875" bestFit="1" customWidth="1"/>
    <col min="8" max="9" width="18.81640625" style="55" bestFit="1" customWidth="1"/>
    <col min="11" max="11" width="10" customWidth="1"/>
    <col min="12" max="12" width="11.453125" customWidth="1"/>
    <col min="13" max="13" width="20" customWidth="1"/>
    <col min="14" max="14" width="21.1796875" customWidth="1"/>
    <col min="15" max="15" width="19.453125" customWidth="1"/>
    <col min="16" max="16" width="10" customWidth="1"/>
    <col min="17" max="17" width="8.1796875" customWidth="1"/>
    <col min="18" max="18" width="7.81640625" customWidth="1"/>
    <col min="19" max="19" width="11" bestFit="1" customWidth="1"/>
    <col min="20" max="20" width="15.7265625" bestFit="1" customWidth="1"/>
    <col min="21" max="21" width="6.81640625" customWidth="1"/>
    <col min="22" max="22" width="16.453125" customWidth="1"/>
    <col min="23" max="23" width="13.1796875" customWidth="1"/>
    <col min="24" max="24" width="9" customWidth="1"/>
    <col min="25" max="25" width="19.7265625" customWidth="1"/>
    <col min="26" max="26" width="11.7265625" customWidth="1"/>
    <col min="27" max="27" width="9.1796875" customWidth="1"/>
    <col min="28" max="28" width="10" bestFit="1" customWidth="1"/>
    <col min="29" max="29" width="10.1796875" bestFit="1" customWidth="1"/>
    <col min="30" max="30" width="13.453125" bestFit="1" customWidth="1"/>
    <col min="31" max="31" width="12.1796875" bestFit="1" customWidth="1"/>
    <col min="32" max="32" width="13" bestFit="1" customWidth="1"/>
    <col min="33" max="33" width="9.1796875" customWidth="1"/>
    <col min="34" max="34" width="14.54296875" bestFit="1" customWidth="1"/>
    <col min="35" max="35" width="8" customWidth="1"/>
    <col min="36" max="36" width="9" bestFit="1" customWidth="1"/>
    <col min="37" max="38" width="15.7265625" bestFit="1" customWidth="1"/>
    <col min="39" max="39" width="8.81640625" bestFit="1" customWidth="1"/>
    <col min="40" max="40" width="14" customWidth="1"/>
    <col min="41" max="41" width="9.453125" bestFit="1" customWidth="1"/>
    <col min="42" max="42" width="7.453125" customWidth="1"/>
  </cols>
  <sheetData>
    <row r="1" spans="1:42" s="10" customFormat="1" ht="47.25" customHeight="1" x14ac:dyDescent="0.35">
      <c r="A1" s="14" t="s">
        <v>95</v>
      </c>
      <c r="B1" s="16" t="s">
        <v>96</v>
      </c>
      <c r="C1" s="15" t="s">
        <v>97</v>
      </c>
      <c r="D1" s="15" t="s">
        <v>98</v>
      </c>
      <c r="E1" s="15" t="s">
        <v>99</v>
      </c>
      <c r="F1" s="16" t="s">
        <v>100</v>
      </c>
      <c r="G1" s="16" t="s">
        <v>101</v>
      </c>
      <c r="H1" s="52" t="s">
        <v>102</v>
      </c>
      <c r="I1" s="52" t="s">
        <v>103</v>
      </c>
      <c r="J1" s="17" t="s">
        <v>104</v>
      </c>
      <c r="K1" s="18" t="s">
        <v>49</v>
      </c>
      <c r="L1" s="18" t="s">
        <v>58</v>
      </c>
      <c r="M1" s="18" t="s">
        <v>131</v>
      </c>
      <c r="N1" s="18" t="s">
        <v>132</v>
      </c>
      <c r="O1" s="18" t="s">
        <v>133</v>
      </c>
      <c r="P1" s="18" t="s">
        <v>48</v>
      </c>
      <c r="Q1" s="18" t="s">
        <v>69</v>
      </c>
      <c r="R1" s="18" t="s">
        <v>63</v>
      </c>
      <c r="S1" s="18" t="s">
        <v>16</v>
      </c>
      <c r="T1" s="18" t="s">
        <v>91</v>
      </c>
      <c r="U1" s="18" t="s">
        <v>3</v>
      </c>
      <c r="V1" s="18" t="s">
        <v>74</v>
      </c>
      <c r="W1" s="18" t="s">
        <v>6</v>
      </c>
      <c r="X1" s="18" t="s">
        <v>54</v>
      </c>
      <c r="Y1" s="18" t="s">
        <v>18</v>
      </c>
      <c r="Z1" s="18" t="s">
        <v>0</v>
      </c>
      <c r="AA1" s="18" t="s">
        <v>33</v>
      </c>
      <c r="AB1" s="18" t="s">
        <v>45</v>
      </c>
      <c r="AC1" s="18" t="s">
        <v>9</v>
      </c>
      <c r="AD1" s="18" t="s">
        <v>11</v>
      </c>
      <c r="AE1" s="18" t="s">
        <v>62</v>
      </c>
      <c r="AF1" s="18" t="s">
        <v>68</v>
      </c>
      <c r="AG1" s="18" t="s">
        <v>4</v>
      </c>
      <c r="AH1" s="18" t="s">
        <v>46</v>
      </c>
      <c r="AI1" s="18" t="s">
        <v>42</v>
      </c>
      <c r="AJ1" s="18" t="s">
        <v>23</v>
      </c>
      <c r="AK1" s="18" t="s">
        <v>43</v>
      </c>
      <c r="AL1" s="18" t="s">
        <v>66</v>
      </c>
      <c r="AM1" s="18" t="s">
        <v>93</v>
      </c>
      <c r="AN1" s="18" t="s">
        <v>51</v>
      </c>
      <c r="AO1" s="18" t="s">
        <v>39</v>
      </c>
      <c r="AP1" s="18" t="s">
        <v>8</v>
      </c>
    </row>
    <row r="2" spans="1:42" x14ac:dyDescent="0.35">
      <c r="A2" s="11" t="s">
        <v>197</v>
      </c>
      <c r="B2" s="19">
        <v>982361</v>
      </c>
      <c r="C2" s="19" t="s">
        <v>105</v>
      </c>
      <c r="D2" s="19" t="s">
        <v>106</v>
      </c>
      <c r="E2" s="19" t="s">
        <v>130</v>
      </c>
      <c r="F2" s="20">
        <v>45269</v>
      </c>
      <c r="G2" s="19">
        <v>30.7</v>
      </c>
      <c r="H2" s="30">
        <v>51.091529999999999</v>
      </c>
      <c r="I2" s="27" t="s">
        <v>486</v>
      </c>
      <c r="J2" s="19"/>
      <c r="K2" s="21"/>
      <c r="L2" s="21"/>
      <c r="M2" s="21"/>
      <c r="N2" s="21" t="s">
        <v>88</v>
      </c>
      <c r="O2" s="21" t="s">
        <v>119</v>
      </c>
      <c r="P2" s="21">
        <v>6.14</v>
      </c>
      <c r="Q2" s="21"/>
      <c r="R2" s="21"/>
      <c r="S2" s="21" t="s">
        <v>119</v>
      </c>
      <c r="T2" s="21"/>
      <c r="U2" s="21" t="s">
        <v>88</v>
      </c>
      <c r="V2" s="21" t="s">
        <v>92</v>
      </c>
      <c r="W2" s="21"/>
      <c r="X2" s="21"/>
      <c r="Y2" s="21" t="s">
        <v>90</v>
      </c>
      <c r="Z2" s="21" t="s">
        <v>89</v>
      </c>
      <c r="AA2" s="21"/>
      <c r="AB2" s="21"/>
      <c r="AC2" s="21"/>
      <c r="AD2" s="21"/>
      <c r="AE2" s="21" t="s">
        <v>89</v>
      </c>
      <c r="AF2" s="28" t="s">
        <v>119</v>
      </c>
      <c r="AG2" s="21" t="s">
        <v>90</v>
      </c>
      <c r="AH2" s="21" t="s">
        <v>88</v>
      </c>
      <c r="AI2" s="21" t="s">
        <v>90</v>
      </c>
      <c r="AJ2" s="21"/>
      <c r="AK2" s="21"/>
      <c r="AL2" s="21"/>
      <c r="AM2" s="21" t="s">
        <v>88</v>
      </c>
      <c r="AN2" s="21" t="s">
        <v>88</v>
      </c>
      <c r="AO2" s="21"/>
      <c r="AP2" s="21" t="s">
        <v>90</v>
      </c>
    </row>
    <row r="3" spans="1:42" x14ac:dyDescent="0.35">
      <c r="A3" s="11" t="s">
        <v>198</v>
      </c>
      <c r="B3" s="19">
        <v>982345</v>
      </c>
      <c r="C3" s="19" t="s">
        <v>107</v>
      </c>
      <c r="D3" s="19" t="s">
        <v>108</v>
      </c>
      <c r="E3" s="19" t="s">
        <v>130</v>
      </c>
      <c r="F3" s="20">
        <v>45272</v>
      </c>
      <c r="G3" s="19">
        <v>60.7</v>
      </c>
      <c r="H3" s="53" t="s">
        <v>487</v>
      </c>
      <c r="I3" s="53" t="s">
        <v>488</v>
      </c>
      <c r="J3" s="19"/>
      <c r="K3" s="21"/>
      <c r="L3" s="21"/>
      <c r="M3" s="21" t="s">
        <v>88</v>
      </c>
      <c r="N3" s="21">
        <v>0.974019169068429</v>
      </c>
      <c r="O3" s="21" t="s">
        <v>119</v>
      </c>
      <c r="P3" s="21" t="s">
        <v>89</v>
      </c>
      <c r="Q3" s="21">
        <v>23.16</v>
      </c>
      <c r="R3" s="21"/>
      <c r="S3" s="21" t="s">
        <v>119</v>
      </c>
      <c r="T3" s="21"/>
      <c r="U3" s="21" t="s">
        <v>88</v>
      </c>
      <c r="V3" s="21" t="s">
        <v>92</v>
      </c>
      <c r="W3" s="21"/>
      <c r="X3" s="21"/>
      <c r="Y3" s="21" t="s">
        <v>90</v>
      </c>
      <c r="Z3" s="21" t="s">
        <v>89</v>
      </c>
      <c r="AA3" s="21" t="s">
        <v>88</v>
      </c>
      <c r="AB3" s="21"/>
      <c r="AC3" s="21"/>
      <c r="AD3" s="21"/>
      <c r="AE3" s="21" t="s">
        <v>89</v>
      </c>
      <c r="AF3" s="45" t="s">
        <v>119</v>
      </c>
      <c r="AG3" s="21">
        <v>60.95</v>
      </c>
      <c r="AH3" s="21" t="s">
        <v>88</v>
      </c>
      <c r="AI3" s="21" t="s">
        <v>90</v>
      </c>
      <c r="AJ3" s="21"/>
      <c r="AK3" s="21"/>
      <c r="AL3" s="21"/>
      <c r="AM3" s="21" t="s">
        <v>88</v>
      </c>
      <c r="AN3" s="21" t="s">
        <v>88</v>
      </c>
      <c r="AO3" s="21"/>
      <c r="AP3" s="21" t="s">
        <v>90</v>
      </c>
    </row>
    <row r="4" spans="1:42" x14ac:dyDescent="0.35">
      <c r="A4" s="11" t="s">
        <v>199</v>
      </c>
      <c r="B4" s="19">
        <v>982174</v>
      </c>
      <c r="C4" s="19" t="s">
        <v>107</v>
      </c>
      <c r="D4" s="19" t="s">
        <v>106</v>
      </c>
      <c r="E4" s="19" t="s">
        <v>109</v>
      </c>
      <c r="F4" s="20">
        <v>45265</v>
      </c>
      <c r="G4" s="19">
        <v>44.5</v>
      </c>
      <c r="H4" s="27" t="s">
        <v>489</v>
      </c>
      <c r="I4" s="27" t="s">
        <v>490</v>
      </c>
      <c r="J4" s="19"/>
      <c r="K4" s="21"/>
      <c r="L4" s="21"/>
      <c r="M4" s="21"/>
      <c r="N4" s="21">
        <v>1.0242220775983999</v>
      </c>
      <c r="O4" s="21" t="s">
        <v>119</v>
      </c>
      <c r="P4" s="21" t="s">
        <v>89</v>
      </c>
      <c r="Q4" s="21"/>
      <c r="R4" s="21"/>
      <c r="S4" s="21" t="s">
        <v>119</v>
      </c>
      <c r="T4" s="21"/>
      <c r="U4" s="21" t="s">
        <v>88</v>
      </c>
      <c r="V4" s="21" t="s">
        <v>92</v>
      </c>
      <c r="W4" s="21"/>
      <c r="X4" s="21"/>
      <c r="Y4" s="21" t="s">
        <v>90</v>
      </c>
      <c r="Z4" s="21" t="s">
        <v>89</v>
      </c>
      <c r="AA4" s="21"/>
      <c r="AB4" s="21"/>
      <c r="AC4" s="21" t="s">
        <v>88</v>
      </c>
      <c r="AD4" s="21"/>
      <c r="AE4" s="21" t="s">
        <v>89</v>
      </c>
      <c r="AF4" s="28" t="s">
        <v>119</v>
      </c>
      <c r="AG4" s="21" t="s">
        <v>90</v>
      </c>
      <c r="AH4" s="21" t="s">
        <v>88</v>
      </c>
      <c r="AI4" s="21" t="s">
        <v>90</v>
      </c>
      <c r="AJ4" s="21"/>
      <c r="AK4" s="21"/>
      <c r="AL4" s="21"/>
      <c r="AM4" s="21" t="s">
        <v>88</v>
      </c>
      <c r="AN4" s="21" t="s">
        <v>88</v>
      </c>
      <c r="AO4" s="21"/>
      <c r="AP4" s="21" t="s">
        <v>90</v>
      </c>
    </row>
    <row r="5" spans="1:42" x14ac:dyDescent="0.35">
      <c r="A5" s="11" t="s">
        <v>200</v>
      </c>
      <c r="B5" s="19">
        <v>946129</v>
      </c>
      <c r="C5" s="19" t="s">
        <v>107</v>
      </c>
      <c r="D5" s="19" t="s">
        <v>108</v>
      </c>
      <c r="E5" s="19" t="s">
        <v>109</v>
      </c>
      <c r="F5" s="20">
        <v>45258</v>
      </c>
      <c r="G5" s="19">
        <v>48.2</v>
      </c>
      <c r="H5" s="23" t="s">
        <v>491</v>
      </c>
      <c r="I5" s="23" t="s">
        <v>492</v>
      </c>
      <c r="J5" s="19"/>
      <c r="K5" s="21"/>
      <c r="L5" s="21"/>
      <c r="M5" s="21"/>
      <c r="N5" s="21">
        <v>1.0323827416993501</v>
      </c>
      <c r="O5" s="21" t="s">
        <v>119</v>
      </c>
      <c r="P5" s="21" t="s">
        <v>89</v>
      </c>
      <c r="Q5" s="21" t="s">
        <v>90</v>
      </c>
      <c r="R5" s="21" t="s">
        <v>88</v>
      </c>
      <c r="S5" s="21" t="s">
        <v>119</v>
      </c>
      <c r="T5" s="21"/>
      <c r="U5" s="21" t="s">
        <v>88</v>
      </c>
      <c r="V5" s="21" t="s">
        <v>92</v>
      </c>
      <c r="W5" s="21">
        <v>10.4752578342324</v>
      </c>
      <c r="X5" s="21" t="s">
        <v>90</v>
      </c>
      <c r="Y5" s="21" t="s">
        <v>90</v>
      </c>
      <c r="Z5" s="21" t="s">
        <v>89</v>
      </c>
      <c r="AA5" s="21"/>
      <c r="AB5" s="21"/>
      <c r="AC5" s="21" t="s">
        <v>88</v>
      </c>
      <c r="AD5" s="21"/>
      <c r="AE5" s="21" t="s">
        <v>89</v>
      </c>
      <c r="AF5" s="45" t="s">
        <v>119</v>
      </c>
      <c r="AG5" s="21" t="s">
        <v>90</v>
      </c>
      <c r="AH5" s="21" t="s">
        <v>88</v>
      </c>
      <c r="AI5" s="21" t="s">
        <v>90</v>
      </c>
      <c r="AJ5" s="21"/>
      <c r="AK5" s="21"/>
      <c r="AL5" s="21"/>
      <c r="AM5" s="21" t="s">
        <v>88</v>
      </c>
      <c r="AN5" s="21" t="s">
        <v>88</v>
      </c>
      <c r="AO5" s="21"/>
      <c r="AP5" s="21" t="s">
        <v>90</v>
      </c>
    </row>
    <row r="6" spans="1:42" x14ac:dyDescent="0.35">
      <c r="A6" s="11" t="s">
        <v>201</v>
      </c>
      <c r="B6" s="19">
        <v>997994</v>
      </c>
      <c r="C6" s="19" t="s">
        <v>105</v>
      </c>
      <c r="D6" s="19" t="s">
        <v>108</v>
      </c>
      <c r="E6" s="19" t="s">
        <v>109</v>
      </c>
      <c r="F6" s="20">
        <v>45306</v>
      </c>
      <c r="G6" s="19">
        <v>26.2</v>
      </c>
      <c r="H6" s="27" t="s">
        <v>493</v>
      </c>
      <c r="I6" s="27" t="s">
        <v>494</v>
      </c>
      <c r="J6" s="19"/>
      <c r="K6" s="21">
        <v>4.4499152102204604</v>
      </c>
      <c r="L6" s="21"/>
      <c r="M6" s="21"/>
      <c r="N6" s="21" t="s">
        <v>88</v>
      </c>
      <c r="O6" s="21" t="s">
        <v>119</v>
      </c>
      <c r="P6" s="21" t="s">
        <v>89</v>
      </c>
      <c r="Q6" s="21"/>
      <c r="R6" s="21"/>
      <c r="S6" s="21">
        <v>8.64</v>
      </c>
      <c r="T6" s="21"/>
      <c r="U6" s="21" t="s">
        <v>88</v>
      </c>
      <c r="V6" s="21" t="s">
        <v>92</v>
      </c>
      <c r="W6" s="21"/>
      <c r="X6" s="21"/>
      <c r="Y6" s="21" t="s">
        <v>90</v>
      </c>
      <c r="Z6" s="21" t="s">
        <v>89</v>
      </c>
      <c r="AA6" s="21"/>
      <c r="AB6" s="21"/>
      <c r="AC6" s="21"/>
      <c r="AD6" s="21"/>
      <c r="AE6" s="21" t="s">
        <v>89</v>
      </c>
      <c r="AF6" s="28" t="s">
        <v>119</v>
      </c>
      <c r="AG6" s="21" t="s">
        <v>90</v>
      </c>
      <c r="AH6" s="21" t="s">
        <v>88</v>
      </c>
      <c r="AI6" s="21" t="s">
        <v>90</v>
      </c>
      <c r="AJ6" s="21"/>
      <c r="AK6" s="21"/>
      <c r="AL6" s="21"/>
      <c r="AM6" s="21" t="s">
        <v>88</v>
      </c>
      <c r="AN6" s="21" t="s">
        <v>88</v>
      </c>
      <c r="AO6" s="21"/>
      <c r="AP6" s="21" t="s">
        <v>90</v>
      </c>
    </row>
    <row r="7" spans="1:42" x14ac:dyDescent="0.35">
      <c r="A7" s="11" t="s">
        <v>202</v>
      </c>
      <c r="B7" s="19">
        <v>982190</v>
      </c>
      <c r="C7" s="19" t="s">
        <v>107</v>
      </c>
      <c r="D7" s="19" t="s">
        <v>106</v>
      </c>
      <c r="E7" s="19" t="s">
        <v>109</v>
      </c>
      <c r="F7" s="20">
        <v>45265</v>
      </c>
      <c r="G7" s="19">
        <v>45.3</v>
      </c>
      <c r="H7" s="53" t="s">
        <v>495</v>
      </c>
      <c r="I7" s="53" t="s">
        <v>496</v>
      </c>
      <c r="J7" s="19"/>
      <c r="K7" s="21">
        <v>10.027304272081301</v>
      </c>
      <c r="L7" s="21"/>
      <c r="M7" s="21"/>
      <c r="N7" s="21" t="s">
        <v>88</v>
      </c>
      <c r="O7" s="21" t="s">
        <v>119</v>
      </c>
      <c r="P7" s="21" t="s">
        <v>89</v>
      </c>
      <c r="Q7" s="21"/>
      <c r="R7" s="21" t="s">
        <v>88</v>
      </c>
      <c r="S7" s="21">
        <v>6.81</v>
      </c>
      <c r="T7" s="21"/>
      <c r="U7" s="21" t="s">
        <v>88</v>
      </c>
      <c r="V7" s="21" t="s">
        <v>92</v>
      </c>
      <c r="W7" s="21"/>
      <c r="X7" s="21"/>
      <c r="Y7" s="21" t="s">
        <v>90</v>
      </c>
      <c r="Z7" s="21" t="s">
        <v>89</v>
      </c>
      <c r="AA7" s="21" t="s">
        <v>72</v>
      </c>
      <c r="AB7" s="21"/>
      <c r="AC7" s="21"/>
      <c r="AD7" s="21"/>
      <c r="AE7" s="21" t="s">
        <v>89</v>
      </c>
      <c r="AF7" s="45" t="s">
        <v>119</v>
      </c>
      <c r="AG7" s="21" t="s">
        <v>90</v>
      </c>
      <c r="AH7" s="21" t="s">
        <v>88</v>
      </c>
      <c r="AI7" s="21" t="s">
        <v>90</v>
      </c>
      <c r="AJ7" s="21"/>
      <c r="AK7" s="21" t="s">
        <v>119</v>
      </c>
      <c r="AL7" s="21"/>
      <c r="AM7" s="21" t="s">
        <v>88</v>
      </c>
      <c r="AN7" s="21" t="s">
        <v>88</v>
      </c>
      <c r="AO7" s="21"/>
      <c r="AP7" s="21" t="s">
        <v>90</v>
      </c>
    </row>
    <row r="8" spans="1:42" x14ac:dyDescent="0.35">
      <c r="A8" s="11" t="s">
        <v>203</v>
      </c>
      <c r="B8" s="19">
        <v>982382</v>
      </c>
      <c r="C8" s="19" t="s">
        <v>105</v>
      </c>
      <c r="D8" s="19" t="s">
        <v>106</v>
      </c>
      <c r="E8" s="19" t="s">
        <v>118</v>
      </c>
      <c r="F8" s="20">
        <v>45272</v>
      </c>
      <c r="G8" s="26">
        <v>36</v>
      </c>
      <c r="H8" s="27" t="s">
        <v>497</v>
      </c>
      <c r="I8" s="27" t="s">
        <v>498</v>
      </c>
      <c r="J8" s="19"/>
      <c r="K8" s="21"/>
      <c r="L8" s="21"/>
      <c r="M8" s="21"/>
      <c r="N8" s="21"/>
      <c r="O8" s="21" t="s">
        <v>119</v>
      </c>
      <c r="P8" s="21" t="s">
        <v>89</v>
      </c>
      <c r="Q8" s="21"/>
      <c r="R8" s="21"/>
      <c r="S8" s="21" t="s">
        <v>119</v>
      </c>
      <c r="T8" s="21"/>
      <c r="U8" s="21" t="s">
        <v>88</v>
      </c>
      <c r="V8" s="21" t="s">
        <v>92</v>
      </c>
      <c r="W8" s="21"/>
      <c r="X8" s="21" t="s">
        <v>90</v>
      </c>
      <c r="Y8" s="21" t="s">
        <v>90</v>
      </c>
      <c r="Z8" s="21" t="s">
        <v>89</v>
      </c>
      <c r="AA8" s="21"/>
      <c r="AB8" s="21"/>
      <c r="AC8" s="21"/>
      <c r="AD8" s="21"/>
      <c r="AE8" s="21" t="s">
        <v>89</v>
      </c>
      <c r="AF8" s="28" t="s">
        <v>119</v>
      </c>
      <c r="AG8" s="21" t="s">
        <v>90</v>
      </c>
      <c r="AH8" s="21" t="s">
        <v>88</v>
      </c>
      <c r="AI8" s="21" t="s">
        <v>90</v>
      </c>
      <c r="AJ8" s="21"/>
      <c r="AK8" s="21"/>
      <c r="AL8" s="21"/>
      <c r="AM8" s="21" t="s">
        <v>88</v>
      </c>
      <c r="AN8" s="21" t="s">
        <v>88</v>
      </c>
      <c r="AO8" s="21" t="s">
        <v>89</v>
      </c>
      <c r="AP8" s="21" t="s">
        <v>90</v>
      </c>
    </row>
    <row r="9" spans="1:42" x14ac:dyDescent="0.35">
      <c r="A9" s="11" t="s">
        <v>204</v>
      </c>
      <c r="B9" s="19">
        <v>982199</v>
      </c>
      <c r="C9" s="19" t="s">
        <v>105</v>
      </c>
      <c r="D9" s="19" t="s">
        <v>106</v>
      </c>
      <c r="E9" s="19" t="s">
        <v>130</v>
      </c>
      <c r="F9" s="20">
        <v>45248</v>
      </c>
      <c r="G9" s="19">
        <v>33.5</v>
      </c>
      <c r="H9" s="23" t="s">
        <v>499</v>
      </c>
      <c r="I9" s="23" t="s">
        <v>500</v>
      </c>
      <c r="J9" s="19"/>
      <c r="K9" s="21"/>
      <c r="L9" s="21"/>
      <c r="M9" s="21"/>
      <c r="N9" s="21" t="s">
        <v>88</v>
      </c>
      <c r="O9" s="21" t="s">
        <v>119</v>
      </c>
      <c r="P9" s="21" t="s">
        <v>89</v>
      </c>
      <c r="Q9" s="21"/>
      <c r="R9" s="21"/>
      <c r="S9" s="21">
        <v>10.26</v>
      </c>
      <c r="T9" s="21"/>
      <c r="U9" s="21" t="s">
        <v>88</v>
      </c>
      <c r="V9" s="21" t="s">
        <v>92</v>
      </c>
      <c r="W9" s="21"/>
      <c r="X9" s="21" t="s">
        <v>90</v>
      </c>
      <c r="Y9" s="21" t="s">
        <v>90</v>
      </c>
      <c r="Z9" s="21" t="s">
        <v>89</v>
      </c>
      <c r="AA9" s="21"/>
      <c r="AB9" s="21"/>
      <c r="AC9" s="21"/>
      <c r="AD9" s="21"/>
      <c r="AE9" s="21" t="s">
        <v>89</v>
      </c>
      <c r="AF9" s="45" t="s">
        <v>119</v>
      </c>
      <c r="AG9" s="21" t="s">
        <v>90</v>
      </c>
      <c r="AH9" s="21" t="s">
        <v>88</v>
      </c>
      <c r="AI9" s="21" t="s">
        <v>90</v>
      </c>
      <c r="AJ9" s="21"/>
      <c r="AK9" s="21"/>
      <c r="AL9" s="21"/>
      <c r="AM9" s="21" t="s">
        <v>88</v>
      </c>
      <c r="AN9" s="21" t="s">
        <v>88</v>
      </c>
      <c r="AO9" s="21"/>
      <c r="AP9" s="21" t="s">
        <v>90</v>
      </c>
    </row>
    <row r="10" spans="1:42" x14ac:dyDescent="0.35">
      <c r="A10" s="11" t="s">
        <v>205</v>
      </c>
      <c r="B10" s="19">
        <v>926893</v>
      </c>
      <c r="C10" s="19" t="s">
        <v>105</v>
      </c>
      <c r="D10" s="19" t="s">
        <v>106</v>
      </c>
      <c r="E10" s="19" t="s">
        <v>130</v>
      </c>
      <c r="F10" s="20">
        <v>45304</v>
      </c>
      <c r="G10" s="19">
        <v>34.1</v>
      </c>
      <c r="H10" s="27" t="s">
        <v>501</v>
      </c>
      <c r="I10" s="27" t="s">
        <v>502</v>
      </c>
      <c r="J10" s="19"/>
      <c r="K10" s="21"/>
      <c r="L10" s="21"/>
      <c r="M10" s="21"/>
      <c r="N10" s="21" t="s">
        <v>88</v>
      </c>
      <c r="O10" s="21" t="s">
        <v>119</v>
      </c>
      <c r="P10" s="21" t="s">
        <v>89</v>
      </c>
      <c r="Q10" s="21"/>
      <c r="R10" s="21"/>
      <c r="S10" s="21" t="s">
        <v>119</v>
      </c>
      <c r="T10" s="21"/>
      <c r="U10" s="21" t="s">
        <v>88</v>
      </c>
      <c r="V10" s="21" t="s">
        <v>92</v>
      </c>
      <c r="W10" s="21"/>
      <c r="X10" s="21"/>
      <c r="Y10" s="21" t="s">
        <v>90</v>
      </c>
      <c r="Z10" s="21" t="s">
        <v>89</v>
      </c>
      <c r="AA10" s="21"/>
      <c r="AB10" s="21"/>
      <c r="AC10" s="21"/>
      <c r="AD10" s="21"/>
      <c r="AE10" s="21" t="s">
        <v>89</v>
      </c>
      <c r="AF10" s="28" t="s">
        <v>119</v>
      </c>
      <c r="AG10" s="21" t="s">
        <v>90</v>
      </c>
      <c r="AH10" s="21" t="s">
        <v>88</v>
      </c>
      <c r="AI10" s="21" t="s">
        <v>90</v>
      </c>
      <c r="AJ10" s="21"/>
      <c r="AK10" s="21"/>
      <c r="AL10" s="21"/>
      <c r="AM10" s="21" t="s">
        <v>88</v>
      </c>
      <c r="AN10" s="21" t="s">
        <v>88</v>
      </c>
      <c r="AO10" s="21"/>
      <c r="AP10" s="21" t="s">
        <v>90</v>
      </c>
    </row>
    <row r="11" spans="1:42" x14ac:dyDescent="0.35">
      <c r="A11" s="11" t="s">
        <v>206</v>
      </c>
      <c r="B11" s="19">
        <v>982109</v>
      </c>
      <c r="C11" s="19" t="s">
        <v>107</v>
      </c>
      <c r="D11" s="19" t="s">
        <v>108</v>
      </c>
      <c r="E11" s="19" t="s">
        <v>109</v>
      </c>
      <c r="F11" s="20">
        <v>45265</v>
      </c>
      <c r="G11" s="19">
        <v>48.7</v>
      </c>
      <c r="H11" s="53" t="s">
        <v>495</v>
      </c>
      <c r="I11" s="53" t="s">
        <v>496</v>
      </c>
      <c r="J11" s="19"/>
      <c r="K11" s="21"/>
      <c r="L11" s="21"/>
      <c r="M11" s="21" t="s">
        <v>88</v>
      </c>
      <c r="N11" s="21">
        <v>1.1672958262061299</v>
      </c>
      <c r="O11" s="21" t="s">
        <v>119</v>
      </c>
      <c r="P11" s="21" t="s">
        <v>89</v>
      </c>
      <c r="Q11" s="21"/>
      <c r="R11" s="21"/>
      <c r="S11" s="21">
        <v>4.3499999999999996</v>
      </c>
      <c r="T11" s="21"/>
      <c r="U11" s="21" t="s">
        <v>88</v>
      </c>
      <c r="V11" s="21" t="s">
        <v>92</v>
      </c>
      <c r="W11" s="21"/>
      <c r="X11" s="21" t="s">
        <v>90</v>
      </c>
      <c r="Y11" s="21" t="s">
        <v>90</v>
      </c>
      <c r="Z11" s="21" t="s">
        <v>89</v>
      </c>
      <c r="AA11" s="21"/>
      <c r="AB11" s="21"/>
      <c r="AC11" s="21"/>
      <c r="AD11" s="21"/>
      <c r="AE11" s="21" t="s">
        <v>89</v>
      </c>
      <c r="AF11" s="45" t="s">
        <v>119</v>
      </c>
      <c r="AG11" s="21" t="s">
        <v>90</v>
      </c>
      <c r="AH11" s="21" t="s">
        <v>88</v>
      </c>
      <c r="AI11" s="21" t="s">
        <v>90</v>
      </c>
      <c r="AJ11" s="21"/>
      <c r="AK11" s="21" t="s">
        <v>119</v>
      </c>
      <c r="AL11" s="21"/>
      <c r="AM11" s="21" t="s">
        <v>88</v>
      </c>
      <c r="AN11" s="21" t="s">
        <v>88</v>
      </c>
      <c r="AO11" s="21" t="s">
        <v>89</v>
      </c>
      <c r="AP11" s="21" t="s">
        <v>90</v>
      </c>
    </row>
    <row r="12" spans="1:42" x14ac:dyDescent="0.35">
      <c r="A12" s="11" t="s">
        <v>207</v>
      </c>
      <c r="B12" s="19">
        <v>982173</v>
      </c>
      <c r="C12" s="19" t="s">
        <v>107</v>
      </c>
      <c r="D12" s="19" t="s">
        <v>106</v>
      </c>
      <c r="E12" s="19" t="s">
        <v>130</v>
      </c>
      <c r="F12" s="20">
        <v>45265</v>
      </c>
      <c r="G12" s="19">
        <v>64.8</v>
      </c>
      <c r="H12" s="27" t="s">
        <v>489</v>
      </c>
      <c r="I12" s="27" t="s">
        <v>490</v>
      </c>
      <c r="J12" s="19"/>
      <c r="K12" s="21"/>
      <c r="L12" s="21"/>
      <c r="M12" s="21" t="s">
        <v>88</v>
      </c>
      <c r="N12" s="21">
        <v>1.1175766107151901</v>
      </c>
      <c r="O12" s="21" t="s">
        <v>119</v>
      </c>
      <c r="P12" s="21" t="s">
        <v>89</v>
      </c>
      <c r="Q12" s="21"/>
      <c r="R12" s="21"/>
      <c r="S12" s="21" t="s">
        <v>119</v>
      </c>
      <c r="T12" s="21"/>
      <c r="U12" s="21" t="s">
        <v>88</v>
      </c>
      <c r="V12" s="21" t="s">
        <v>92</v>
      </c>
      <c r="W12" s="21"/>
      <c r="X12" s="21" t="s">
        <v>90</v>
      </c>
      <c r="Y12" s="21" t="s">
        <v>90</v>
      </c>
      <c r="Z12" s="21" t="s">
        <v>89</v>
      </c>
      <c r="AA12" s="21"/>
      <c r="AB12" s="21" t="s">
        <v>119</v>
      </c>
      <c r="AC12" s="21" t="s">
        <v>88</v>
      </c>
      <c r="AD12" s="21"/>
      <c r="AE12" s="21" t="s">
        <v>89</v>
      </c>
      <c r="AF12" s="28" t="s">
        <v>119</v>
      </c>
      <c r="AG12" s="21" t="s">
        <v>90</v>
      </c>
      <c r="AH12" s="21" t="s">
        <v>88</v>
      </c>
      <c r="AI12" s="21" t="s">
        <v>90</v>
      </c>
      <c r="AJ12" s="21"/>
      <c r="AK12" s="21">
        <v>2.4893000000000001</v>
      </c>
      <c r="AL12" s="21"/>
      <c r="AM12" s="21" t="s">
        <v>88</v>
      </c>
      <c r="AN12" s="21" t="s">
        <v>88</v>
      </c>
      <c r="AO12" s="21"/>
      <c r="AP12" s="21" t="s">
        <v>90</v>
      </c>
    </row>
    <row r="13" spans="1:42" x14ac:dyDescent="0.35">
      <c r="A13" s="11" t="s">
        <v>208</v>
      </c>
      <c r="B13" s="19">
        <v>982069</v>
      </c>
      <c r="C13" s="19" t="s">
        <v>105</v>
      </c>
      <c r="D13" s="19" t="s">
        <v>106</v>
      </c>
      <c r="E13" s="19" t="s">
        <v>130</v>
      </c>
      <c r="F13" s="20">
        <v>45258</v>
      </c>
      <c r="G13" s="19">
        <v>32.5</v>
      </c>
      <c r="H13" s="23" t="s">
        <v>503</v>
      </c>
      <c r="I13" s="23" t="s">
        <v>504</v>
      </c>
      <c r="J13" s="19"/>
      <c r="K13" s="21"/>
      <c r="L13" s="21"/>
      <c r="M13" s="21"/>
      <c r="N13" s="21" t="s">
        <v>88</v>
      </c>
      <c r="O13" s="21" t="s">
        <v>119</v>
      </c>
      <c r="P13" s="21" t="s">
        <v>89</v>
      </c>
      <c r="Q13" s="21"/>
      <c r="R13" s="21"/>
      <c r="S13" s="21" t="s">
        <v>119</v>
      </c>
      <c r="T13" s="21"/>
      <c r="U13" s="21" t="s">
        <v>88</v>
      </c>
      <c r="V13" s="21" t="s">
        <v>92</v>
      </c>
      <c r="W13" s="21"/>
      <c r="X13" s="21"/>
      <c r="Y13" s="21" t="s">
        <v>90</v>
      </c>
      <c r="Z13" s="21" t="s">
        <v>89</v>
      </c>
      <c r="AA13" s="21"/>
      <c r="AB13" s="21"/>
      <c r="AC13" s="21"/>
      <c r="AD13" s="21"/>
      <c r="AE13" s="21" t="s">
        <v>89</v>
      </c>
      <c r="AF13" s="45" t="s">
        <v>119</v>
      </c>
      <c r="AG13" s="21" t="s">
        <v>90</v>
      </c>
      <c r="AH13" s="21" t="s">
        <v>88</v>
      </c>
      <c r="AI13" s="21" t="s">
        <v>90</v>
      </c>
      <c r="AJ13" s="21"/>
      <c r="AK13" s="21"/>
      <c r="AL13" s="21"/>
      <c r="AM13" s="21" t="s">
        <v>88</v>
      </c>
      <c r="AN13" s="21" t="s">
        <v>88</v>
      </c>
      <c r="AO13" s="21"/>
      <c r="AP13" s="21" t="s">
        <v>90</v>
      </c>
    </row>
    <row r="14" spans="1:42" x14ac:dyDescent="0.35">
      <c r="A14" s="11" t="s">
        <v>209</v>
      </c>
      <c r="B14" s="19">
        <v>982110</v>
      </c>
      <c r="C14" s="19" t="s">
        <v>107</v>
      </c>
      <c r="D14" s="26" t="s">
        <v>106</v>
      </c>
      <c r="E14" s="19" t="s">
        <v>109</v>
      </c>
      <c r="F14" s="20">
        <v>45265</v>
      </c>
      <c r="G14" s="26">
        <v>38</v>
      </c>
      <c r="H14" s="27" t="s">
        <v>495</v>
      </c>
      <c r="I14" s="27" t="s">
        <v>496</v>
      </c>
      <c r="J14" s="19"/>
      <c r="K14" s="21"/>
      <c r="L14" s="21"/>
      <c r="M14" s="21" t="s">
        <v>88</v>
      </c>
      <c r="N14" s="21">
        <v>1.2160122456792799</v>
      </c>
      <c r="O14" s="21" t="s">
        <v>119</v>
      </c>
      <c r="P14" s="21" t="s">
        <v>89</v>
      </c>
      <c r="Q14" s="21"/>
      <c r="R14" s="21" t="s">
        <v>88</v>
      </c>
      <c r="S14" s="21" t="s">
        <v>119</v>
      </c>
      <c r="T14" s="21"/>
      <c r="U14" s="21" t="s">
        <v>88</v>
      </c>
      <c r="V14" s="21" t="s">
        <v>92</v>
      </c>
      <c r="W14" s="21"/>
      <c r="X14" s="21" t="s">
        <v>90</v>
      </c>
      <c r="Y14" s="21" t="s">
        <v>90</v>
      </c>
      <c r="Z14" s="21" t="s">
        <v>89</v>
      </c>
      <c r="AA14" s="21"/>
      <c r="AB14" s="21"/>
      <c r="AC14" s="21"/>
      <c r="AD14" s="21"/>
      <c r="AE14" s="21" t="s">
        <v>89</v>
      </c>
      <c r="AF14" s="28" t="s">
        <v>119</v>
      </c>
      <c r="AG14" s="21" t="s">
        <v>90</v>
      </c>
      <c r="AH14" s="21" t="s">
        <v>88</v>
      </c>
      <c r="AI14" s="21" t="s">
        <v>90</v>
      </c>
      <c r="AJ14" s="21"/>
      <c r="AK14" s="21" t="s">
        <v>119</v>
      </c>
      <c r="AL14" s="21"/>
      <c r="AM14" s="21" t="s">
        <v>88</v>
      </c>
      <c r="AN14" s="21" t="s">
        <v>88</v>
      </c>
      <c r="AO14" s="21" t="s">
        <v>89</v>
      </c>
      <c r="AP14" s="21" t="s">
        <v>90</v>
      </c>
    </row>
    <row r="15" spans="1:42" x14ac:dyDescent="0.35">
      <c r="A15" s="11" t="s">
        <v>210</v>
      </c>
      <c r="B15" s="19">
        <v>946314</v>
      </c>
      <c r="C15" s="19" t="s">
        <v>107</v>
      </c>
      <c r="D15" s="19" t="s">
        <v>108</v>
      </c>
      <c r="E15" s="19" t="s">
        <v>130</v>
      </c>
      <c r="F15" s="20">
        <v>45265</v>
      </c>
      <c r="G15" s="19">
        <v>67.400000000000006</v>
      </c>
      <c r="H15" s="54" t="s">
        <v>505</v>
      </c>
      <c r="I15" s="54" t="s">
        <v>536</v>
      </c>
      <c r="J15" s="19" t="s">
        <v>110</v>
      </c>
      <c r="K15" s="21"/>
      <c r="L15" s="21"/>
      <c r="M15" s="21"/>
      <c r="N15" s="21" t="s">
        <v>88</v>
      </c>
      <c r="O15" s="21" t="s">
        <v>119</v>
      </c>
      <c r="P15" s="21" t="s">
        <v>89</v>
      </c>
      <c r="Q15" s="21"/>
      <c r="R15" s="21"/>
      <c r="S15" s="21" t="s">
        <v>119</v>
      </c>
      <c r="T15" s="21"/>
      <c r="U15" s="21" t="s">
        <v>88</v>
      </c>
      <c r="V15" s="21" t="s">
        <v>92</v>
      </c>
      <c r="W15" s="21"/>
      <c r="X15" s="21"/>
      <c r="Y15" s="21" t="s">
        <v>90</v>
      </c>
      <c r="Z15" s="21" t="s">
        <v>89</v>
      </c>
      <c r="AA15" s="21"/>
      <c r="AB15" s="21"/>
      <c r="AC15" s="21"/>
      <c r="AD15" s="21"/>
      <c r="AE15" s="21" t="s">
        <v>89</v>
      </c>
      <c r="AF15" s="45" t="s">
        <v>119</v>
      </c>
      <c r="AG15" s="21" t="s">
        <v>90</v>
      </c>
      <c r="AH15" s="21" t="s">
        <v>88</v>
      </c>
      <c r="AI15" s="21" t="s">
        <v>90</v>
      </c>
      <c r="AJ15" s="21"/>
      <c r="AK15" s="21"/>
      <c r="AL15" s="21"/>
      <c r="AM15" s="21" t="s">
        <v>88</v>
      </c>
      <c r="AN15" s="21" t="s">
        <v>88</v>
      </c>
      <c r="AO15" s="21"/>
      <c r="AP15" s="21" t="s">
        <v>90</v>
      </c>
    </row>
    <row r="16" spans="1:42" x14ac:dyDescent="0.35">
      <c r="A16" s="11" t="s">
        <v>211</v>
      </c>
      <c r="B16" s="19">
        <v>982335</v>
      </c>
      <c r="C16" s="19" t="s">
        <v>105</v>
      </c>
      <c r="D16" s="19" t="s">
        <v>108</v>
      </c>
      <c r="E16" s="19" t="s">
        <v>109</v>
      </c>
      <c r="F16" s="20">
        <v>45244</v>
      </c>
      <c r="G16" s="26">
        <v>24</v>
      </c>
      <c r="H16" s="23" t="s">
        <v>506</v>
      </c>
      <c r="I16" s="23" t="s">
        <v>537</v>
      </c>
      <c r="J16" s="19"/>
      <c r="K16" s="21"/>
      <c r="L16" s="21"/>
      <c r="M16" s="21"/>
      <c r="N16" s="21" t="s">
        <v>88</v>
      </c>
      <c r="O16" s="21" t="s">
        <v>119</v>
      </c>
      <c r="P16" s="21" t="s">
        <v>89</v>
      </c>
      <c r="Q16" s="21"/>
      <c r="R16" s="21"/>
      <c r="S16" s="21" t="s">
        <v>119</v>
      </c>
      <c r="T16" s="21"/>
      <c r="U16" s="21" t="s">
        <v>88</v>
      </c>
      <c r="V16" s="21" t="s">
        <v>92</v>
      </c>
      <c r="W16" s="21">
        <v>4.4849661288753202</v>
      </c>
      <c r="X16" s="21" t="s">
        <v>90</v>
      </c>
      <c r="Y16" s="21" t="s">
        <v>90</v>
      </c>
      <c r="Z16" s="21" t="s">
        <v>89</v>
      </c>
      <c r="AA16" s="21"/>
      <c r="AB16" s="21"/>
      <c r="AC16" s="21"/>
      <c r="AD16" s="21"/>
      <c r="AE16" s="21" t="s">
        <v>89</v>
      </c>
      <c r="AF16" s="28" t="s">
        <v>119</v>
      </c>
      <c r="AG16" s="21" t="s">
        <v>90</v>
      </c>
      <c r="AH16" s="21" t="s">
        <v>88</v>
      </c>
      <c r="AI16" s="21" t="s">
        <v>90</v>
      </c>
      <c r="AJ16" s="21"/>
      <c r="AK16" s="21"/>
      <c r="AL16" s="21"/>
      <c r="AM16" s="21" t="s">
        <v>88</v>
      </c>
      <c r="AN16" s="21" t="s">
        <v>88</v>
      </c>
      <c r="AO16" s="21"/>
      <c r="AP16" s="21" t="s">
        <v>90</v>
      </c>
    </row>
    <row r="17" spans="1:42" x14ac:dyDescent="0.35">
      <c r="A17" s="11" t="s">
        <v>212</v>
      </c>
      <c r="B17" s="19">
        <v>982431</v>
      </c>
      <c r="C17" s="19" t="s">
        <v>105</v>
      </c>
      <c r="D17" s="19" t="s">
        <v>106</v>
      </c>
      <c r="E17" s="19" t="s">
        <v>109</v>
      </c>
      <c r="F17" s="20">
        <v>45244</v>
      </c>
      <c r="G17" s="32">
        <v>21</v>
      </c>
      <c r="H17" s="23" t="s">
        <v>507</v>
      </c>
      <c r="I17" s="23" t="s">
        <v>538</v>
      </c>
      <c r="J17" s="19"/>
      <c r="K17" s="21">
        <v>40.216665025078001</v>
      </c>
      <c r="L17" s="21"/>
      <c r="M17" s="21"/>
      <c r="N17" s="21" t="s">
        <v>88</v>
      </c>
      <c r="O17" s="21" t="s">
        <v>119</v>
      </c>
      <c r="P17" s="21" t="s">
        <v>89</v>
      </c>
      <c r="Q17" s="21"/>
      <c r="R17" s="21"/>
      <c r="S17" s="21">
        <v>8.5150000000000006</v>
      </c>
      <c r="T17" s="21"/>
      <c r="U17" s="21" t="s">
        <v>88</v>
      </c>
      <c r="V17" s="21" t="s">
        <v>92</v>
      </c>
      <c r="W17" s="21">
        <v>7.7730390596407197</v>
      </c>
      <c r="X17" s="21" t="s">
        <v>90</v>
      </c>
      <c r="Y17" s="21" t="s">
        <v>90</v>
      </c>
      <c r="Z17" s="21" t="s">
        <v>89</v>
      </c>
      <c r="AA17" s="21" t="s">
        <v>72</v>
      </c>
      <c r="AB17" s="21"/>
      <c r="AC17" s="21"/>
      <c r="AD17" s="21"/>
      <c r="AE17" s="21" t="s">
        <v>89</v>
      </c>
      <c r="AF17" s="45" t="s">
        <v>119</v>
      </c>
      <c r="AG17" s="21" t="s">
        <v>90</v>
      </c>
      <c r="AH17" s="21" t="s">
        <v>88</v>
      </c>
      <c r="AI17" s="21" t="s">
        <v>90</v>
      </c>
      <c r="AJ17" s="21"/>
      <c r="AK17" s="21"/>
      <c r="AL17" s="21"/>
      <c r="AM17" s="21" t="s">
        <v>88</v>
      </c>
      <c r="AN17" s="21" t="s">
        <v>88</v>
      </c>
      <c r="AO17" s="21"/>
      <c r="AP17" s="21" t="s">
        <v>90</v>
      </c>
    </row>
    <row r="18" spans="1:42" x14ac:dyDescent="0.35">
      <c r="A18" s="11" t="s">
        <v>213</v>
      </c>
      <c r="B18" s="19">
        <v>926825</v>
      </c>
      <c r="C18" s="19" t="s">
        <v>105</v>
      </c>
      <c r="D18" s="19" t="s">
        <v>108</v>
      </c>
      <c r="E18" s="19" t="s">
        <v>130</v>
      </c>
      <c r="F18" s="20">
        <v>45258</v>
      </c>
      <c r="G18" s="19">
        <v>44.3</v>
      </c>
      <c r="H18" s="23" t="s">
        <v>508</v>
      </c>
      <c r="I18" s="23" t="s">
        <v>539</v>
      </c>
      <c r="J18" s="19"/>
      <c r="K18" s="21"/>
      <c r="L18" s="21"/>
      <c r="M18" s="21"/>
      <c r="N18" s="21" t="s">
        <v>88</v>
      </c>
      <c r="O18" s="21" t="s">
        <v>119</v>
      </c>
      <c r="P18" s="21" t="s">
        <v>89</v>
      </c>
      <c r="Q18" s="21"/>
      <c r="R18" s="21"/>
      <c r="S18" s="21" t="s">
        <v>119</v>
      </c>
      <c r="T18" s="21">
        <v>3.75</v>
      </c>
      <c r="U18" s="21" t="s">
        <v>88</v>
      </c>
      <c r="V18" s="21">
        <v>38.033940370266102</v>
      </c>
      <c r="W18" s="21"/>
      <c r="X18" s="21" t="s">
        <v>90</v>
      </c>
      <c r="Y18" s="21" t="s">
        <v>90</v>
      </c>
      <c r="Z18" s="21" t="s">
        <v>89</v>
      </c>
      <c r="AA18" s="21"/>
      <c r="AB18" s="21"/>
      <c r="AC18" s="21"/>
      <c r="AD18" s="21"/>
      <c r="AE18" s="21" t="s">
        <v>89</v>
      </c>
      <c r="AF18" s="28" t="s">
        <v>119</v>
      </c>
      <c r="AG18" s="21" t="s">
        <v>90</v>
      </c>
      <c r="AH18" s="21" t="s">
        <v>88</v>
      </c>
      <c r="AI18" s="21" t="s">
        <v>90</v>
      </c>
      <c r="AJ18" s="21"/>
      <c r="AK18" s="21">
        <v>28.844799999999999</v>
      </c>
      <c r="AL18" s="21"/>
      <c r="AM18" s="21" t="s">
        <v>88</v>
      </c>
      <c r="AN18" s="21" t="s">
        <v>88</v>
      </c>
      <c r="AO18" s="21"/>
      <c r="AP18" s="21" t="s">
        <v>90</v>
      </c>
    </row>
    <row r="19" spans="1:42" x14ac:dyDescent="0.35">
      <c r="A19" s="11" t="s">
        <v>214</v>
      </c>
      <c r="B19" s="19">
        <v>982106</v>
      </c>
      <c r="C19" s="19" t="s">
        <v>105</v>
      </c>
      <c r="D19" s="19" t="s">
        <v>108</v>
      </c>
      <c r="E19" s="19" t="s">
        <v>130</v>
      </c>
      <c r="F19" s="20">
        <v>45265</v>
      </c>
      <c r="G19" s="19">
        <v>38.4</v>
      </c>
      <c r="H19" s="53" t="s">
        <v>509</v>
      </c>
      <c r="I19" s="53" t="s">
        <v>540</v>
      </c>
      <c r="J19" s="19"/>
      <c r="K19" s="21"/>
      <c r="L19" s="21"/>
      <c r="M19" s="21"/>
      <c r="N19" s="21" t="s">
        <v>88</v>
      </c>
      <c r="O19" s="21" t="s">
        <v>119</v>
      </c>
      <c r="P19" s="21" t="s">
        <v>89</v>
      </c>
      <c r="Q19" s="21"/>
      <c r="R19" s="21"/>
      <c r="S19" s="21">
        <v>31.123999999999999</v>
      </c>
      <c r="T19" s="21"/>
      <c r="U19" s="21" t="s">
        <v>88</v>
      </c>
      <c r="V19" s="21" t="s">
        <v>92</v>
      </c>
      <c r="W19" s="21"/>
      <c r="X19" s="21"/>
      <c r="Y19" s="21" t="s">
        <v>90</v>
      </c>
      <c r="Z19" s="21" t="s">
        <v>89</v>
      </c>
      <c r="AA19" s="21"/>
      <c r="AB19" s="21"/>
      <c r="AC19" s="21"/>
      <c r="AD19" s="21"/>
      <c r="AE19" s="21" t="s">
        <v>89</v>
      </c>
      <c r="AF19" s="45" t="s">
        <v>119</v>
      </c>
      <c r="AG19" s="21" t="s">
        <v>90</v>
      </c>
      <c r="AH19" s="21" t="s">
        <v>88</v>
      </c>
      <c r="AI19" s="21" t="s">
        <v>90</v>
      </c>
      <c r="AJ19" s="21"/>
      <c r="AK19" s="21">
        <v>14.639799999999999</v>
      </c>
      <c r="AL19" s="21"/>
      <c r="AM19" s="21" t="s">
        <v>88</v>
      </c>
      <c r="AN19" s="21" t="s">
        <v>88</v>
      </c>
      <c r="AO19" s="21"/>
      <c r="AP19" s="21" t="s">
        <v>90</v>
      </c>
    </row>
    <row r="20" spans="1:42" x14ac:dyDescent="0.35">
      <c r="A20" s="11" t="s">
        <v>215</v>
      </c>
      <c r="B20" s="19">
        <v>982336</v>
      </c>
      <c r="C20" s="19" t="s">
        <v>107</v>
      </c>
      <c r="D20" s="19" t="s">
        <v>106</v>
      </c>
      <c r="E20" s="19" t="s">
        <v>118</v>
      </c>
      <c r="F20" s="20">
        <v>45244</v>
      </c>
      <c r="G20" s="26">
        <v>56</v>
      </c>
      <c r="H20" s="23" t="s">
        <v>506</v>
      </c>
      <c r="I20" s="23" t="s">
        <v>537</v>
      </c>
      <c r="J20" s="19"/>
      <c r="K20" s="21"/>
      <c r="L20" s="21"/>
      <c r="M20" s="21"/>
      <c r="N20" s="21" t="s">
        <v>88</v>
      </c>
      <c r="O20" s="21" t="s">
        <v>119</v>
      </c>
      <c r="P20" s="21" t="s">
        <v>89</v>
      </c>
      <c r="Q20" s="21"/>
      <c r="R20" s="21"/>
      <c r="S20" s="21" t="s">
        <v>119</v>
      </c>
      <c r="T20" s="21"/>
      <c r="U20" s="21">
        <v>2.3458698856812101</v>
      </c>
      <c r="V20" s="21" t="s">
        <v>92</v>
      </c>
      <c r="W20" s="21"/>
      <c r="X20" s="21" t="s">
        <v>90</v>
      </c>
      <c r="Y20" s="21" t="s">
        <v>90</v>
      </c>
      <c r="Z20" s="21" t="s">
        <v>89</v>
      </c>
      <c r="AA20" s="21" t="s">
        <v>88</v>
      </c>
      <c r="AB20" s="21"/>
      <c r="AC20" s="21"/>
      <c r="AD20" s="21"/>
      <c r="AE20" s="21" t="s">
        <v>89</v>
      </c>
      <c r="AF20" s="28" t="s">
        <v>119</v>
      </c>
      <c r="AG20" s="21" t="s">
        <v>90</v>
      </c>
      <c r="AH20" s="21" t="s">
        <v>88</v>
      </c>
      <c r="AI20" s="21" t="s">
        <v>90</v>
      </c>
      <c r="AJ20" s="21"/>
      <c r="AK20" s="21"/>
      <c r="AL20" s="21"/>
      <c r="AM20" s="21" t="s">
        <v>88</v>
      </c>
      <c r="AN20" s="21" t="s">
        <v>88</v>
      </c>
      <c r="AO20" s="21"/>
      <c r="AP20" s="21" t="s">
        <v>90</v>
      </c>
    </row>
    <row r="21" spans="1:42" x14ac:dyDescent="0.35">
      <c r="A21" s="11" t="s">
        <v>216</v>
      </c>
      <c r="B21" s="19">
        <v>982107</v>
      </c>
      <c r="C21" s="19" t="s">
        <v>107</v>
      </c>
      <c r="D21" s="19" t="s">
        <v>106</v>
      </c>
      <c r="E21" s="19" t="s">
        <v>118</v>
      </c>
      <c r="F21" s="20">
        <v>45265</v>
      </c>
      <c r="G21" s="19">
        <v>65.7</v>
      </c>
      <c r="H21" s="53" t="s">
        <v>510</v>
      </c>
      <c r="I21" s="53" t="s">
        <v>541</v>
      </c>
      <c r="J21" s="19" t="s">
        <v>110</v>
      </c>
      <c r="K21" s="21"/>
      <c r="L21" s="21"/>
      <c r="M21" s="21"/>
      <c r="N21" s="21" t="s">
        <v>88</v>
      </c>
      <c r="O21" s="21" t="s">
        <v>119</v>
      </c>
      <c r="P21" s="21" t="s">
        <v>89</v>
      </c>
      <c r="Q21" s="21"/>
      <c r="R21" s="21"/>
      <c r="S21" s="21">
        <v>3.57</v>
      </c>
      <c r="T21" s="21"/>
      <c r="U21" s="21" t="s">
        <v>88</v>
      </c>
      <c r="V21" s="21" t="s">
        <v>92</v>
      </c>
      <c r="W21" s="21">
        <v>6.4424456385236297</v>
      </c>
      <c r="X21" s="21" t="s">
        <v>90</v>
      </c>
      <c r="Y21" s="21" t="s">
        <v>90</v>
      </c>
      <c r="Z21" s="21" t="s">
        <v>89</v>
      </c>
      <c r="AA21" s="21"/>
      <c r="AB21" s="21"/>
      <c r="AC21" s="21"/>
      <c r="AD21" s="21"/>
      <c r="AE21" s="21" t="s">
        <v>89</v>
      </c>
      <c r="AF21" s="45" t="s">
        <v>119</v>
      </c>
      <c r="AG21" s="21" t="s">
        <v>90</v>
      </c>
      <c r="AH21" s="21" t="s">
        <v>88</v>
      </c>
      <c r="AI21" s="21" t="s">
        <v>90</v>
      </c>
      <c r="AJ21" s="21" t="s">
        <v>119</v>
      </c>
      <c r="AK21" s="21" t="s">
        <v>119</v>
      </c>
      <c r="AL21" s="21"/>
      <c r="AM21" s="21" t="s">
        <v>88</v>
      </c>
      <c r="AN21" s="21" t="s">
        <v>88</v>
      </c>
      <c r="AO21" s="21"/>
      <c r="AP21" s="21" t="s">
        <v>90</v>
      </c>
    </row>
    <row r="22" spans="1:42" x14ac:dyDescent="0.35">
      <c r="A22" s="11" t="s">
        <v>217</v>
      </c>
      <c r="B22" s="19">
        <v>982378</v>
      </c>
      <c r="C22" s="19" t="s">
        <v>105</v>
      </c>
      <c r="D22" s="19" t="s">
        <v>108</v>
      </c>
      <c r="E22" s="19" t="s">
        <v>109</v>
      </c>
      <c r="F22" s="20">
        <v>45272</v>
      </c>
      <c r="G22" s="19">
        <v>25</v>
      </c>
      <c r="H22" s="27" t="s">
        <v>511</v>
      </c>
      <c r="I22" s="27" t="s">
        <v>542</v>
      </c>
      <c r="J22" s="19"/>
      <c r="K22" s="21"/>
      <c r="L22" s="21"/>
      <c r="M22" s="21"/>
      <c r="N22" s="21" t="s">
        <v>88</v>
      </c>
      <c r="O22" s="21" t="s">
        <v>119</v>
      </c>
      <c r="P22" s="21" t="s">
        <v>89</v>
      </c>
      <c r="Q22" s="21"/>
      <c r="R22" s="21"/>
      <c r="S22" s="21" t="s">
        <v>119</v>
      </c>
      <c r="T22" s="21"/>
      <c r="U22" s="21" t="s">
        <v>88</v>
      </c>
      <c r="V22" s="21" t="s">
        <v>92</v>
      </c>
      <c r="W22" s="21"/>
      <c r="X22" s="21"/>
      <c r="Y22" s="21" t="s">
        <v>90</v>
      </c>
      <c r="Z22" s="21" t="s">
        <v>89</v>
      </c>
      <c r="AA22" s="21"/>
      <c r="AB22" s="21"/>
      <c r="AC22" s="21"/>
      <c r="AD22" s="21"/>
      <c r="AE22" s="21" t="s">
        <v>89</v>
      </c>
      <c r="AF22" s="28" t="s">
        <v>119</v>
      </c>
      <c r="AG22" s="21" t="s">
        <v>90</v>
      </c>
      <c r="AH22" s="21" t="s">
        <v>88</v>
      </c>
      <c r="AI22" s="21" t="s">
        <v>90</v>
      </c>
      <c r="AJ22" s="21"/>
      <c r="AK22" s="21"/>
      <c r="AL22" s="21"/>
      <c r="AM22" s="21" t="s">
        <v>88</v>
      </c>
      <c r="AN22" s="21" t="s">
        <v>88</v>
      </c>
      <c r="AO22" s="21"/>
      <c r="AP22" s="21" t="s">
        <v>90</v>
      </c>
    </row>
    <row r="23" spans="1:42" x14ac:dyDescent="0.35">
      <c r="A23" s="11" t="s">
        <v>218</v>
      </c>
      <c r="B23" s="19">
        <v>982078</v>
      </c>
      <c r="C23" s="19" t="s">
        <v>107</v>
      </c>
      <c r="D23" s="19" t="s">
        <v>108</v>
      </c>
      <c r="E23" s="19" t="s">
        <v>109</v>
      </c>
      <c r="F23" s="20">
        <v>45258</v>
      </c>
      <c r="G23" s="19">
        <v>48.2</v>
      </c>
      <c r="H23" s="23" t="s">
        <v>512</v>
      </c>
      <c r="I23" s="23" t="s">
        <v>543</v>
      </c>
      <c r="J23" s="19"/>
      <c r="K23" s="21"/>
      <c r="L23" s="21"/>
      <c r="M23" s="21"/>
      <c r="N23" s="21" t="s">
        <v>88</v>
      </c>
      <c r="O23" s="21" t="s">
        <v>119</v>
      </c>
      <c r="P23" s="21" t="s">
        <v>89</v>
      </c>
      <c r="Q23" s="21"/>
      <c r="R23" s="21"/>
      <c r="S23" s="21" t="s">
        <v>119</v>
      </c>
      <c r="T23" s="21"/>
      <c r="U23" s="21" t="s">
        <v>88</v>
      </c>
      <c r="V23" s="21" t="s">
        <v>92</v>
      </c>
      <c r="W23" s="21"/>
      <c r="X23" s="21" t="s">
        <v>90</v>
      </c>
      <c r="Y23" s="21" t="s">
        <v>90</v>
      </c>
      <c r="Z23" s="21" t="s">
        <v>89</v>
      </c>
      <c r="AA23" s="21"/>
      <c r="AB23" s="21"/>
      <c r="AC23" s="21"/>
      <c r="AD23" s="21"/>
      <c r="AE23" s="21" t="s">
        <v>89</v>
      </c>
      <c r="AF23" s="45" t="s">
        <v>119</v>
      </c>
      <c r="AG23" s="21" t="s">
        <v>90</v>
      </c>
      <c r="AH23" s="21" t="s">
        <v>88</v>
      </c>
      <c r="AI23" s="21" t="s">
        <v>90</v>
      </c>
      <c r="AJ23" s="21" t="s">
        <v>119</v>
      </c>
      <c r="AK23" s="21"/>
      <c r="AL23" s="21"/>
      <c r="AM23" s="21" t="s">
        <v>88</v>
      </c>
      <c r="AN23" s="21" t="s">
        <v>88</v>
      </c>
      <c r="AO23" s="21"/>
      <c r="AP23" s="21" t="s">
        <v>90</v>
      </c>
    </row>
    <row r="24" spans="1:42" x14ac:dyDescent="0.35">
      <c r="A24" s="11" t="s">
        <v>219</v>
      </c>
      <c r="B24" s="19">
        <v>982077</v>
      </c>
      <c r="C24" s="19" t="s">
        <v>105</v>
      </c>
      <c r="D24" s="19" t="s">
        <v>106</v>
      </c>
      <c r="E24" s="19" t="s">
        <v>109</v>
      </c>
      <c r="F24" s="20">
        <v>45258</v>
      </c>
      <c r="G24" s="21">
        <v>21</v>
      </c>
      <c r="H24" s="23" t="s">
        <v>513</v>
      </c>
      <c r="I24" s="23" t="s">
        <v>544</v>
      </c>
      <c r="J24" s="19"/>
      <c r="K24" s="21"/>
      <c r="L24" s="21"/>
      <c r="M24" s="21"/>
      <c r="N24" s="21" t="s">
        <v>88</v>
      </c>
      <c r="O24" s="21" t="s">
        <v>119</v>
      </c>
      <c r="P24" s="21" t="s">
        <v>89</v>
      </c>
      <c r="Q24" s="21"/>
      <c r="R24" s="21"/>
      <c r="S24" s="21" t="s">
        <v>119</v>
      </c>
      <c r="T24" s="21"/>
      <c r="U24" s="21" t="s">
        <v>88</v>
      </c>
      <c r="V24" s="21" t="s">
        <v>92</v>
      </c>
      <c r="W24" s="21"/>
      <c r="X24" s="21" t="s">
        <v>90</v>
      </c>
      <c r="Y24" s="21" t="s">
        <v>90</v>
      </c>
      <c r="Z24" s="21" t="s">
        <v>89</v>
      </c>
      <c r="AA24" s="21"/>
      <c r="AB24" s="21"/>
      <c r="AC24" s="21"/>
      <c r="AD24" s="21"/>
      <c r="AE24" s="21" t="s">
        <v>89</v>
      </c>
      <c r="AF24" s="28" t="s">
        <v>119</v>
      </c>
      <c r="AG24" s="21" t="s">
        <v>90</v>
      </c>
      <c r="AH24" s="21" t="s">
        <v>88</v>
      </c>
      <c r="AI24" s="21" t="s">
        <v>90</v>
      </c>
      <c r="AJ24" s="21"/>
      <c r="AK24" s="21"/>
      <c r="AL24" s="21"/>
      <c r="AM24" s="21" t="s">
        <v>88</v>
      </c>
      <c r="AN24" s="21" t="s">
        <v>88</v>
      </c>
      <c r="AO24" s="21"/>
      <c r="AP24" s="21" t="s">
        <v>90</v>
      </c>
    </row>
    <row r="25" spans="1:42" x14ac:dyDescent="0.35">
      <c r="A25" s="11" t="s">
        <v>220</v>
      </c>
      <c r="B25" s="19">
        <v>982411</v>
      </c>
      <c r="C25" s="19" t="s">
        <v>107</v>
      </c>
      <c r="D25" s="19" t="s">
        <v>108</v>
      </c>
      <c r="E25" s="19" t="s">
        <v>130</v>
      </c>
      <c r="F25" s="20">
        <v>45272</v>
      </c>
      <c r="G25" s="19">
        <v>61</v>
      </c>
      <c r="H25" s="53" t="s">
        <v>514</v>
      </c>
      <c r="I25" s="53" t="s">
        <v>545</v>
      </c>
      <c r="J25" s="19"/>
      <c r="K25" s="21"/>
      <c r="L25" s="21"/>
      <c r="M25" s="21"/>
      <c r="N25" s="21">
        <v>1.25645205383467</v>
      </c>
      <c r="O25" s="21" t="s">
        <v>119</v>
      </c>
      <c r="P25" s="21" t="s">
        <v>89</v>
      </c>
      <c r="Q25" s="21"/>
      <c r="R25" s="21" t="s">
        <v>88</v>
      </c>
      <c r="S25" s="21" t="s">
        <v>119</v>
      </c>
      <c r="T25" s="21"/>
      <c r="U25" s="21" t="s">
        <v>88</v>
      </c>
      <c r="V25" s="21" t="s">
        <v>92</v>
      </c>
      <c r="W25" s="21">
        <v>7.1114088234580404</v>
      </c>
      <c r="X25" s="21"/>
      <c r="Y25" s="21" t="s">
        <v>90</v>
      </c>
      <c r="Z25" s="21" t="s">
        <v>89</v>
      </c>
      <c r="AA25" s="21"/>
      <c r="AB25" s="21"/>
      <c r="AC25" s="21"/>
      <c r="AD25" s="21"/>
      <c r="AE25" s="21" t="s">
        <v>89</v>
      </c>
      <c r="AF25" s="45" t="s">
        <v>119</v>
      </c>
      <c r="AG25" s="21" t="s">
        <v>90</v>
      </c>
      <c r="AH25" s="21" t="s">
        <v>88</v>
      </c>
      <c r="AI25" s="21" t="s">
        <v>90</v>
      </c>
      <c r="AJ25" s="21"/>
      <c r="AK25" s="21"/>
      <c r="AL25" s="21"/>
      <c r="AM25" s="21" t="s">
        <v>88</v>
      </c>
      <c r="AN25" s="21" t="s">
        <v>88</v>
      </c>
      <c r="AO25" s="21"/>
      <c r="AP25" s="21" t="s">
        <v>90</v>
      </c>
    </row>
    <row r="26" spans="1:42" x14ac:dyDescent="0.35">
      <c r="A26" s="11" t="s">
        <v>221</v>
      </c>
      <c r="B26" s="19">
        <v>982390</v>
      </c>
      <c r="C26" s="19" t="s">
        <v>107</v>
      </c>
      <c r="D26" s="19" t="s">
        <v>108</v>
      </c>
      <c r="E26" s="19" t="s">
        <v>109</v>
      </c>
      <c r="F26" s="20">
        <v>45272</v>
      </c>
      <c r="G26" s="19">
        <v>43</v>
      </c>
      <c r="H26" s="27" t="s">
        <v>111</v>
      </c>
      <c r="I26" s="27" t="s">
        <v>112</v>
      </c>
      <c r="J26" s="19"/>
      <c r="K26" s="21"/>
      <c r="L26" s="21"/>
      <c r="M26" s="21"/>
      <c r="N26" s="21" t="s">
        <v>88</v>
      </c>
      <c r="O26" s="21" t="s">
        <v>119</v>
      </c>
      <c r="P26" s="21">
        <v>4.0599999999999996</v>
      </c>
      <c r="Q26" s="21"/>
      <c r="R26" s="21"/>
      <c r="S26" s="21" t="s">
        <v>119</v>
      </c>
      <c r="T26" s="21"/>
      <c r="U26" s="21" t="s">
        <v>88</v>
      </c>
      <c r="V26" s="21" t="s">
        <v>92</v>
      </c>
      <c r="W26" s="21"/>
      <c r="X26" s="21" t="s">
        <v>90</v>
      </c>
      <c r="Y26" s="21" t="s">
        <v>90</v>
      </c>
      <c r="Z26" s="21" t="s">
        <v>89</v>
      </c>
      <c r="AA26" s="21"/>
      <c r="AB26" s="21"/>
      <c r="AC26" s="21"/>
      <c r="AD26" s="21"/>
      <c r="AE26" s="21" t="s">
        <v>89</v>
      </c>
      <c r="AF26" s="28" t="s">
        <v>119</v>
      </c>
      <c r="AG26" s="21" t="s">
        <v>90</v>
      </c>
      <c r="AH26" s="21" t="s">
        <v>88</v>
      </c>
      <c r="AI26" s="21" t="s">
        <v>90</v>
      </c>
      <c r="AJ26" s="21" t="s">
        <v>119</v>
      </c>
      <c r="AK26" s="21"/>
      <c r="AL26" s="21"/>
      <c r="AM26" s="21" t="s">
        <v>88</v>
      </c>
      <c r="AN26" s="21" t="s">
        <v>88</v>
      </c>
      <c r="AO26" s="21"/>
      <c r="AP26" s="21" t="s">
        <v>90</v>
      </c>
    </row>
    <row r="27" spans="1:42" x14ac:dyDescent="0.35">
      <c r="A27" s="11" t="s">
        <v>222</v>
      </c>
      <c r="B27" s="19">
        <v>982330</v>
      </c>
      <c r="C27" s="19" t="s">
        <v>105</v>
      </c>
      <c r="D27" s="19" t="s">
        <v>108</v>
      </c>
      <c r="E27" s="19" t="s">
        <v>109</v>
      </c>
      <c r="F27" s="20">
        <v>45272</v>
      </c>
      <c r="G27" s="19">
        <v>23</v>
      </c>
      <c r="H27" s="53" t="s">
        <v>515</v>
      </c>
      <c r="I27" s="53" t="s">
        <v>546</v>
      </c>
      <c r="J27" s="19"/>
      <c r="K27" s="21"/>
      <c r="L27" s="21"/>
      <c r="M27" s="21"/>
      <c r="N27" s="21" t="s">
        <v>88</v>
      </c>
      <c r="O27" s="21" t="s">
        <v>119</v>
      </c>
      <c r="P27" s="21" t="s">
        <v>89</v>
      </c>
      <c r="Q27" s="21"/>
      <c r="R27" s="21"/>
      <c r="S27" s="21" t="s">
        <v>119</v>
      </c>
      <c r="T27" s="21"/>
      <c r="U27" s="21" t="s">
        <v>88</v>
      </c>
      <c r="V27" s="21" t="s">
        <v>92</v>
      </c>
      <c r="W27" s="21"/>
      <c r="X27" s="21" t="s">
        <v>90</v>
      </c>
      <c r="Y27" s="21" t="s">
        <v>90</v>
      </c>
      <c r="Z27" s="21" t="s">
        <v>89</v>
      </c>
      <c r="AA27" s="21"/>
      <c r="AB27" s="21"/>
      <c r="AC27" s="21"/>
      <c r="AD27" s="21"/>
      <c r="AE27" s="21" t="s">
        <v>89</v>
      </c>
      <c r="AF27" s="45" t="s">
        <v>119</v>
      </c>
      <c r="AG27" s="21" t="s">
        <v>90</v>
      </c>
      <c r="AH27" s="21" t="s">
        <v>88</v>
      </c>
      <c r="AI27" s="21" t="s">
        <v>90</v>
      </c>
      <c r="AJ27" s="21"/>
      <c r="AK27" s="21"/>
      <c r="AL27" s="21"/>
      <c r="AM27" s="21" t="s">
        <v>88</v>
      </c>
      <c r="AN27" s="21" t="s">
        <v>88</v>
      </c>
      <c r="AO27" s="21"/>
      <c r="AP27" s="21" t="s">
        <v>90</v>
      </c>
    </row>
    <row r="28" spans="1:42" x14ac:dyDescent="0.35">
      <c r="A28" s="11" t="s">
        <v>223</v>
      </c>
      <c r="B28" s="19">
        <v>982436</v>
      </c>
      <c r="C28" s="19" t="s">
        <v>107</v>
      </c>
      <c r="D28" s="19" t="s">
        <v>106</v>
      </c>
      <c r="E28" s="19" t="s">
        <v>109</v>
      </c>
      <c r="F28" s="20">
        <v>45265</v>
      </c>
      <c r="G28" s="19">
        <v>41.6</v>
      </c>
      <c r="H28" s="30" t="s">
        <v>516</v>
      </c>
      <c r="I28" s="30" t="s">
        <v>547</v>
      </c>
      <c r="J28" s="19"/>
      <c r="K28" s="21"/>
      <c r="L28" s="21"/>
      <c r="M28" s="21" t="s">
        <v>88</v>
      </c>
      <c r="N28" s="21" t="s">
        <v>88</v>
      </c>
      <c r="O28" s="21" t="s">
        <v>119</v>
      </c>
      <c r="P28" s="21" t="s">
        <v>89</v>
      </c>
      <c r="Q28" s="21"/>
      <c r="R28" s="21" t="s">
        <v>88</v>
      </c>
      <c r="S28" s="21" t="s">
        <v>119</v>
      </c>
      <c r="T28" s="21"/>
      <c r="U28" s="21" t="s">
        <v>88</v>
      </c>
      <c r="V28" s="21" t="s">
        <v>92</v>
      </c>
      <c r="W28" s="21"/>
      <c r="X28" s="21" t="s">
        <v>90</v>
      </c>
      <c r="Y28" s="21" t="s">
        <v>90</v>
      </c>
      <c r="Z28" s="21" t="s">
        <v>89</v>
      </c>
      <c r="AA28" s="21"/>
      <c r="AB28" s="21"/>
      <c r="AC28" s="21"/>
      <c r="AD28" s="21"/>
      <c r="AE28" s="21" t="s">
        <v>89</v>
      </c>
      <c r="AF28" s="28" t="s">
        <v>119</v>
      </c>
      <c r="AG28" s="21" t="s">
        <v>90</v>
      </c>
      <c r="AH28" s="21" t="s">
        <v>88</v>
      </c>
      <c r="AI28" s="21" t="s">
        <v>90</v>
      </c>
      <c r="AJ28" s="21"/>
      <c r="AK28" s="21" t="s">
        <v>119</v>
      </c>
      <c r="AL28" s="21"/>
      <c r="AM28" s="21" t="s">
        <v>88</v>
      </c>
      <c r="AN28" s="21" t="s">
        <v>88</v>
      </c>
      <c r="AO28" s="21"/>
      <c r="AP28" s="21" t="s">
        <v>90</v>
      </c>
    </row>
    <row r="29" spans="1:42" x14ac:dyDescent="0.35">
      <c r="A29" s="11" t="s">
        <v>224</v>
      </c>
      <c r="B29" s="19">
        <v>982076</v>
      </c>
      <c r="C29" s="19" t="s">
        <v>105</v>
      </c>
      <c r="D29" s="19" t="s">
        <v>106</v>
      </c>
      <c r="E29" s="19" t="s">
        <v>118</v>
      </c>
      <c r="F29" s="20">
        <v>45258</v>
      </c>
      <c r="G29" s="19">
        <v>35.4</v>
      </c>
      <c r="H29" s="23" t="s">
        <v>513</v>
      </c>
      <c r="I29" s="23" t="s">
        <v>544</v>
      </c>
      <c r="J29" s="19"/>
      <c r="K29" s="21"/>
      <c r="L29" s="21"/>
      <c r="M29" s="21"/>
      <c r="N29" s="21" t="s">
        <v>88</v>
      </c>
      <c r="O29" s="21" t="s">
        <v>119</v>
      </c>
      <c r="P29" s="21" t="s">
        <v>89</v>
      </c>
      <c r="Q29" s="21"/>
      <c r="R29" s="21"/>
      <c r="S29" s="21" t="s">
        <v>119</v>
      </c>
      <c r="T29" s="21"/>
      <c r="U29" s="21" t="s">
        <v>88</v>
      </c>
      <c r="V29" s="21" t="s">
        <v>92</v>
      </c>
      <c r="W29" s="21"/>
      <c r="X29" s="21"/>
      <c r="Y29" s="21" t="s">
        <v>90</v>
      </c>
      <c r="Z29" s="21" t="s">
        <v>89</v>
      </c>
      <c r="AA29" s="21"/>
      <c r="AB29" s="21"/>
      <c r="AC29" s="21"/>
      <c r="AD29" s="21"/>
      <c r="AE29" s="21" t="s">
        <v>89</v>
      </c>
      <c r="AF29" s="45" t="s">
        <v>119</v>
      </c>
      <c r="AG29" s="21" t="s">
        <v>90</v>
      </c>
      <c r="AH29" s="21" t="s">
        <v>88</v>
      </c>
      <c r="AI29" s="21" t="s">
        <v>90</v>
      </c>
      <c r="AJ29" s="21"/>
      <c r="AK29" s="21"/>
      <c r="AL29" s="21"/>
      <c r="AM29" s="21" t="s">
        <v>88</v>
      </c>
      <c r="AN29" s="21" t="s">
        <v>88</v>
      </c>
      <c r="AO29" s="21"/>
      <c r="AP29" s="21" t="s">
        <v>90</v>
      </c>
    </row>
    <row r="30" spans="1:42" x14ac:dyDescent="0.35">
      <c r="A30" s="11" t="s">
        <v>225</v>
      </c>
      <c r="B30" s="19">
        <v>982152</v>
      </c>
      <c r="C30" s="19" t="s">
        <v>107</v>
      </c>
      <c r="D30" s="19" t="s">
        <v>108</v>
      </c>
      <c r="E30" s="19" t="s">
        <v>109</v>
      </c>
      <c r="F30" s="20">
        <v>45248</v>
      </c>
      <c r="G30" s="19">
        <v>34.200000000000003</v>
      </c>
      <c r="H30" s="23" t="s">
        <v>517</v>
      </c>
      <c r="I30" s="23" t="s">
        <v>548</v>
      </c>
      <c r="J30" s="19"/>
      <c r="K30" s="21"/>
      <c r="L30" s="21"/>
      <c r="M30" s="21"/>
      <c r="N30" s="21">
        <v>1.1137933326274101</v>
      </c>
      <c r="O30" s="21" t="s">
        <v>119</v>
      </c>
      <c r="P30" s="21" t="s">
        <v>89</v>
      </c>
      <c r="Q30" s="21" t="s">
        <v>90</v>
      </c>
      <c r="R30" s="21" t="s">
        <v>88</v>
      </c>
      <c r="S30" s="21" t="s">
        <v>119</v>
      </c>
      <c r="T30" s="21"/>
      <c r="U30" s="21" t="s">
        <v>88</v>
      </c>
      <c r="V30" s="21" t="s">
        <v>92</v>
      </c>
      <c r="W30" s="21">
        <v>8.5661383890271008</v>
      </c>
      <c r="X30" s="21"/>
      <c r="Y30" s="21" t="s">
        <v>90</v>
      </c>
      <c r="Z30" s="21" t="s">
        <v>89</v>
      </c>
      <c r="AA30" s="21"/>
      <c r="AB30" s="21"/>
      <c r="AC30" s="21"/>
      <c r="AD30" s="21"/>
      <c r="AE30" s="21" t="s">
        <v>89</v>
      </c>
      <c r="AF30" s="28" t="s">
        <v>119</v>
      </c>
      <c r="AG30" s="21" t="s">
        <v>90</v>
      </c>
      <c r="AH30" s="21" t="s">
        <v>88</v>
      </c>
      <c r="AI30" s="21" t="s">
        <v>90</v>
      </c>
      <c r="AJ30" s="21"/>
      <c r="AK30" s="21"/>
      <c r="AL30" s="21"/>
      <c r="AM30" s="21" t="s">
        <v>88</v>
      </c>
      <c r="AN30" s="21" t="s">
        <v>88</v>
      </c>
      <c r="AO30" s="21"/>
      <c r="AP30" s="21" t="s">
        <v>90</v>
      </c>
    </row>
    <row r="31" spans="1:42" x14ac:dyDescent="0.35">
      <c r="A31" s="11" t="s">
        <v>226</v>
      </c>
      <c r="B31" s="19">
        <v>982157</v>
      </c>
      <c r="C31" s="19" t="s">
        <v>107</v>
      </c>
      <c r="D31" s="19" t="s">
        <v>108</v>
      </c>
      <c r="E31" s="19" t="s">
        <v>130</v>
      </c>
      <c r="F31" s="20">
        <v>45265</v>
      </c>
      <c r="G31" s="19">
        <v>81.3</v>
      </c>
      <c r="H31" s="54" t="s">
        <v>518</v>
      </c>
      <c r="I31" s="54" t="s">
        <v>549</v>
      </c>
      <c r="J31" s="19" t="s">
        <v>110</v>
      </c>
      <c r="K31" s="21">
        <v>9.0225710526774403</v>
      </c>
      <c r="L31" s="21"/>
      <c r="M31" s="21" t="s">
        <v>88</v>
      </c>
      <c r="N31" s="21">
        <v>1.28363820445182</v>
      </c>
      <c r="O31" s="21" t="s">
        <v>119</v>
      </c>
      <c r="P31" s="21" t="s">
        <v>89</v>
      </c>
      <c r="Q31" s="21"/>
      <c r="R31" s="21"/>
      <c r="S31" s="21">
        <v>9.32</v>
      </c>
      <c r="T31" s="21"/>
      <c r="U31" s="21" t="s">
        <v>88</v>
      </c>
      <c r="V31" s="21" t="s">
        <v>92</v>
      </c>
      <c r="W31" s="21">
        <v>6.4891030376112298</v>
      </c>
      <c r="X31" s="21"/>
      <c r="Y31" s="21" t="s">
        <v>90</v>
      </c>
      <c r="Z31" s="21" t="s">
        <v>89</v>
      </c>
      <c r="AA31" s="21" t="s">
        <v>88</v>
      </c>
      <c r="AB31" s="21"/>
      <c r="AC31" s="21"/>
      <c r="AD31" s="21"/>
      <c r="AE31" s="21" t="s">
        <v>89</v>
      </c>
      <c r="AF31" s="45" t="s">
        <v>119</v>
      </c>
      <c r="AG31" s="21" t="s">
        <v>90</v>
      </c>
      <c r="AH31" s="21" t="s">
        <v>88</v>
      </c>
      <c r="AI31" s="21" t="s">
        <v>90</v>
      </c>
      <c r="AJ31" s="21"/>
      <c r="AK31" s="21" t="s">
        <v>119</v>
      </c>
      <c r="AL31" s="21"/>
      <c r="AM31" s="21" t="s">
        <v>88</v>
      </c>
      <c r="AN31" s="21" t="s">
        <v>88</v>
      </c>
      <c r="AO31" s="21"/>
      <c r="AP31" s="21" t="s">
        <v>90</v>
      </c>
    </row>
    <row r="32" spans="1:42" x14ac:dyDescent="0.35">
      <c r="A32" s="11" t="s">
        <v>227</v>
      </c>
      <c r="B32" s="19">
        <v>926414</v>
      </c>
      <c r="C32" s="19" t="s">
        <v>105</v>
      </c>
      <c r="D32" s="19" t="s">
        <v>108</v>
      </c>
      <c r="E32" s="19" t="s">
        <v>109</v>
      </c>
      <c r="F32" s="20">
        <v>45234</v>
      </c>
      <c r="G32" s="19">
        <v>27</v>
      </c>
      <c r="H32" s="23" t="s">
        <v>111</v>
      </c>
      <c r="I32" s="23" t="s">
        <v>112</v>
      </c>
      <c r="J32" s="19"/>
      <c r="K32" s="21"/>
      <c r="L32" s="21"/>
      <c r="M32" s="21"/>
      <c r="N32" s="21" t="s">
        <v>88</v>
      </c>
      <c r="O32" s="21" t="s">
        <v>119</v>
      </c>
      <c r="P32" s="21" t="s">
        <v>89</v>
      </c>
      <c r="Q32" s="21"/>
      <c r="R32" s="21"/>
      <c r="S32" s="21" t="s">
        <v>119</v>
      </c>
      <c r="T32" s="21"/>
      <c r="U32" s="21" t="s">
        <v>88</v>
      </c>
      <c r="V32" s="21" t="s">
        <v>92</v>
      </c>
      <c r="W32" s="21"/>
      <c r="X32" s="21" t="s">
        <v>90</v>
      </c>
      <c r="Y32" s="21" t="s">
        <v>90</v>
      </c>
      <c r="Z32" s="21" t="s">
        <v>89</v>
      </c>
      <c r="AA32" s="21" t="s">
        <v>72</v>
      </c>
      <c r="AB32" s="21"/>
      <c r="AC32" s="21"/>
      <c r="AD32" s="21"/>
      <c r="AE32" s="21" t="s">
        <v>89</v>
      </c>
      <c r="AF32" s="28" t="s">
        <v>119</v>
      </c>
      <c r="AG32" s="21" t="s">
        <v>90</v>
      </c>
      <c r="AH32" s="21" t="s">
        <v>88</v>
      </c>
      <c r="AI32" s="21" t="s">
        <v>90</v>
      </c>
      <c r="AJ32" s="21"/>
      <c r="AK32" s="21"/>
      <c r="AL32" s="21"/>
      <c r="AM32" s="21" t="s">
        <v>88</v>
      </c>
      <c r="AN32" s="21" t="s">
        <v>88</v>
      </c>
      <c r="AO32" s="21"/>
      <c r="AP32" s="21" t="s">
        <v>90</v>
      </c>
    </row>
    <row r="33" spans="1:42" x14ac:dyDescent="0.35">
      <c r="A33" s="11" t="s">
        <v>228</v>
      </c>
      <c r="B33" s="19">
        <v>982469</v>
      </c>
      <c r="C33" s="19" t="s">
        <v>107</v>
      </c>
      <c r="D33" s="19" t="s">
        <v>106</v>
      </c>
      <c r="E33" s="19" t="s">
        <v>130</v>
      </c>
      <c r="F33" s="20">
        <v>45258</v>
      </c>
      <c r="G33" s="19">
        <v>64.7</v>
      </c>
      <c r="H33" s="23" t="s">
        <v>519</v>
      </c>
      <c r="I33" s="23" t="s">
        <v>550</v>
      </c>
      <c r="J33" s="19"/>
      <c r="K33" s="21"/>
      <c r="L33" s="21"/>
      <c r="M33" s="21"/>
      <c r="N33" s="21" t="s">
        <v>88</v>
      </c>
      <c r="O33" s="21" t="s">
        <v>119</v>
      </c>
      <c r="P33" s="21" t="s">
        <v>89</v>
      </c>
      <c r="Q33" s="21"/>
      <c r="R33" s="21"/>
      <c r="S33" s="21">
        <v>10.27</v>
      </c>
      <c r="T33" s="21"/>
      <c r="U33" s="21" t="s">
        <v>88</v>
      </c>
      <c r="V33" s="21" t="s">
        <v>92</v>
      </c>
      <c r="W33" s="21"/>
      <c r="X33" s="21" t="s">
        <v>90</v>
      </c>
      <c r="Y33" s="21" t="s">
        <v>90</v>
      </c>
      <c r="Z33" s="21" t="s">
        <v>89</v>
      </c>
      <c r="AA33" s="21"/>
      <c r="AB33" s="21"/>
      <c r="AC33" s="21"/>
      <c r="AD33" s="21"/>
      <c r="AE33" s="21" t="s">
        <v>89</v>
      </c>
      <c r="AF33" s="45" t="s">
        <v>119</v>
      </c>
      <c r="AG33" s="21" t="s">
        <v>90</v>
      </c>
      <c r="AH33" s="21" t="s">
        <v>88</v>
      </c>
      <c r="AI33" s="21" t="s">
        <v>90</v>
      </c>
      <c r="AJ33" s="21"/>
      <c r="AK33" s="21"/>
      <c r="AL33" s="21"/>
      <c r="AM33" s="21" t="s">
        <v>88</v>
      </c>
      <c r="AN33" s="21" t="s">
        <v>88</v>
      </c>
      <c r="AO33" s="21"/>
      <c r="AP33" s="21" t="s">
        <v>90</v>
      </c>
    </row>
    <row r="34" spans="1:42" x14ac:dyDescent="0.35">
      <c r="A34" s="11" t="s">
        <v>229</v>
      </c>
      <c r="B34" s="19">
        <v>982108</v>
      </c>
      <c r="C34" s="19" t="s">
        <v>107</v>
      </c>
      <c r="D34" s="19" t="s">
        <v>106</v>
      </c>
      <c r="E34" s="19" t="s">
        <v>118</v>
      </c>
      <c r="F34" s="20">
        <v>45265</v>
      </c>
      <c r="G34" s="19">
        <v>79.7</v>
      </c>
      <c r="H34" s="27" t="s">
        <v>495</v>
      </c>
      <c r="I34" s="27" t="s">
        <v>496</v>
      </c>
      <c r="J34" s="19"/>
      <c r="K34" s="21"/>
      <c r="L34" s="21"/>
      <c r="M34" s="21"/>
      <c r="N34" s="21" t="s">
        <v>88</v>
      </c>
      <c r="O34" s="21" t="s">
        <v>119</v>
      </c>
      <c r="P34" s="21" t="s">
        <v>89</v>
      </c>
      <c r="Q34" s="21"/>
      <c r="R34" s="21"/>
      <c r="S34" s="21" t="s">
        <v>119</v>
      </c>
      <c r="T34" s="21"/>
      <c r="U34" s="21" t="s">
        <v>88</v>
      </c>
      <c r="V34" s="21" t="s">
        <v>92</v>
      </c>
      <c r="W34" s="21">
        <v>5.3606352740391499</v>
      </c>
      <c r="X34" s="21" t="s">
        <v>90</v>
      </c>
      <c r="Y34" s="21" t="s">
        <v>90</v>
      </c>
      <c r="Z34" s="21" t="s">
        <v>89</v>
      </c>
      <c r="AA34" s="21"/>
      <c r="AB34" s="21"/>
      <c r="AC34" s="21"/>
      <c r="AD34" s="21"/>
      <c r="AE34" s="21" t="s">
        <v>89</v>
      </c>
      <c r="AF34" s="28" t="s">
        <v>119</v>
      </c>
      <c r="AG34" s="21" t="s">
        <v>90</v>
      </c>
      <c r="AH34" s="21" t="s">
        <v>88</v>
      </c>
      <c r="AI34" s="21" t="s">
        <v>90</v>
      </c>
      <c r="AJ34" s="21"/>
      <c r="AK34" s="21" t="s">
        <v>119</v>
      </c>
      <c r="AL34" s="21"/>
      <c r="AM34" s="21" t="s">
        <v>88</v>
      </c>
      <c r="AN34" s="21" t="s">
        <v>88</v>
      </c>
      <c r="AO34" s="21" t="s">
        <v>89</v>
      </c>
      <c r="AP34" s="21" t="s">
        <v>90</v>
      </c>
    </row>
    <row r="35" spans="1:42" x14ac:dyDescent="0.35">
      <c r="A35" s="11" t="s">
        <v>230</v>
      </c>
      <c r="B35" s="19">
        <v>926715</v>
      </c>
      <c r="C35" s="19" t="s">
        <v>105</v>
      </c>
      <c r="D35" s="19" t="s">
        <v>106</v>
      </c>
      <c r="E35" s="19" t="s">
        <v>118</v>
      </c>
      <c r="F35" s="20">
        <v>45234</v>
      </c>
      <c r="G35" s="19">
        <v>34</v>
      </c>
      <c r="H35" s="23" t="s">
        <v>113</v>
      </c>
      <c r="I35" s="23" t="s">
        <v>114</v>
      </c>
      <c r="J35" s="19"/>
      <c r="K35" s="21"/>
      <c r="L35" s="21"/>
      <c r="M35" s="21"/>
      <c r="N35" s="21" t="s">
        <v>88</v>
      </c>
      <c r="O35" s="21" t="s">
        <v>119</v>
      </c>
      <c r="P35" s="21" t="s">
        <v>89</v>
      </c>
      <c r="Q35" s="21"/>
      <c r="R35" s="21"/>
      <c r="S35" s="21" t="s">
        <v>119</v>
      </c>
      <c r="T35" s="21"/>
      <c r="U35" s="21" t="s">
        <v>88</v>
      </c>
      <c r="V35" s="21" t="s">
        <v>92</v>
      </c>
      <c r="W35" s="21"/>
      <c r="X35" s="21"/>
      <c r="Y35" s="21" t="s">
        <v>90</v>
      </c>
      <c r="Z35" s="21" t="s">
        <v>89</v>
      </c>
      <c r="AA35" s="21"/>
      <c r="AB35" s="21"/>
      <c r="AC35" s="21"/>
      <c r="AD35" s="21"/>
      <c r="AE35" s="21" t="s">
        <v>89</v>
      </c>
      <c r="AF35" s="45" t="s">
        <v>119</v>
      </c>
      <c r="AG35" s="21" t="s">
        <v>90</v>
      </c>
      <c r="AH35" s="21" t="s">
        <v>88</v>
      </c>
      <c r="AI35" s="21" t="s">
        <v>90</v>
      </c>
      <c r="AJ35" s="21" t="s">
        <v>72</v>
      </c>
      <c r="AK35" s="21"/>
      <c r="AL35" s="21"/>
      <c r="AM35" s="21" t="s">
        <v>88</v>
      </c>
      <c r="AN35" s="21" t="s">
        <v>88</v>
      </c>
      <c r="AO35" s="21"/>
      <c r="AP35" s="21" t="s">
        <v>90</v>
      </c>
    </row>
    <row r="36" spans="1:42" x14ac:dyDescent="0.35">
      <c r="A36" s="11" t="s">
        <v>231</v>
      </c>
      <c r="B36" s="19">
        <v>982158</v>
      </c>
      <c r="C36" s="19" t="s">
        <v>105</v>
      </c>
      <c r="D36" s="26" t="s">
        <v>108</v>
      </c>
      <c r="E36" s="26" t="s">
        <v>109</v>
      </c>
      <c r="F36" s="20">
        <v>45269</v>
      </c>
      <c r="G36" s="26">
        <v>26</v>
      </c>
      <c r="H36" s="27" t="s">
        <v>520</v>
      </c>
      <c r="I36" s="27" t="s">
        <v>551</v>
      </c>
      <c r="J36" s="19"/>
      <c r="K36" s="21">
        <v>29.839753961405499</v>
      </c>
      <c r="L36" s="21"/>
      <c r="M36" s="21"/>
      <c r="N36" s="21" t="s">
        <v>88</v>
      </c>
      <c r="O36" s="21" t="s">
        <v>119</v>
      </c>
      <c r="P36" s="21" t="s">
        <v>89</v>
      </c>
      <c r="Q36" s="21"/>
      <c r="R36" s="21"/>
      <c r="S36" s="21">
        <v>51.11</v>
      </c>
      <c r="T36" s="21"/>
      <c r="U36" s="21" t="s">
        <v>88</v>
      </c>
      <c r="V36" s="21">
        <v>31.824850255098099</v>
      </c>
      <c r="W36" s="21"/>
      <c r="X36" s="21"/>
      <c r="Y36" s="21">
        <v>17.670803603487801</v>
      </c>
      <c r="Z36" s="21" t="s">
        <v>89</v>
      </c>
      <c r="AA36" s="21"/>
      <c r="AB36" s="21"/>
      <c r="AC36" s="21"/>
      <c r="AD36" s="21"/>
      <c r="AE36" s="21">
        <v>18.7375804159796</v>
      </c>
      <c r="AF36" s="21">
        <v>7.4290000000000003</v>
      </c>
      <c r="AG36" s="21" t="s">
        <v>90</v>
      </c>
      <c r="AH36" s="21" t="s">
        <v>88</v>
      </c>
      <c r="AI36" s="21">
        <v>27.430045427369699</v>
      </c>
      <c r="AJ36" s="21" t="s">
        <v>119</v>
      </c>
      <c r="AK36" s="21"/>
      <c r="AL36" s="21"/>
      <c r="AM36" s="21">
        <v>4.7355344481431896</v>
      </c>
      <c r="AN36" s="21" t="s">
        <v>88</v>
      </c>
      <c r="AO36" s="21"/>
      <c r="AP36" s="21" t="s">
        <v>90</v>
      </c>
    </row>
    <row r="37" spans="1:42" x14ac:dyDescent="0.35">
      <c r="A37" s="11" t="s">
        <v>232</v>
      </c>
      <c r="B37" s="19">
        <v>946140</v>
      </c>
      <c r="C37" s="19" t="s">
        <v>105</v>
      </c>
      <c r="D37" s="19" t="s">
        <v>106</v>
      </c>
      <c r="E37" s="19" t="s">
        <v>118</v>
      </c>
      <c r="F37" s="20">
        <v>45306</v>
      </c>
      <c r="G37" s="19">
        <v>45.6</v>
      </c>
      <c r="H37" s="53" t="s">
        <v>521</v>
      </c>
      <c r="I37" s="53" t="s">
        <v>552</v>
      </c>
      <c r="J37" s="19"/>
      <c r="K37" s="21">
        <v>50.3668477988967</v>
      </c>
      <c r="L37" s="21">
        <v>1.4</v>
      </c>
      <c r="M37" s="21"/>
      <c r="N37" s="21" t="s">
        <v>88</v>
      </c>
      <c r="O37" s="21" t="s">
        <v>119</v>
      </c>
      <c r="P37" s="21" t="s">
        <v>89</v>
      </c>
      <c r="Q37" s="21"/>
      <c r="R37" s="21" t="s">
        <v>88</v>
      </c>
      <c r="S37" s="21">
        <v>12.56</v>
      </c>
      <c r="T37" s="21"/>
      <c r="U37" s="21" t="s">
        <v>88</v>
      </c>
      <c r="V37" s="21" t="s">
        <v>92</v>
      </c>
      <c r="W37" s="21">
        <v>8.2465455177531108</v>
      </c>
      <c r="X37" s="21" t="s">
        <v>90</v>
      </c>
      <c r="Y37" s="21" t="s">
        <v>90</v>
      </c>
      <c r="Z37" s="21" t="s">
        <v>89</v>
      </c>
      <c r="AA37" s="21" t="s">
        <v>72</v>
      </c>
      <c r="AB37" s="21"/>
      <c r="AC37" s="21"/>
      <c r="AD37" s="21"/>
      <c r="AE37" s="21" t="s">
        <v>89</v>
      </c>
      <c r="AF37" s="45" t="s">
        <v>119</v>
      </c>
      <c r="AG37" s="21" t="s">
        <v>90</v>
      </c>
      <c r="AH37" s="21" t="s">
        <v>88</v>
      </c>
      <c r="AI37" s="21" t="s">
        <v>90</v>
      </c>
      <c r="AJ37" s="21"/>
      <c r="AK37" s="21"/>
      <c r="AL37" s="21"/>
      <c r="AM37" s="21" t="s">
        <v>88</v>
      </c>
      <c r="AN37" s="21" t="s">
        <v>88</v>
      </c>
      <c r="AO37" s="21" t="s">
        <v>89</v>
      </c>
      <c r="AP37" s="21" t="s">
        <v>90</v>
      </c>
    </row>
    <row r="38" spans="1:42" x14ac:dyDescent="0.35">
      <c r="A38" s="11" t="s">
        <v>233</v>
      </c>
      <c r="B38" s="19">
        <v>982364</v>
      </c>
      <c r="C38" s="19" t="s">
        <v>107</v>
      </c>
      <c r="D38" s="19" t="s">
        <v>106</v>
      </c>
      <c r="E38" s="19" t="s">
        <v>130</v>
      </c>
      <c r="F38" s="20">
        <v>45269</v>
      </c>
      <c r="G38" s="19">
        <v>51.2</v>
      </c>
      <c r="H38" s="27" t="s">
        <v>522</v>
      </c>
      <c r="I38" s="27" t="s">
        <v>553</v>
      </c>
      <c r="J38" s="19"/>
      <c r="K38" s="21"/>
      <c r="L38" s="21"/>
      <c r="M38" s="21" t="s">
        <v>88</v>
      </c>
      <c r="N38" s="21">
        <v>2.1821232846259702</v>
      </c>
      <c r="O38" s="21" t="s">
        <v>119</v>
      </c>
      <c r="P38" s="21" t="s">
        <v>89</v>
      </c>
      <c r="Q38" s="21"/>
      <c r="R38" s="21"/>
      <c r="S38" s="21" t="s">
        <v>119</v>
      </c>
      <c r="T38" s="21"/>
      <c r="U38" s="21">
        <v>1.8964980217218601</v>
      </c>
      <c r="V38" s="21" t="s">
        <v>92</v>
      </c>
      <c r="W38" s="21"/>
      <c r="X38" s="21" t="s">
        <v>90</v>
      </c>
      <c r="Y38" s="21" t="s">
        <v>90</v>
      </c>
      <c r="Z38" s="21" t="s">
        <v>89</v>
      </c>
      <c r="AA38" s="21"/>
      <c r="AB38" s="21"/>
      <c r="AC38" s="21"/>
      <c r="AD38" s="21"/>
      <c r="AE38" s="21" t="s">
        <v>89</v>
      </c>
      <c r="AF38" s="28" t="s">
        <v>119</v>
      </c>
      <c r="AG38" s="21" t="s">
        <v>90</v>
      </c>
      <c r="AH38" s="21" t="s">
        <v>88</v>
      </c>
      <c r="AI38" s="21" t="s">
        <v>90</v>
      </c>
      <c r="AJ38" s="21"/>
      <c r="AK38" s="21"/>
      <c r="AL38" s="21"/>
      <c r="AM38" s="21" t="s">
        <v>88</v>
      </c>
      <c r="AN38" s="21" t="s">
        <v>88</v>
      </c>
      <c r="AO38" s="21"/>
      <c r="AP38" s="21" t="s">
        <v>90</v>
      </c>
    </row>
    <row r="39" spans="1:42" x14ac:dyDescent="0.35">
      <c r="A39" s="11" t="s">
        <v>234</v>
      </c>
      <c r="B39" s="19">
        <v>982455</v>
      </c>
      <c r="C39" s="19" t="s">
        <v>107</v>
      </c>
      <c r="D39" s="19" t="s">
        <v>106</v>
      </c>
      <c r="E39" s="19" t="s">
        <v>109</v>
      </c>
      <c r="F39" s="20">
        <v>45244</v>
      </c>
      <c r="G39" s="19">
        <v>29</v>
      </c>
      <c r="H39" s="23" t="s">
        <v>523</v>
      </c>
      <c r="I39" s="23" t="s">
        <v>554</v>
      </c>
      <c r="J39" s="19"/>
      <c r="K39" s="21"/>
      <c r="L39" s="21">
        <v>9.3000000000000007</v>
      </c>
      <c r="M39" s="21"/>
      <c r="N39" s="21" t="s">
        <v>88</v>
      </c>
      <c r="O39" s="21" t="s">
        <v>119</v>
      </c>
      <c r="P39" s="21" t="s">
        <v>89</v>
      </c>
      <c r="Q39" s="21"/>
      <c r="R39" s="21"/>
      <c r="S39" s="21" t="s">
        <v>119</v>
      </c>
      <c r="T39" s="21"/>
      <c r="U39" s="21" t="s">
        <v>88</v>
      </c>
      <c r="V39" s="21" t="s">
        <v>92</v>
      </c>
      <c r="W39" s="21"/>
      <c r="X39" s="21"/>
      <c r="Y39" s="21" t="s">
        <v>90</v>
      </c>
      <c r="Z39" s="21" t="s">
        <v>89</v>
      </c>
      <c r="AA39" s="21"/>
      <c r="AB39" s="21"/>
      <c r="AC39" s="21"/>
      <c r="AD39" s="21"/>
      <c r="AE39" s="21" t="s">
        <v>89</v>
      </c>
      <c r="AF39" s="45" t="s">
        <v>119</v>
      </c>
      <c r="AG39" s="21" t="s">
        <v>90</v>
      </c>
      <c r="AH39" s="21" t="s">
        <v>88</v>
      </c>
      <c r="AI39" s="21" t="s">
        <v>90</v>
      </c>
      <c r="AJ39" s="21"/>
      <c r="AK39" s="21"/>
      <c r="AL39" s="21"/>
      <c r="AM39" s="21" t="s">
        <v>88</v>
      </c>
      <c r="AN39" s="21" t="s">
        <v>88</v>
      </c>
      <c r="AO39" s="21"/>
      <c r="AP39" s="21" t="s">
        <v>90</v>
      </c>
    </row>
    <row r="40" spans="1:42" x14ac:dyDescent="0.35">
      <c r="A40" s="11" t="s">
        <v>235</v>
      </c>
      <c r="B40" s="19">
        <v>982196</v>
      </c>
      <c r="C40" s="19" t="s">
        <v>105</v>
      </c>
      <c r="D40" s="19" t="s">
        <v>106</v>
      </c>
      <c r="E40" s="19" t="s">
        <v>109</v>
      </c>
      <c r="F40" s="20">
        <v>45248</v>
      </c>
      <c r="G40" s="19">
        <v>15.4</v>
      </c>
      <c r="H40" s="23" t="s">
        <v>524</v>
      </c>
      <c r="I40" s="23" t="s">
        <v>555</v>
      </c>
      <c r="J40" s="19"/>
      <c r="K40" s="21"/>
      <c r="L40" s="21"/>
      <c r="M40" s="21"/>
      <c r="N40" s="21" t="s">
        <v>88</v>
      </c>
      <c r="O40" s="21" t="s">
        <v>119</v>
      </c>
      <c r="P40" s="21" t="s">
        <v>89</v>
      </c>
      <c r="Q40" s="21"/>
      <c r="R40" s="21"/>
      <c r="S40" s="21" t="s">
        <v>119</v>
      </c>
      <c r="T40" s="21"/>
      <c r="U40" s="21" t="s">
        <v>88</v>
      </c>
      <c r="V40" s="21" t="s">
        <v>92</v>
      </c>
      <c r="W40" s="21"/>
      <c r="X40" s="21" t="s">
        <v>90</v>
      </c>
      <c r="Y40" s="21" t="s">
        <v>90</v>
      </c>
      <c r="Z40" s="21" t="s">
        <v>89</v>
      </c>
      <c r="AA40" s="21" t="s">
        <v>72</v>
      </c>
      <c r="AB40" s="21"/>
      <c r="AC40" s="21"/>
      <c r="AD40" s="21"/>
      <c r="AE40" s="21" t="s">
        <v>89</v>
      </c>
      <c r="AF40" s="28" t="s">
        <v>119</v>
      </c>
      <c r="AG40" s="21" t="s">
        <v>90</v>
      </c>
      <c r="AH40" s="21" t="s">
        <v>88</v>
      </c>
      <c r="AI40" s="21" t="s">
        <v>90</v>
      </c>
      <c r="AJ40" s="21"/>
      <c r="AK40" s="21"/>
      <c r="AL40" s="21"/>
      <c r="AM40" s="21" t="s">
        <v>88</v>
      </c>
      <c r="AN40" s="21" t="s">
        <v>88</v>
      </c>
      <c r="AO40" s="21"/>
      <c r="AP40" s="21" t="s">
        <v>90</v>
      </c>
    </row>
    <row r="41" spans="1:42" x14ac:dyDescent="0.35">
      <c r="A41" s="11" t="s">
        <v>236</v>
      </c>
      <c r="B41" s="19">
        <v>982371</v>
      </c>
      <c r="C41" s="19" t="s">
        <v>107</v>
      </c>
      <c r="D41" s="19" t="s">
        <v>106</v>
      </c>
      <c r="E41" s="19" t="s">
        <v>118</v>
      </c>
      <c r="F41" s="20">
        <v>45272</v>
      </c>
      <c r="G41" s="19">
        <v>84</v>
      </c>
      <c r="H41" s="53" t="s">
        <v>525</v>
      </c>
      <c r="I41" s="53" t="s">
        <v>556</v>
      </c>
      <c r="J41" s="19"/>
      <c r="K41" s="21"/>
      <c r="L41" s="21"/>
      <c r="M41" s="21"/>
      <c r="N41" s="21" t="s">
        <v>88</v>
      </c>
      <c r="O41" s="21" t="s">
        <v>119</v>
      </c>
      <c r="P41" s="21" t="s">
        <v>89</v>
      </c>
      <c r="Q41" s="21"/>
      <c r="R41" s="21"/>
      <c r="S41" s="21">
        <v>3.25</v>
      </c>
      <c r="T41" s="21"/>
      <c r="U41" s="21" t="s">
        <v>88</v>
      </c>
      <c r="V41" s="21" t="s">
        <v>92</v>
      </c>
      <c r="W41" s="21"/>
      <c r="X41" s="21"/>
      <c r="Y41" s="21" t="s">
        <v>90</v>
      </c>
      <c r="Z41" s="21" t="s">
        <v>89</v>
      </c>
      <c r="AA41" s="21"/>
      <c r="AB41" s="21"/>
      <c r="AC41" s="21"/>
      <c r="AD41" s="21"/>
      <c r="AE41" s="21" t="s">
        <v>89</v>
      </c>
      <c r="AF41" s="45" t="s">
        <v>119</v>
      </c>
      <c r="AG41" s="21" t="s">
        <v>90</v>
      </c>
      <c r="AH41" s="21" t="s">
        <v>88</v>
      </c>
      <c r="AI41" s="21" t="s">
        <v>90</v>
      </c>
      <c r="AJ41" s="21"/>
      <c r="AK41" s="21" t="s">
        <v>72</v>
      </c>
      <c r="AL41" s="21"/>
      <c r="AM41" s="21" t="s">
        <v>88</v>
      </c>
      <c r="AN41" s="21" t="s">
        <v>88</v>
      </c>
      <c r="AO41" s="21"/>
      <c r="AP41" s="21" t="s">
        <v>90</v>
      </c>
    </row>
    <row r="42" spans="1:42" x14ac:dyDescent="0.35">
      <c r="A42" s="11" t="s">
        <v>237</v>
      </c>
      <c r="B42" s="19">
        <v>926360</v>
      </c>
      <c r="C42" s="19" t="s">
        <v>107</v>
      </c>
      <c r="D42" s="19" t="s">
        <v>108</v>
      </c>
      <c r="E42" s="19" t="s">
        <v>130</v>
      </c>
      <c r="F42" s="20">
        <v>45258</v>
      </c>
      <c r="G42" s="26">
        <v>71</v>
      </c>
      <c r="H42" s="23" t="s">
        <v>526</v>
      </c>
      <c r="I42" s="23" t="s">
        <v>557</v>
      </c>
      <c r="J42" s="19"/>
      <c r="K42" s="21">
        <v>10.9915351209645</v>
      </c>
      <c r="L42" s="21"/>
      <c r="M42" s="21"/>
      <c r="N42" s="21">
        <v>1.15850829771571</v>
      </c>
      <c r="O42" s="21" t="s">
        <v>119</v>
      </c>
      <c r="P42" s="21" t="s">
        <v>89</v>
      </c>
      <c r="Q42" s="21"/>
      <c r="R42" s="21"/>
      <c r="S42" s="21">
        <v>5.21</v>
      </c>
      <c r="T42" s="21"/>
      <c r="U42" s="21" t="s">
        <v>88</v>
      </c>
      <c r="V42" s="21" t="s">
        <v>92</v>
      </c>
      <c r="W42" s="21"/>
      <c r="X42" s="21" t="s">
        <v>90</v>
      </c>
      <c r="Y42" s="21" t="s">
        <v>90</v>
      </c>
      <c r="Z42" s="21" t="s">
        <v>89</v>
      </c>
      <c r="AA42" s="21" t="s">
        <v>72</v>
      </c>
      <c r="AB42" s="21"/>
      <c r="AC42" s="21"/>
      <c r="AD42" s="21"/>
      <c r="AE42" s="21" t="s">
        <v>89</v>
      </c>
      <c r="AF42" s="28" t="s">
        <v>119</v>
      </c>
      <c r="AG42" s="21" t="s">
        <v>90</v>
      </c>
      <c r="AH42" s="21" t="s">
        <v>88</v>
      </c>
      <c r="AI42" s="21" t="s">
        <v>90</v>
      </c>
      <c r="AJ42" s="21" t="s">
        <v>119</v>
      </c>
      <c r="AK42" s="21" t="s">
        <v>119</v>
      </c>
      <c r="AL42" s="21"/>
      <c r="AM42" s="21" t="s">
        <v>88</v>
      </c>
      <c r="AN42" s="21" t="s">
        <v>88</v>
      </c>
      <c r="AO42" s="21"/>
      <c r="AP42" s="21" t="s">
        <v>90</v>
      </c>
    </row>
    <row r="43" spans="1:42" x14ac:dyDescent="0.35">
      <c r="A43" s="11" t="s">
        <v>238</v>
      </c>
      <c r="B43" s="19">
        <v>982400</v>
      </c>
      <c r="C43" s="19" t="s">
        <v>107</v>
      </c>
      <c r="D43" s="32" t="s">
        <v>108</v>
      </c>
      <c r="E43" s="32" t="s">
        <v>109</v>
      </c>
      <c r="F43" s="33">
        <v>45269</v>
      </c>
      <c r="G43" s="32">
        <v>40</v>
      </c>
      <c r="H43" s="53" t="s">
        <v>527</v>
      </c>
      <c r="I43" s="53" t="s">
        <v>558</v>
      </c>
      <c r="J43" s="19"/>
      <c r="K43" s="21"/>
      <c r="L43" s="21"/>
      <c r="M43" s="21"/>
      <c r="N43" s="21">
        <v>1.06312161620882</v>
      </c>
      <c r="O43" s="21" t="s">
        <v>119</v>
      </c>
      <c r="P43" s="21" t="s">
        <v>89</v>
      </c>
      <c r="Q43" s="21"/>
      <c r="R43" s="21"/>
      <c r="S43" s="21" t="s">
        <v>119</v>
      </c>
      <c r="T43" s="21"/>
      <c r="U43" s="21" t="s">
        <v>88</v>
      </c>
      <c r="V43" s="21">
        <v>26.035186865222201</v>
      </c>
      <c r="W43" s="21"/>
      <c r="X43" s="21" t="s">
        <v>90</v>
      </c>
      <c r="Y43" s="21" t="s">
        <v>90</v>
      </c>
      <c r="Z43" s="21" t="s">
        <v>89</v>
      </c>
      <c r="AA43" s="21"/>
      <c r="AB43" s="21"/>
      <c r="AC43" s="21"/>
      <c r="AD43" s="21"/>
      <c r="AE43" s="21" t="s">
        <v>89</v>
      </c>
      <c r="AF43" s="45" t="s">
        <v>119</v>
      </c>
      <c r="AG43" s="21" t="s">
        <v>90</v>
      </c>
      <c r="AH43" s="21" t="s">
        <v>88</v>
      </c>
      <c r="AI43" s="21" t="s">
        <v>90</v>
      </c>
      <c r="AJ43" s="21"/>
      <c r="AK43" s="21"/>
      <c r="AL43" s="21"/>
      <c r="AM43" s="21" t="s">
        <v>88</v>
      </c>
      <c r="AN43" s="21" t="s">
        <v>88</v>
      </c>
      <c r="AO43" s="21"/>
      <c r="AP43" s="21" t="s">
        <v>90</v>
      </c>
    </row>
    <row r="44" spans="1:42" x14ac:dyDescent="0.35">
      <c r="A44" s="11" t="s">
        <v>239</v>
      </c>
      <c r="B44" s="19">
        <v>982489</v>
      </c>
      <c r="C44" s="19" t="s">
        <v>105</v>
      </c>
      <c r="D44" s="19" t="s">
        <v>106</v>
      </c>
      <c r="E44" s="19" t="s">
        <v>130</v>
      </c>
      <c r="F44" s="20">
        <v>45248</v>
      </c>
      <c r="G44" s="19">
        <v>32.1</v>
      </c>
      <c r="H44" s="23" t="s">
        <v>528</v>
      </c>
      <c r="I44" s="23" t="s">
        <v>559</v>
      </c>
      <c r="J44" s="19"/>
      <c r="K44" s="21">
        <v>12.462209040901501</v>
      </c>
      <c r="L44" s="21"/>
      <c r="M44" s="21"/>
      <c r="N44" s="21"/>
      <c r="O44" s="21" t="s">
        <v>119</v>
      </c>
      <c r="P44" s="21" t="s">
        <v>89</v>
      </c>
      <c r="Q44" s="21"/>
      <c r="R44" s="21"/>
      <c r="S44" s="21">
        <v>2.2799999999999998</v>
      </c>
      <c r="T44" s="21"/>
      <c r="U44" s="21" t="s">
        <v>88</v>
      </c>
      <c r="V44" s="21" t="s">
        <v>92</v>
      </c>
      <c r="W44" s="21" t="s">
        <v>89</v>
      </c>
      <c r="X44" s="21"/>
      <c r="Y44" s="21" t="s">
        <v>90</v>
      </c>
      <c r="Z44" s="21" t="s">
        <v>89</v>
      </c>
      <c r="AA44" s="21"/>
      <c r="AB44" s="21"/>
      <c r="AC44" s="21"/>
      <c r="AD44" s="21"/>
      <c r="AE44" s="21" t="s">
        <v>89</v>
      </c>
      <c r="AF44" s="28" t="s">
        <v>119</v>
      </c>
      <c r="AG44" s="21" t="s">
        <v>90</v>
      </c>
      <c r="AH44" s="21" t="s">
        <v>88</v>
      </c>
      <c r="AI44" s="21" t="s">
        <v>90</v>
      </c>
      <c r="AJ44" s="21"/>
      <c r="AK44" s="21"/>
      <c r="AL44" s="21"/>
      <c r="AM44" s="21" t="s">
        <v>88</v>
      </c>
      <c r="AN44" s="21" t="s">
        <v>88</v>
      </c>
      <c r="AO44" s="21"/>
      <c r="AP44" s="21" t="s">
        <v>90</v>
      </c>
    </row>
    <row r="45" spans="1:42" x14ac:dyDescent="0.35">
      <c r="A45" s="11" t="s">
        <v>240</v>
      </c>
      <c r="B45" s="19">
        <v>982484</v>
      </c>
      <c r="C45" s="19" t="s">
        <v>105</v>
      </c>
      <c r="D45" s="32" t="s">
        <v>106</v>
      </c>
      <c r="E45" s="32" t="s">
        <v>130</v>
      </c>
      <c r="F45" s="33">
        <v>45269</v>
      </c>
      <c r="G45" s="32">
        <v>36</v>
      </c>
      <c r="H45" s="53" t="s">
        <v>529</v>
      </c>
      <c r="I45" s="53" t="s">
        <v>560</v>
      </c>
      <c r="J45" s="19"/>
      <c r="K45" s="21">
        <v>19.618121863304399</v>
      </c>
      <c r="L45" s="21"/>
      <c r="M45" s="21"/>
      <c r="N45" s="21" t="s">
        <v>88</v>
      </c>
      <c r="O45" s="21" t="s">
        <v>119</v>
      </c>
      <c r="P45" s="21" t="s">
        <v>89</v>
      </c>
      <c r="Q45" s="21"/>
      <c r="R45" s="21"/>
      <c r="S45" s="21">
        <v>3.4</v>
      </c>
      <c r="T45" s="21"/>
      <c r="U45" s="21" t="s">
        <v>88</v>
      </c>
      <c r="V45" s="21" t="s">
        <v>92</v>
      </c>
      <c r="W45" s="21"/>
      <c r="X45" s="21"/>
      <c r="Y45" s="21" t="s">
        <v>90</v>
      </c>
      <c r="Z45" s="21" t="s">
        <v>89</v>
      </c>
      <c r="AA45" s="21"/>
      <c r="AB45" s="21"/>
      <c r="AC45" s="21"/>
      <c r="AD45" s="21"/>
      <c r="AE45" s="21" t="s">
        <v>89</v>
      </c>
      <c r="AF45" s="45" t="s">
        <v>119</v>
      </c>
      <c r="AG45" s="21" t="s">
        <v>90</v>
      </c>
      <c r="AH45" s="21" t="s">
        <v>88</v>
      </c>
      <c r="AI45" s="21" t="s">
        <v>90</v>
      </c>
      <c r="AJ45" s="21"/>
      <c r="AK45" s="21"/>
      <c r="AL45" s="21"/>
      <c r="AM45" s="21" t="s">
        <v>88</v>
      </c>
      <c r="AN45" s="21" t="s">
        <v>88</v>
      </c>
      <c r="AO45" s="21"/>
      <c r="AP45" s="21" t="s">
        <v>90</v>
      </c>
    </row>
    <row r="46" spans="1:42" x14ac:dyDescent="0.35">
      <c r="A46" s="11" t="s">
        <v>241</v>
      </c>
      <c r="B46" s="19">
        <v>982185</v>
      </c>
      <c r="C46" s="19" t="s">
        <v>105</v>
      </c>
      <c r="D46" s="19" t="s">
        <v>108</v>
      </c>
      <c r="E46" s="19" t="s">
        <v>109</v>
      </c>
      <c r="F46" s="20">
        <v>45237</v>
      </c>
      <c r="G46" s="26">
        <v>24</v>
      </c>
      <c r="H46" s="23" t="s">
        <v>530</v>
      </c>
      <c r="I46" s="23" t="s">
        <v>561</v>
      </c>
      <c r="J46" s="19"/>
      <c r="K46" s="21"/>
      <c r="L46" s="21"/>
      <c r="M46" s="21"/>
      <c r="N46" s="21" t="s">
        <v>88</v>
      </c>
      <c r="O46" s="21" t="s">
        <v>119</v>
      </c>
      <c r="P46" s="21" t="s">
        <v>89</v>
      </c>
      <c r="Q46" s="21"/>
      <c r="R46" s="21"/>
      <c r="S46" s="21">
        <v>2.15</v>
      </c>
      <c r="T46" s="21"/>
      <c r="U46" s="21" t="s">
        <v>88</v>
      </c>
      <c r="V46" s="21" t="s">
        <v>92</v>
      </c>
      <c r="W46" s="21"/>
      <c r="X46" s="21" t="s">
        <v>90</v>
      </c>
      <c r="Y46" s="21" t="s">
        <v>90</v>
      </c>
      <c r="Z46" s="21" t="s">
        <v>89</v>
      </c>
      <c r="AA46" s="21"/>
      <c r="AB46" s="21"/>
      <c r="AC46" s="21"/>
      <c r="AD46" s="21"/>
      <c r="AE46" s="21" t="s">
        <v>89</v>
      </c>
      <c r="AF46" s="28" t="s">
        <v>119</v>
      </c>
      <c r="AG46" s="21" t="s">
        <v>90</v>
      </c>
      <c r="AH46" s="21" t="s">
        <v>88</v>
      </c>
      <c r="AI46" s="21" t="s">
        <v>90</v>
      </c>
      <c r="AJ46" s="21"/>
      <c r="AK46" s="21"/>
      <c r="AL46" s="21"/>
      <c r="AM46" s="21" t="s">
        <v>88</v>
      </c>
      <c r="AN46" s="21" t="s">
        <v>88</v>
      </c>
      <c r="AO46" s="21"/>
      <c r="AP46" s="21" t="s">
        <v>90</v>
      </c>
    </row>
    <row r="47" spans="1:42" x14ac:dyDescent="0.35">
      <c r="A47" s="11" t="s">
        <v>242</v>
      </c>
      <c r="B47" s="19">
        <v>982153</v>
      </c>
      <c r="C47" s="19" t="s">
        <v>105</v>
      </c>
      <c r="D47" s="19" t="s">
        <v>106</v>
      </c>
      <c r="E47" s="19" t="s">
        <v>130</v>
      </c>
      <c r="F47" s="20">
        <v>45248</v>
      </c>
      <c r="G47" s="19">
        <v>34.1</v>
      </c>
      <c r="H47" s="23" t="s">
        <v>531</v>
      </c>
      <c r="I47" s="23" t="s">
        <v>562</v>
      </c>
      <c r="J47" s="19"/>
      <c r="K47" s="21"/>
      <c r="L47" s="21"/>
      <c r="M47" s="21"/>
      <c r="N47" s="21" t="s">
        <v>88</v>
      </c>
      <c r="O47" s="21" t="s">
        <v>119</v>
      </c>
      <c r="P47" s="21" t="s">
        <v>89</v>
      </c>
      <c r="Q47" s="21"/>
      <c r="R47" s="21"/>
      <c r="S47" s="21">
        <v>7.03</v>
      </c>
      <c r="T47" s="21"/>
      <c r="U47" s="21" t="s">
        <v>88</v>
      </c>
      <c r="V47" s="21" t="s">
        <v>92</v>
      </c>
      <c r="W47" s="21"/>
      <c r="X47" s="21" t="s">
        <v>90</v>
      </c>
      <c r="Y47" s="21" t="s">
        <v>90</v>
      </c>
      <c r="Z47" s="21" t="s">
        <v>89</v>
      </c>
      <c r="AA47" s="21"/>
      <c r="AB47" s="21"/>
      <c r="AC47" s="21"/>
      <c r="AD47" s="21"/>
      <c r="AE47" s="21" t="s">
        <v>89</v>
      </c>
      <c r="AF47" s="45" t="s">
        <v>119</v>
      </c>
      <c r="AG47" s="21" t="s">
        <v>90</v>
      </c>
      <c r="AH47" s="21" t="s">
        <v>88</v>
      </c>
      <c r="AI47" s="21" t="s">
        <v>90</v>
      </c>
      <c r="AJ47" s="21"/>
      <c r="AK47" s="21" t="s">
        <v>119</v>
      </c>
      <c r="AL47" s="21"/>
      <c r="AM47" s="21" t="s">
        <v>88</v>
      </c>
      <c r="AN47" s="21" t="s">
        <v>88</v>
      </c>
      <c r="AO47" s="21" t="s">
        <v>89</v>
      </c>
      <c r="AP47" s="21" t="s">
        <v>90</v>
      </c>
    </row>
    <row r="48" spans="1:42" x14ac:dyDescent="0.35">
      <c r="A48" s="11" t="s">
        <v>243</v>
      </c>
      <c r="B48" s="19">
        <v>982322</v>
      </c>
      <c r="C48" s="19" t="s">
        <v>105</v>
      </c>
      <c r="D48" s="19" t="s">
        <v>106</v>
      </c>
      <c r="E48" s="19" t="s">
        <v>118</v>
      </c>
      <c r="F48" s="20">
        <v>45272</v>
      </c>
      <c r="G48" s="19">
        <v>40</v>
      </c>
      <c r="H48" s="27" t="s">
        <v>514</v>
      </c>
      <c r="I48" s="27" t="s">
        <v>545</v>
      </c>
      <c r="J48" s="19"/>
      <c r="K48" s="21"/>
      <c r="L48" s="21"/>
      <c r="M48" s="21"/>
      <c r="N48" s="21" t="s">
        <v>88</v>
      </c>
      <c r="O48" s="21" t="s">
        <v>119</v>
      </c>
      <c r="P48" s="21" t="s">
        <v>89</v>
      </c>
      <c r="Q48" s="21"/>
      <c r="R48" s="21"/>
      <c r="S48" s="21">
        <v>2.72</v>
      </c>
      <c r="T48" s="21"/>
      <c r="U48" s="21" t="s">
        <v>88</v>
      </c>
      <c r="V48" s="21" t="s">
        <v>92</v>
      </c>
      <c r="W48" s="21"/>
      <c r="X48" s="21"/>
      <c r="Y48" s="21" t="s">
        <v>90</v>
      </c>
      <c r="Z48" s="21" t="s">
        <v>89</v>
      </c>
      <c r="AA48" s="21" t="s">
        <v>72</v>
      </c>
      <c r="AB48" s="21"/>
      <c r="AC48" s="21"/>
      <c r="AD48" s="21"/>
      <c r="AE48" s="21" t="s">
        <v>89</v>
      </c>
      <c r="AF48" s="28" t="s">
        <v>119</v>
      </c>
      <c r="AG48" s="21" t="s">
        <v>90</v>
      </c>
      <c r="AH48" s="21" t="s">
        <v>88</v>
      </c>
      <c r="AI48" s="21" t="s">
        <v>90</v>
      </c>
      <c r="AJ48" s="21"/>
      <c r="AK48" s="21"/>
      <c r="AL48" s="21"/>
      <c r="AM48" s="21" t="s">
        <v>88</v>
      </c>
      <c r="AN48" s="21" t="s">
        <v>88</v>
      </c>
      <c r="AO48" s="21"/>
      <c r="AP48" s="21" t="s">
        <v>90</v>
      </c>
    </row>
    <row r="49" spans="1:42" x14ac:dyDescent="0.35">
      <c r="A49" s="11" t="s">
        <v>244</v>
      </c>
      <c r="B49" s="19">
        <v>982195</v>
      </c>
      <c r="C49" s="19" t="s">
        <v>105</v>
      </c>
      <c r="D49" s="19" t="s">
        <v>108</v>
      </c>
      <c r="E49" s="19" t="s">
        <v>109</v>
      </c>
      <c r="F49" s="20">
        <v>45248</v>
      </c>
      <c r="G49" s="19">
        <v>27.2</v>
      </c>
      <c r="H49" s="23" t="s">
        <v>524</v>
      </c>
      <c r="I49" s="23" t="s">
        <v>555</v>
      </c>
      <c r="J49" s="19"/>
      <c r="K49" s="21"/>
      <c r="L49" s="21"/>
      <c r="M49" s="21"/>
      <c r="N49" s="21" t="s">
        <v>88</v>
      </c>
      <c r="O49" s="21" t="s">
        <v>119</v>
      </c>
      <c r="P49" s="21" t="s">
        <v>89</v>
      </c>
      <c r="Q49" s="21"/>
      <c r="R49" s="21" t="s">
        <v>88</v>
      </c>
      <c r="S49" s="21">
        <v>2.14</v>
      </c>
      <c r="T49" s="21"/>
      <c r="U49" s="21" t="s">
        <v>88</v>
      </c>
      <c r="V49" s="21" t="s">
        <v>92</v>
      </c>
      <c r="W49" s="21">
        <v>6.9042763780322396</v>
      </c>
      <c r="X49" s="21" t="s">
        <v>90</v>
      </c>
      <c r="Y49" s="21" t="s">
        <v>90</v>
      </c>
      <c r="Z49" s="21" t="s">
        <v>89</v>
      </c>
      <c r="AA49" s="21"/>
      <c r="AB49" s="21"/>
      <c r="AC49" s="21"/>
      <c r="AD49" s="21"/>
      <c r="AE49" s="21" t="s">
        <v>89</v>
      </c>
      <c r="AF49" s="45" t="s">
        <v>119</v>
      </c>
      <c r="AG49" s="21" t="s">
        <v>90</v>
      </c>
      <c r="AH49" s="21" t="s">
        <v>88</v>
      </c>
      <c r="AI49" s="21" t="s">
        <v>90</v>
      </c>
      <c r="AJ49" s="21"/>
      <c r="AK49" s="21"/>
      <c r="AL49" s="21"/>
      <c r="AM49" s="21" t="s">
        <v>88</v>
      </c>
      <c r="AN49" s="21" t="s">
        <v>88</v>
      </c>
      <c r="AO49" s="21" t="s">
        <v>89</v>
      </c>
      <c r="AP49" s="21" t="s">
        <v>90</v>
      </c>
    </row>
    <row r="50" spans="1:42" x14ac:dyDescent="0.35">
      <c r="A50" s="11" t="s">
        <v>245</v>
      </c>
      <c r="B50" s="19">
        <v>982169</v>
      </c>
      <c r="C50" s="19" t="s">
        <v>105</v>
      </c>
      <c r="D50" s="19" t="s">
        <v>106</v>
      </c>
      <c r="E50" s="19" t="s">
        <v>118</v>
      </c>
      <c r="F50" s="20">
        <v>45237</v>
      </c>
      <c r="G50" s="26">
        <v>38</v>
      </c>
      <c r="H50" s="23" t="s">
        <v>532</v>
      </c>
      <c r="I50" s="23" t="s">
        <v>563</v>
      </c>
      <c r="J50" s="19"/>
      <c r="K50" s="21"/>
      <c r="L50" s="21"/>
      <c r="M50" s="21"/>
      <c r="N50" s="21" t="s">
        <v>88</v>
      </c>
      <c r="O50" s="21" t="s">
        <v>119</v>
      </c>
      <c r="P50" s="21" t="s">
        <v>89</v>
      </c>
      <c r="Q50" s="21"/>
      <c r="R50" s="21"/>
      <c r="S50" s="21">
        <v>28.364999999999998</v>
      </c>
      <c r="T50" s="21"/>
      <c r="U50" s="21" t="s">
        <v>88</v>
      </c>
      <c r="V50" s="21" t="s">
        <v>92</v>
      </c>
      <c r="W50" s="21"/>
      <c r="X50" s="21" t="s">
        <v>90</v>
      </c>
      <c r="Y50" s="21" t="s">
        <v>90</v>
      </c>
      <c r="Z50" s="21" t="s">
        <v>89</v>
      </c>
      <c r="AA50" s="21"/>
      <c r="AB50" s="21"/>
      <c r="AC50" s="21"/>
      <c r="AD50" s="21">
        <v>1.5496585014587301</v>
      </c>
      <c r="AE50" s="21" t="s">
        <v>89</v>
      </c>
      <c r="AF50" s="28" t="s">
        <v>119</v>
      </c>
      <c r="AG50" s="21" t="s">
        <v>90</v>
      </c>
      <c r="AH50" s="21" t="s">
        <v>88</v>
      </c>
      <c r="AI50" s="21" t="s">
        <v>90</v>
      </c>
      <c r="AJ50" s="21"/>
      <c r="AK50" s="21"/>
      <c r="AL50" s="21"/>
      <c r="AM50" s="21" t="s">
        <v>88</v>
      </c>
      <c r="AN50" s="21" t="s">
        <v>88</v>
      </c>
      <c r="AO50" s="21" t="s">
        <v>89</v>
      </c>
      <c r="AP50" s="21" t="s">
        <v>90</v>
      </c>
    </row>
    <row r="51" spans="1:42" x14ac:dyDescent="0.35">
      <c r="A51" s="11" t="s">
        <v>246</v>
      </c>
      <c r="B51" s="19">
        <v>982377</v>
      </c>
      <c r="C51" s="19" t="s">
        <v>105</v>
      </c>
      <c r="D51" s="19" t="s">
        <v>108</v>
      </c>
      <c r="E51" s="19" t="s">
        <v>130</v>
      </c>
      <c r="F51" s="20">
        <v>45272</v>
      </c>
      <c r="G51" s="19">
        <v>39.299999999999997</v>
      </c>
      <c r="H51" s="53" t="s">
        <v>525</v>
      </c>
      <c r="I51" s="53" t="s">
        <v>556</v>
      </c>
      <c r="J51" s="19"/>
      <c r="K51" s="21"/>
      <c r="L51" s="21"/>
      <c r="M51" s="21"/>
      <c r="N51" s="21" t="s">
        <v>88</v>
      </c>
      <c r="O51" s="21" t="s">
        <v>119</v>
      </c>
      <c r="P51" s="21" t="s">
        <v>89</v>
      </c>
      <c r="Q51" s="21"/>
      <c r="R51" s="21"/>
      <c r="S51" s="21">
        <v>2.4009999999999998</v>
      </c>
      <c r="T51" s="21"/>
      <c r="U51" s="21" t="s">
        <v>88</v>
      </c>
      <c r="V51" s="21" t="s">
        <v>92</v>
      </c>
      <c r="W51" s="21">
        <v>16.9114945836609</v>
      </c>
      <c r="X51" s="21"/>
      <c r="Y51" s="21" t="s">
        <v>90</v>
      </c>
      <c r="Z51" s="21" t="s">
        <v>89</v>
      </c>
      <c r="AA51" s="21"/>
      <c r="AB51" s="21"/>
      <c r="AC51" s="21"/>
      <c r="AD51" s="21"/>
      <c r="AE51" s="21" t="s">
        <v>89</v>
      </c>
      <c r="AF51" s="45" t="s">
        <v>119</v>
      </c>
      <c r="AG51" s="21" t="s">
        <v>90</v>
      </c>
      <c r="AH51" s="21" t="s">
        <v>88</v>
      </c>
      <c r="AI51" s="21">
        <v>17.4062183588529</v>
      </c>
      <c r="AJ51" s="21"/>
      <c r="AK51" s="21"/>
      <c r="AL51" s="21"/>
      <c r="AM51" s="21" t="s">
        <v>88</v>
      </c>
      <c r="AN51" s="21" t="s">
        <v>88</v>
      </c>
      <c r="AO51" s="21"/>
      <c r="AP51" s="21" t="s">
        <v>90</v>
      </c>
    </row>
    <row r="52" spans="1:42" x14ac:dyDescent="0.35">
      <c r="A52" s="12" t="s">
        <v>485</v>
      </c>
      <c r="B52" s="56"/>
      <c r="C52" s="56"/>
      <c r="D52" s="56"/>
      <c r="E52" s="56"/>
      <c r="F52" s="57"/>
      <c r="G52" s="56"/>
      <c r="H52" s="56"/>
      <c r="I52" s="56"/>
      <c r="J52" s="58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45"/>
      <c r="AG52" s="21"/>
      <c r="AH52" s="21"/>
      <c r="AI52" s="21"/>
      <c r="AJ52" s="21"/>
      <c r="AK52" s="21"/>
      <c r="AL52" s="21"/>
      <c r="AM52" s="21"/>
      <c r="AN52" s="21"/>
      <c r="AO52" s="21"/>
      <c r="AP52" s="21"/>
    </row>
    <row r="53" spans="1:42" x14ac:dyDescent="0.35">
      <c r="A53" s="12" t="s">
        <v>247</v>
      </c>
      <c r="B53" s="19">
        <v>997605</v>
      </c>
      <c r="C53" s="19" t="s">
        <v>115</v>
      </c>
      <c r="D53" s="19" t="s">
        <v>106</v>
      </c>
      <c r="E53" s="19" t="s">
        <v>109</v>
      </c>
      <c r="F53" s="20">
        <v>45567</v>
      </c>
      <c r="G53" s="19">
        <v>32</v>
      </c>
      <c r="H53" s="23" t="s">
        <v>533</v>
      </c>
      <c r="I53" s="23" t="s">
        <v>564</v>
      </c>
      <c r="J53" s="19"/>
      <c r="K53" s="21"/>
      <c r="L53" s="21"/>
      <c r="M53" s="21" t="s">
        <v>88</v>
      </c>
      <c r="N53" s="21">
        <v>1.58781303922678</v>
      </c>
      <c r="O53" s="21">
        <v>2.97</v>
      </c>
      <c r="P53" s="21" t="s">
        <v>89</v>
      </c>
      <c r="Q53" s="21" t="s">
        <v>72</v>
      </c>
      <c r="R53" s="21"/>
      <c r="S53" s="21" t="s">
        <v>119</v>
      </c>
      <c r="T53" s="21"/>
      <c r="U53" s="21" t="s">
        <v>88</v>
      </c>
      <c r="V53" s="21" t="s">
        <v>92</v>
      </c>
      <c r="W53" s="21">
        <v>16.445724711989499</v>
      </c>
      <c r="X53" s="21"/>
      <c r="Y53" s="21" t="s">
        <v>90</v>
      </c>
      <c r="Z53" s="21" t="s">
        <v>89</v>
      </c>
      <c r="AA53" s="21"/>
      <c r="AB53" s="21"/>
      <c r="AC53" s="21"/>
      <c r="AD53" s="21" t="s">
        <v>88</v>
      </c>
      <c r="AE53" s="21" t="s">
        <v>89</v>
      </c>
      <c r="AF53" s="28" t="s">
        <v>119</v>
      </c>
      <c r="AG53" s="21" t="s">
        <v>90</v>
      </c>
      <c r="AH53" s="21" t="s">
        <v>88</v>
      </c>
      <c r="AI53" s="21" t="s">
        <v>90</v>
      </c>
      <c r="AJ53" s="21"/>
      <c r="AK53" s="21"/>
      <c r="AL53" s="21"/>
      <c r="AM53" s="21" t="s">
        <v>88</v>
      </c>
      <c r="AN53" s="21" t="s">
        <v>88</v>
      </c>
      <c r="AO53" s="21"/>
      <c r="AP53" s="21" t="s">
        <v>90</v>
      </c>
    </row>
    <row r="54" spans="1:42" x14ac:dyDescent="0.35">
      <c r="A54" s="12" t="s">
        <v>248</v>
      </c>
      <c r="B54" s="19">
        <v>982277</v>
      </c>
      <c r="C54" s="19" t="s">
        <v>116</v>
      </c>
      <c r="D54" s="19" t="s">
        <v>108</v>
      </c>
      <c r="E54" s="19" t="s">
        <v>109</v>
      </c>
      <c r="F54" s="20">
        <v>45553</v>
      </c>
      <c r="G54" s="19">
        <v>19</v>
      </c>
      <c r="H54" s="23" t="s">
        <v>534</v>
      </c>
      <c r="I54" s="23" t="s">
        <v>565</v>
      </c>
      <c r="J54" s="19"/>
      <c r="K54" s="21"/>
      <c r="L54" s="21"/>
      <c r="M54" s="21" t="s">
        <v>88</v>
      </c>
      <c r="N54" s="21">
        <v>1.6299536048550001</v>
      </c>
      <c r="O54" s="21">
        <v>2.2101000000000002</v>
      </c>
      <c r="P54" s="21" t="s">
        <v>89</v>
      </c>
      <c r="Q54" s="21"/>
      <c r="R54" s="21" t="s">
        <v>88</v>
      </c>
      <c r="S54" s="21" t="s">
        <v>119</v>
      </c>
      <c r="T54" s="21"/>
      <c r="U54" s="21" t="s">
        <v>88</v>
      </c>
      <c r="V54" s="21" t="s">
        <v>92</v>
      </c>
      <c r="W54" s="21">
        <v>7.7478672128013901</v>
      </c>
      <c r="X54" s="21" t="s">
        <v>90</v>
      </c>
      <c r="Y54" s="21" t="s">
        <v>90</v>
      </c>
      <c r="Z54" s="21" t="s">
        <v>89</v>
      </c>
      <c r="AA54" s="21"/>
      <c r="AB54" s="21"/>
      <c r="AC54" s="21"/>
      <c r="AD54" s="21"/>
      <c r="AE54" s="21" t="s">
        <v>89</v>
      </c>
      <c r="AF54" s="45" t="s">
        <v>119</v>
      </c>
      <c r="AG54" s="21" t="s">
        <v>90</v>
      </c>
      <c r="AH54" s="21" t="s">
        <v>88</v>
      </c>
      <c r="AI54" s="21" t="s">
        <v>90</v>
      </c>
      <c r="AJ54" s="21"/>
      <c r="AK54" s="21"/>
      <c r="AL54" s="21" t="s">
        <v>88</v>
      </c>
      <c r="AM54" s="21" t="s">
        <v>88</v>
      </c>
      <c r="AN54" s="21" t="s">
        <v>88</v>
      </c>
      <c r="AO54" s="21" t="s">
        <v>89</v>
      </c>
      <c r="AP54" s="21" t="s">
        <v>90</v>
      </c>
    </row>
    <row r="55" spans="1:42" x14ac:dyDescent="0.35">
      <c r="A55" s="12" t="s">
        <v>249</v>
      </c>
      <c r="B55" s="19">
        <v>997604</v>
      </c>
      <c r="C55" s="19" t="s">
        <v>115</v>
      </c>
      <c r="D55" s="19" t="s">
        <v>108</v>
      </c>
      <c r="E55" s="19" t="s">
        <v>109</v>
      </c>
      <c r="F55" s="20">
        <v>45560</v>
      </c>
      <c r="G55" s="19">
        <v>34</v>
      </c>
      <c r="H55" s="23" t="s">
        <v>117</v>
      </c>
      <c r="I55" s="23" t="s">
        <v>566</v>
      </c>
      <c r="J55" s="19"/>
      <c r="K55" s="21"/>
      <c r="L55" s="21"/>
      <c r="M55" s="21"/>
      <c r="N55" s="21" t="s">
        <v>88</v>
      </c>
      <c r="O55" s="21" t="s">
        <v>119</v>
      </c>
      <c r="P55" s="21" t="s">
        <v>89</v>
      </c>
      <c r="Q55" s="21" t="s">
        <v>90</v>
      </c>
      <c r="R55" s="21"/>
      <c r="S55" s="21" t="s">
        <v>119</v>
      </c>
      <c r="T55" s="21"/>
      <c r="U55" s="21" t="s">
        <v>88</v>
      </c>
      <c r="V55" s="21" t="s">
        <v>92</v>
      </c>
      <c r="W55" s="21">
        <v>13.2258086511959</v>
      </c>
      <c r="X55" s="21"/>
      <c r="Y55" s="21" t="s">
        <v>90</v>
      </c>
      <c r="Z55" s="21" t="s">
        <v>89</v>
      </c>
      <c r="AA55" s="21"/>
      <c r="AB55" s="21"/>
      <c r="AC55" s="21"/>
      <c r="AD55" s="21"/>
      <c r="AE55" s="21" t="s">
        <v>89</v>
      </c>
      <c r="AF55" s="28" t="s">
        <v>119</v>
      </c>
      <c r="AG55" s="21" t="s">
        <v>90</v>
      </c>
      <c r="AH55" s="21">
        <v>17.783275346603901</v>
      </c>
      <c r="AI55" s="21" t="s">
        <v>90</v>
      </c>
      <c r="AJ55" s="21"/>
      <c r="AK55" s="21"/>
      <c r="AL55" s="21"/>
      <c r="AM55" s="21" t="s">
        <v>88</v>
      </c>
      <c r="AN55" s="21" t="s">
        <v>88</v>
      </c>
      <c r="AO55" s="21"/>
      <c r="AP55" s="21" t="s">
        <v>90</v>
      </c>
    </row>
    <row r="56" spans="1:42" x14ac:dyDescent="0.35">
      <c r="A56" s="13" t="s">
        <v>250</v>
      </c>
      <c r="B56" s="19">
        <v>982276</v>
      </c>
      <c r="C56" s="19" t="s">
        <v>116</v>
      </c>
      <c r="D56" s="19" t="s">
        <v>106</v>
      </c>
      <c r="E56" s="19" t="s">
        <v>118</v>
      </c>
      <c r="F56" s="20">
        <v>45553</v>
      </c>
      <c r="G56" s="19">
        <v>30</v>
      </c>
      <c r="H56" s="23" t="s">
        <v>534</v>
      </c>
      <c r="I56" s="23" t="s">
        <v>565</v>
      </c>
      <c r="J56" s="19"/>
      <c r="K56" s="21"/>
      <c r="L56" s="21"/>
      <c r="M56" s="21"/>
      <c r="N56" s="21" t="s">
        <v>88</v>
      </c>
      <c r="O56" s="21" t="s">
        <v>119</v>
      </c>
      <c r="P56" s="21" t="s">
        <v>89</v>
      </c>
      <c r="Q56" s="21"/>
      <c r="R56" s="21"/>
      <c r="S56" s="21" t="s">
        <v>119</v>
      </c>
      <c r="T56" s="21"/>
      <c r="U56" s="21" t="s">
        <v>88</v>
      </c>
      <c r="V56" s="21" t="s">
        <v>92</v>
      </c>
      <c r="W56" s="21">
        <v>12.2289498253276</v>
      </c>
      <c r="X56" s="21"/>
      <c r="Y56" s="21" t="s">
        <v>90</v>
      </c>
      <c r="Z56" s="21" t="s">
        <v>89</v>
      </c>
      <c r="AA56" s="21" t="s">
        <v>72</v>
      </c>
      <c r="AB56" s="21"/>
      <c r="AC56" s="21"/>
      <c r="AD56" s="21"/>
      <c r="AE56" s="21" t="s">
        <v>89</v>
      </c>
      <c r="AF56" s="45" t="s">
        <v>119</v>
      </c>
      <c r="AG56" s="21" t="s">
        <v>90</v>
      </c>
      <c r="AH56" s="21">
        <v>10.492112811393399</v>
      </c>
      <c r="AI56" s="21" t="s">
        <v>90</v>
      </c>
      <c r="AJ56" s="21"/>
      <c r="AK56" s="21"/>
      <c r="AL56" s="21"/>
      <c r="AM56" s="21" t="s">
        <v>88</v>
      </c>
      <c r="AN56" s="21" t="s">
        <v>88</v>
      </c>
      <c r="AO56" s="21" t="s">
        <v>89</v>
      </c>
      <c r="AP56" s="21" t="s">
        <v>90</v>
      </c>
    </row>
    <row r="57" spans="1:42" x14ac:dyDescent="0.35">
      <c r="A57" s="13" t="s">
        <v>251</v>
      </c>
      <c r="B57" s="27">
        <v>997611</v>
      </c>
      <c r="C57" s="27" t="s">
        <v>116</v>
      </c>
      <c r="D57" s="27" t="s">
        <v>106</v>
      </c>
      <c r="E57" s="27" t="s">
        <v>109</v>
      </c>
      <c r="F57" s="29">
        <v>45560</v>
      </c>
      <c r="G57" s="27">
        <v>16</v>
      </c>
      <c r="H57" s="27" t="s">
        <v>535</v>
      </c>
      <c r="I57" s="27" t="s">
        <v>567</v>
      </c>
      <c r="J57" s="30"/>
      <c r="K57" s="28"/>
      <c r="L57" s="28">
        <v>1.8</v>
      </c>
      <c r="M57" s="28"/>
      <c r="N57" s="28" t="s">
        <v>88</v>
      </c>
      <c r="O57" s="21" t="s">
        <v>119</v>
      </c>
      <c r="P57" s="28" t="s">
        <v>89</v>
      </c>
      <c r="Q57" s="28"/>
      <c r="R57" s="28" t="s">
        <v>88</v>
      </c>
      <c r="S57" s="28" t="s">
        <v>119</v>
      </c>
      <c r="T57" s="28"/>
      <c r="U57" s="28" t="s">
        <v>88</v>
      </c>
      <c r="V57" s="28">
        <v>29.223384338285499</v>
      </c>
      <c r="W57" s="28">
        <v>4.1997902009149204</v>
      </c>
      <c r="X57" s="28" t="s">
        <v>90</v>
      </c>
      <c r="Y57" s="28" t="s">
        <v>90</v>
      </c>
      <c r="Z57" s="28" t="s">
        <v>89</v>
      </c>
      <c r="AA57" s="28"/>
      <c r="AB57" s="28"/>
      <c r="AC57" s="28"/>
      <c r="AD57" s="28"/>
      <c r="AE57" s="28" t="s">
        <v>89</v>
      </c>
      <c r="AF57" s="28" t="s">
        <v>119</v>
      </c>
      <c r="AG57" s="28">
        <v>12.85</v>
      </c>
      <c r="AH57" s="28" t="s">
        <v>88</v>
      </c>
      <c r="AI57" s="28" t="s">
        <v>90</v>
      </c>
      <c r="AJ57" s="28"/>
      <c r="AK57" s="28"/>
      <c r="AL57" s="28"/>
      <c r="AM57" s="28" t="s">
        <v>88</v>
      </c>
      <c r="AN57" s="28" t="s">
        <v>88</v>
      </c>
      <c r="AO57" s="28" t="s">
        <v>89</v>
      </c>
      <c r="AP57" s="28" t="s">
        <v>90</v>
      </c>
    </row>
  </sheetData>
  <phoneticPr fontId="3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F618-E0DE-4A0A-B5EB-65F7775D1A76}">
  <dimension ref="A1:AH15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O32" sqref="O32"/>
    </sheetView>
  </sheetViews>
  <sheetFormatPr baseColWidth="10" defaultRowHeight="14.5" x14ac:dyDescent="0.35"/>
  <cols>
    <col min="2" max="2" width="11.54296875" bestFit="1" customWidth="1"/>
    <col min="6" max="6" width="14.26953125" bestFit="1" customWidth="1"/>
    <col min="7" max="8" width="11.54296875" bestFit="1" customWidth="1"/>
    <col min="9" max="10" width="18.81640625" bestFit="1" customWidth="1"/>
    <col min="11" max="11" width="18.26953125" bestFit="1" customWidth="1"/>
    <col min="12" max="12" width="20" customWidth="1"/>
    <col min="13" max="13" width="21.1796875" customWidth="1"/>
    <col min="14" max="14" width="19.453125" customWidth="1"/>
    <col min="15" max="15" width="10" customWidth="1"/>
    <col min="16" max="16" width="7.81640625" customWidth="1"/>
    <col min="17" max="17" width="11" bestFit="1" customWidth="1"/>
    <col min="19" max="19" width="6.81640625" customWidth="1"/>
    <col min="20" max="20" width="16.453125" customWidth="1"/>
    <col min="21" max="21" width="9" customWidth="1"/>
    <col min="22" max="22" width="19.7265625" customWidth="1"/>
    <col min="23" max="23" width="9.1796875" customWidth="1"/>
    <col min="24" max="24" width="13.453125" bestFit="1" customWidth="1"/>
    <col min="25" max="25" width="12.1796875" bestFit="1" customWidth="1"/>
    <col min="26" max="26" width="13" bestFit="1" customWidth="1"/>
    <col min="27" max="27" width="9.1796875" customWidth="1"/>
    <col min="28" max="28" width="14.54296875" bestFit="1" customWidth="1"/>
    <col min="29" max="30" width="14.54296875" customWidth="1"/>
    <col min="31" max="31" width="15.7265625" bestFit="1" customWidth="1"/>
    <col min="32" max="32" width="10.54296875" customWidth="1"/>
    <col min="33" max="33" width="14" customWidth="1"/>
    <col min="34" max="34" width="9.453125" bestFit="1" customWidth="1"/>
    <col min="35" max="35" width="7.453125" customWidth="1"/>
  </cols>
  <sheetData>
    <row r="1" spans="1:34" s="10" customFormat="1" ht="47.25" customHeight="1" x14ac:dyDescent="0.35">
      <c r="A1" s="14" t="s">
        <v>137</v>
      </c>
      <c r="B1" s="16" t="s">
        <v>96</v>
      </c>
      <c r="C1" s="15" t="s">
        <v>97</v>
      </c>
      <c r="D1" s="15" t="s">
        <v>98</v>
      </c>
      <c r="E1" s="15" t="s">
        <v>99</v>
      </c>
      <c r="F1" s="15" t="s">
        <v>475</v>
      </c>
      <c r="G1" s="16" t="s">
        <v>100</v>
      </c>
      <c r="H1" s="16" t="s">
        <v>101</v>
      </c>
      <c r="I1" s="15" t="s">
        <v>154</v>
      </c>
      <c r="J1" s="15" t="s">
        <v>155</v>
      </c>
      <c r="K1" s="17" t="s">
        <v>156</v>
      </c>
      <c r="L1" s="18" t="s">
        <v>49</v>
      </c>
      <c r="M1" s="18" t="s">
        <v>132</v>
      </c>
      <c r="N1" s="18" t="s">
        <v>133</v>
      </c>
      <c r="O1" s="18" t="s">
        <v>48</v>
      </c>
      <c r="P1" s="18" t="s">
        <v>63</v>
      </c>
      <c r="Q1" s="18" t="s">
        <v>16</v>
      </c>
      <c r="R1" s="18" t="s">
        <v>3</v>
      </c>
      <c r="S1" s="18" t="s">
        <v>74</v>
      </c>
      <c r="T1" s="18" t="s">
        <v>6</v>
      </c>
      <c r="U1" s="46" t="s">
        <v>18</v>
      </c>
      <c r="V1" s="18" t="s">
        <v>0</v>
      </c>
      <c r="W1" s="46" t="s">
        <v>135</v>
      </c>
      <c r="X1" s="46" t="s">
        <v>62</v>
      </c>
      <c r="Y1" s="46" t="s">
        <v>68</v>
      </c>
      <c r="Z1" s="18" t="s">
        <v>4</v>
      </c>
      <c r="AA1" s="18" t="s">
        <v>46</v>
      </c>
      <c r="AB1" s="18" t="s">
        <v>42</v>
      </c>
      <c r="AC1" s="18" t="s">
        <v>169</v>
      </c>
      <c r="AD1" s="18" t="s">
        <v>171</v>
      </c>
      <c r="AE1" s="18" t="s">
        <v>170</v>
      </c>
      <c r="AF1" s="18" t="s">
        <v>51</v>
      </c>
      <c r="AG1" s="18" t="s">
        <v>39</v>
      </c>
      <c r="AH1" s="18" t="s">
        <v>8</v>
      </c>
    </row>
    <row r="2" spans="1:34" x14ac:dyDescent="0.35">
      <c r="A2" s="11" t="s">
        <v>252</v>
      </c>
      <c r="B2" s="19" t="s">
        <v>138</v>
      </c>
      <c r="C2" s="19" t="s">
        <v>115</v>
      </c>
      <c r="D2" s="19" t="s">
        <v>149</v>
      </c>
      <c r="E2" s="19" t="s">
        <v>118</v>
      </c>
      <c r="F2" s="19" t="s">
        <v>151</v>
      </c>
      <c r="G2" s="20">
        <v>45306.701388888891</v>
      </c>
      <c r="H2" s="19">
        <v>90</v>
      </c>
      <c r="I2" s="24" t="s">
        <v>157</v>
      </c>
      <c r="J2" s="25" t="s">
        <v>158</v>
      </c>
      <c r="K2" s="19" t="s">
        <v>159</v>
      </c>
      <c r="L2" s="21" t="s">
        <v>119</v>
      </c>
      <c r="M2" s="21">
        <v>1.2515376231670581</v>
      </c>
      <c r="N2" s="21" t="s">
        <v>119</v>
      </c>
      <c r="O2" s="21" t="s">
        <v>89</v>
      </c>
      <c r="P2" s="21"/>
      <c r="Q2" s="21">
        <v>11.87512929229154</v>
      </c>
      <c r="R2" s="21" t="s">
        <v>88</v>
      </c>
      <c r="S2" s="21" t="s">
        <v>92</v>
      </c>
      <c r="T2" s="21"/>
      <c r="U2" s="21" t="s">
        <v>90</v>
      </c>
      <c r="V2" s="21" t="s">
        <v>89</v>
      </c>
      <c r="W2" s="21"/>
      <c r="X2" s="21" t="s">
        <v>89</v>
      </c>
      <c r="Y2" s="28" t="s">
        <v>119</v>
      </c>
      <c r="Z2" s="21" t="s">
        <v>90</v>
      </c>
      <c r="AA2" s="21" t="s">
        <v>88</v>
      </c>
      <c r="AB2" s="21" t="s">
        <v>90</v>
      </c>
      <c r="AC2" s="21"/>
      <c r="AD2" s="21"/>
      <c r="AE2" s="21"/>
      <c r="AF2" s="21" t="s">
        <v>88</v>
      </c>
      <c r="AG2" s="21" t="s">
        <v>89</v>
      </c>
      <c r="AH2" s="21" t="s">
        <v>90</v>
      </c>
    </row>
    <row r="3" spans="1:34" x14ac:dyDescent="0.35">
      <c r="A3" s="12" t="s">
        <v>253</v>
      </c>
      <c r="B3" s="19" t="s">
        <v>139</v>
      </c>
      <c r="C3" s="19" t="s">
        <v>115</v>
      </c>
      <c r="D3" s="19" t="s">
        <v>150</v>
      </c>
      <c r="E3" s="19" t="s">
        <v>130</v>
      </c>
      <c r="F3" s="19" t="s">
        <v>152</v>
      </c>
      <c r="G3" s="20">
        <v>45252.71875</v>
      </c>
      <c r="H3" s="19">
        <v>65</v>
      </c>
      <c r="I3" s="31" t="s">
        <v>160</v>
      </c>
      <c r="J3" s="31" t="s">
        <v>161</v>
      </c>
      <c r="K3" s="19" t="s">
        <v>162</v>
      </c>
      <c r="L3" s="21"/>
      <c r="M3" s="21" t="s">
        <v>88</v>
      </c>
      <c r="N3" s="21" t="s">
        <v>119</v>
      </c>
      <c r="O3" s="21" t="s">
        <v>89</v>
      </c>
      <c r="P3" s="21" t="s">
        <v>88</v>
      </c>
      <c r="Q3" s="21" t="s">
        <v>119</v>
      </c>
      <c r="R3" s="21" t="s">
        <v>88</v>
      </c>
      <c r="S3" s="21" t="s">
        <v>92</v>
      </c>
      <c r="T3" s="21"/>
      <c r="U3" s="21" t="s">
        <v>90</v>
      </c>
      <c r="V3" s="21" t="s">
        <v>89</v>
      </c>
      <c r="W3" s="21"/>
      <c r="X3" s="21" t="s">
        <v>89</v>
      </c>
      <c r="Y3" s="45" t="s">
        <v>119</v>
      </c>
      <c r="Z3" s="21" t="s">
        <v>90</v>
      </c>
      <c r="AA3" s="21" t="s">
        <v>88</v>
      </c>
      <c r="AB3" s="21" t="s">
        <v>90</v>
      </c>
      <c r="AC3" s="21"/>
      <c r="AD3" s="21"/>
      <c r="AE3" s="21"/>
      <c r="AF3" s="21">
        <f>0.5635*2</f>
        <v>1.127</v>
      </c>
      <c r="AG3" s="21"/>
      <c r="AH3" s="21" t="s">
        <v>90</v>
      </c>
    </row>
    <row r="4" spans="1:34" x14ac:dyDescent="0.35">
      <c r="A4" s="12" t="s">
        <v>254</v>
      </c>
      <c r="B4" s="19" t="s">
        <v>140</v>
      </c>
      <c r="C4" s="19" t="s">
        <v>115</v>
      </c>
      <c r="D4" s="19" t="s">
        <v>150</v>
      </c>
      <c r="E4" s="19" t="s">
        <v>118</v>
      </c>
      <c r="F4" s="19" t="s">
        <v>151</v>
      </c>
      <c r="G4" s="20">
        <v>45269.427083333328</v>
      </c>
      <c r="H4" s="19">
        <v>74</v>
      </c>
      <c r="I4" s="25" t="s">
        <v>163</v>
      </c>
      <c r="J4" s="25" t="s">
        <v>164</v>
      </c>
      <c r="K4" s="19" t="s">
        <v>165</v>
      </c>
      <c r="L4" s="21"/>
      <c r="M4" s="21">
        <v>1.0026702257408899</v>
      </c>
      <c r="N4" s="21" t="s">
        <v>119</v>
      </c>
      <c r="O4" s="21" t="s">
        <v>89</v>
      </c>
      <c r="P4" s="21"/>
      <c r="Q4" s="21">
        <v>19.14224183966628</v>
      </c>
      <c r="R4" s="21">
        <v>1.1170590973454559</v>
      </c>
      <c r="S4" s="21" t="s">
        <v>92</v>
      </c>
      <c r="T4" s="21"/>
      <c r="U4" s="21" t="s">
        <v>90</v>
      </c>
      <c r="V4" s="21" t="s">
        <v>89</v>
      </c>
      <c r="W4" s="21"/>
      <c r="X4" s="21" t="s">
        <v>89</v>
      </c>
      <c r="Y4" s="28" t="s">
        <v>119</v>
      </c>
      <c r="Z4" s="21" t="s">
        <v>90</v>
      </c>
      <c r="AA4" s="21" t="s">
        <v>88</v>
      </c>
      <c r="AB4" s="21" t="s">
        <v>90</v>
      </c>
      <c r="AC4" s="21"/>
      <c r="AD4" s="21"/>
      <c r="AE4" s="21"/>
      <c r="AF4" s="21" t="s">
        <v>88</v>
      </c>
      <c r="AG4" s="21" t="s">
        <v>89</v>
      </c>
      <c r="AH4" s="21" t="s">
        <v>90</v>
      </c>
    </row>
    <row r="5" spans="1:34" x14ac:dyDescent="0.35">
      <c r="A5" s="12" t="s">
        <v>255</v>
      </c>
      <c r="B5" s="19" t="s">
        <v>141</v>
      </c>
      <c r="C5" s="19" t="s">
        <v>115</v>
      </c>
      <c r="D5" s="19" t="s">
        <v>150</v>
      </c>
      <c r="E5" s="19" t="s">
        <v>118</v>
      </c>
      <c r="F5" s="19" t="s">
        <v>151</v>
      </c>
      <c r="G5" s="20">
        <v>45307.732638888891</v>
      </c>
      <c r="H5" s="19">
        <v>69</v>
      </c>
      <c r="I5" s="22" t="s">
        <v>160</v>
      </c>
      <c r="J5" s="22" t="s">
        <v>166</v>
      </c>
      <c r="K5" s="19" t="s">
        <v>165</v>
      </c>
      <c r="L5" s="21"/>
      <c r="M5" s="21">
        <v>1.2981934411376399</v>
      </c>
      <c r="N5" s="21">
        <v>3.0127404197883201</v>
      </c>
      <c r="O5" s="21"/>
      <c r="P5" s="21" t="s">
        <v>88</v>
      </c>
      <c r="Q5" s="21">
        <v>13.610453677452099</v>
      </c>
      <c r="R5" s="21" t="s">
        <v>88</v>
      </c>
      <c r="S5" s="21" t="s">
        <v>92</v>
      </c>
      <c r="T5" s="21">
        <v>42.660475795806597</v>
      </c>
      <c r="U5" s="21"/>
      <c r="V5" s="21" t="s">
        <v>89</v>
      </c>
      <c r="W5" s="21"/>
      <c r="X5" s="21" t="s">
        <v>89</v>
      </c>
      <c r="Y5" s="45">
        <v>2.0215222793651599</v>
      </c>
      <c r="Z5" s="21" t="s">
        <v>90</v>
      </c>
      <c r="AA5" s="21" t="s">
        <v>88</v>
      </c>
      <c r="AB5" s="21" t="s">
        <v>90</v>
      </c>
      <c r="AC5" s="21"/>
      <c r="AD5" s="21" t="s">
        <v>88</v>
      </c>
      <c r="AE5" s="21"/>
      <c r="AF5" s="21"/>
      <c r="AG5" s="21"/>
      <c r="AH5" s="21" t="s">
        <v>90</v>
      </c>
    </row>
    <row r="6" spans="1:34" x14ac:dyDescent="0.35">
      <c r="A6" s="12" t="s">
        <v>256</v>
      </c>
      <c r="B6" s="19" t="s">
        <v>142</v>
      </c>
      <c r="C6" s="19" t="s">
        <v>115</v>
      </c>
      <c r="D6" s="19" t="s">
        <v>150</v>
      </c>
      <c r="E6" s="19" t="s">
        <v>109</v>
      </c>
      <c r="F6" s="19" t="s">
        <v>153</v>
      </c>
      <c r="G6" s="20">
        <v>45279.302083333328</v>
      </c>
      <c r="H6" s="19">
        <v>52</v>
      </c>
      <c r="I6" s="25" t="s">
        <v>167</v>
      </c>
      <c r="J6" s="25" t="s">
        <v>164</v>
      </c>
      <c r="K6" s="19" t="s">
        <v>159</v>
      </c>
      <c r="L6" s="21"/>
      <c r="M6" s="21">
        <v>1.0875875812186</v>
      </c>
      <c r="N6" s="21" t="s">
        <v>119</v>
      </c>
      <c r="O6" s="21" t="s">
        <v>89</v>
      </c>
      <c r="P6" s="21"/>
      <c r="Q6" s="21">
        <v>6.6231685919433403</v>
      </c>
      <c r="R6" s="21">
        <v>1.197312937104134</v>
      </c>
      <c r="S6" s="21" t="s">
        <v>92</v>
      </c>
      <c r="T6" s="21"/>
      <c r="U6" s="21" t="s">
        <v>90</v>
      </c>
      <c r="V6" s="21">
        <v>4.6445541675399404</v>
      </c>
      <c r="W6" s="21" t="s">
        <v>88</v>
      </c>
      <c r="X6" s="21" t="s">
        <v>89</v>
      </c>
      <c r="Y6" s="28" t="s">
        <v>119</v>
      </c>
      <c r="Z6" s="21">
        <v>13.521182245791559</v>
      </c>
      <c r="AA6" s="21" t="s">
        <v>88</v>
      </c>
      <c r="AB6" s="21" t="s">
        <v>90</v>
      </c>
      <c r="AC6" s="21" t="s">
        <v>119</v>
      </c>
      <c r="AD6" s="21"/>
      <c r="AE6" s="21"/>
      <c r="AF6" s="21">
        <f>2*0.5385</f>
        <v>1.077</v>
      </c>
      <c r="AG6" s="21"/>
      <c r="AH6" s="21" t="s">
        <v>90</v>
      </c>
    </row>
    <row r="7" spans="1:34" x14ac:dyDescent="0.35">
      <c r="A7" s="12" t="s">
        <v>257</v>
      </c>
      <c r="B7" s="19" t="s">
        <v>143</v>
      </c>
      <c r="C7" s="19" t="s">
        <v>115</v>
      </c>
      <c r="D7" s="19" t="s">
        <v>150</v>
      </c>
      <c r="E7" s="19" t="s">
        <v>118</v>
      </c>
      <c r="F7" s="19" t="s">
        <v>151</v>
      </c>
      <c r="G7" s="20">
        <v>45321.604166666664</v>
      </c>
      <c r="H7" s="19">
        <v>76</v>
      </c>
      <c r="I7" s="31" t="s">
        <v>163</v>
      </c>
      <c r="J7" s="31" t="s">
        <v>164</v>
      </c>
      <c r="K7" s="19" t="s">
        <v>165</v>
      </c>
      <c r="L7" s="21">
        <v>4.4036912459830404</v>
      </c>
      <c r="M7" s="21">
        <v>1.1100350210977841</v>
      </c>
      <c r="N7" s="21" t="s">
        <v>119</v>
      </c>
      <c r="O7" s="21" t="s">
        <v>89</v>
      </c>
      <c r="P7" s="21"/>
      <c r="Q7" s="21">
        <v>8.1135512074564797</v>
      </c>
      <c r="R7" s="21">
        <v>1.8480371844608361</v>
      </c>
      <c r="S7" s="21" t="s">
        <v>92</v>
      </c>
      <c r="T7" s="21"/>
      <c r="U7" s="21" t="s">
        <v>90</v>
      </c>
      <c r="V7" s="21" t="s">
        <v>89</v>
      </c>
      <c r="W7" s="21"/>
      <c r="X7" s="21" t="s">
        <v>89</v>
      </c>
      <c r="Y7" s="45" t="s">
        <v>119</v>
      </c>
      <c r="Z7" s="21" t="s">
        <v>90</v>
      </c>
      <c r="AA7" s="21" t="s">
        <v>88</v>
      </c>
      <c r="AB7" s="21" t="s">
        <v>90</v>
      </c>
      <c r="AC7" s="21"/>
      <c r="AE7" s="21" t="s">
        <v>88</v>
      </c>
      <c r="AF7" s="21" t="s">
        <v>88</v>
      </c>
      <c r="AG7" s="21" t="s">
        <v>89</v>
      </c>
      <c r="AH7" s="21" t="s">
        <v>90</v>
      </c>
    </row>
    <row r="8" spans="1:34" x14ac:dyDescent="0.35">
      <c r="A8" s="12" t="s">
        <v>258</v>
      </c>
      <c r="B8" s="19" t="s">
        <v>144</v>
      </c>
      <c r="C8" s="19" t="s">
        <v>115</v>
      </c>
      <c r="D8" s="19" t="s">
        <v>150</v>
      </c>
      <c r="E8" s="19" t="s">
        <v>130</v>
      </c>
      <c r="F8" s="19" t="s">
        <v>152</v>
      </c>
      <c r="G8" s="20">
        <v>45310.743055555555</v>
      </c>
      <c r="H8" s="26">
        <v>76</v>
      </c>
      <c r="I8" s="25" t="s">
        <v>160</v>
      </c>
      <c r="J8" s="25" t="s">
        <v>168</v>
      </c>
      <c r="K8" s="19" t="s">
        <v>165</v>
      </c>
      <c r="L8" s="21"/>
      <c r="M8" s="21" t="s">
        <v>88</v>
      </c>
      <c r="N8" s="21" t="s">
        <v>119</v>
      </c>
      <c r="O8" s="21" t="s">
        <v>89</v>
      </c>
      <c r="P8" s="21" t="s">
        <v>88</v>
      </c>
      <c r="Q8" s="21">
        <v>23.2225916186412</v>
      </c>
      <c r="R8" s="21" t="s">
        <v>88</v>
      </c>
      <c r="S8" s="21" t="s">
        <v>92</v>
      </c>
      <c r="T8" s="21"/>
      <c r="U8" s="21" t="s">
        <v>90</v>
      </c>
      <c r="V8" s="21">
        <v>4.3189972257528204</v>
      </c>
      <c r="W8" s="21"/>
      <c r="X8" s="21" t="s">
        <v>89</v>
      </c>
      <c r="Y8" s="28" t="s">
        <v>119</v>
      </c>
      <c r="Z8" s="21" t="s">
        <v>90</v>
      </c>
      <c r="AA8" s="21" t="s">
        <v>88</v>
      </c>
      <c r="AB8" s="21" t="s">
        <v>90</v>
      </c>
      <c r="AC8" s="21"/>
      <c r="AD8" s="21"/>
      <c r="AE8" s="21"/>
      <c r="AF8" s="21" t="s">
        <v>88</v>
      </c>
      <c r="AG8" s="21"/>
      <c r="AH8" s="21" t="s">
        <v>90</v>
      </c>
    </row>
    <row r="9" spans="1:34" x14ac:dyDescent="0.35">
      <c r="A9" s="12" t="s">
        <v>259</v>
      </c>
      <c r="B9" s="19" t="s">
        <v>145</v>
      </c>
      <c r="C9" s="19" t="s">
        <v>115</v>
      </c>
      <c r="D9" s="19" t="s">
        <v>150</v>
      </c>
      <c r="E9" s="19" t="s">
        <v>109</v>
      </c>
      <c r="F9" s="19" t="s">
        <v>153</v>
      </c>
      <c r="G9" s="20">
        <v>45268.541666666664</v>
      </c>
      <c r="H9" s="19">
        <v>51</v>
      </c>
      <c r="I9" s="22" t="s">
        <v>160</v>
      </c>
      <c r="J9" s="22" t="s">
        <v>168</v>
      </c>
      <c r="K9" s="19" t="s">
        <v>162</v>
      </c>
      <c r="L9" s="21"/>
      <c r="M9" s="21" t="s">
        <v>88</v>
      </c>
      <c r="N9" s="21" t="s">
        <v>119</v>
      </c>
      <c r="O9" s="21" t="s">
        <v>89</v>
      </c>
      <c r="P9" s="21"/>
      <c r="Q9" s="21">
        <v>2.9056221429575801</v>
      </c>
      <c r="R9" s="21" t="s">
        <v>88</v>
      </c>
      <c r="S9" s="21" t="s">
        <v>92</v>
      </c>
      <c r="T9" s="21"/>
      <c r="U9" s="21" t="s">
        <v>90</v>
      </c>
      <c r="V9" s="21">
        <v>10.036051914157261</v>
      </c>
      <c r="W9" s="21"/>
      <c r="X9" s="21" t="s">
        <v>89</v>
      </c>
      <c r="Y9" s="45" t="s">
        <v>119</v>
      </c>
      <c r="Z9" s="21" t="s">
        <v>90</v>
      </c>
      <c r="AA9" s="21" t="s">
        <v>88</v>
      </c>
      <c r="AB9" s="21" t="s">
        <v>90</v>
      </c>
      <c r="AC9" s="21"/>
      <c r="AD9" s="21"/>
      <c r="AE9" s="21"/>
      <c r="AF9" s="21" t="s">
        <v>88</v>
      </c>
      <c r="AG9" s="21"/>
      <c r="AH9" s="21"/>
    </row>
    <row r="10" spans="1:34" x14ac:dyDescent="0.35">
      <c r="A10" s="12" t="s">
        <v>260</v>
      </c>
      <c r="B10" s="19" t="s">
        <v>146</v>
      </c>
      <c r="C10" s="19" t="s">
        <v>115</v>
      </c>
      <c r="D10" s="19" t="s">
        <v>150</v>
      </c>
      <c r="E10" s="19" t="s">
        <v>118</v>
      </c>
      <c r="F10" s="19" t="s">
        <v>151</v>
      </c>
      <c r="G10" s="20">
        <v>45320.75</v>
      </c>
      <c r="H10" s="19">
        <v>69</v>
      </c>
      <c r="I10" s="25" t="s">
        <v>160</v>
      </c>
      <c r="J10" s="25" t="s">
        <v>168</v>
      </c>
      <c r="K10" s="19" t="s">
        <v>165</v>
      </c>
      <c r="L10" s="21"/>
      <c r="M10" s="21" t="s">
        <v>88</v>
      </c>
      <c r="N10" s="21" t="s">
        <v>119</v>
      </c>
      <c r="O10" s="21" t="s">
        <v>89</v>
      </c>
      <c r="P10" s="21"/>
      <c r="Q10" s="21" t="s">
        <v>119</v>
      </c>
      <c r="R10" s="21" t="s">
        <v>88</v>
      </c>
      <c r="S10" s="21" t="s">
        <v>92</v>
      </c>
      <c r="T10" s="21"/>
      <c r="U10" s="21" t="s">
        <v>90</v>
      </c>
      <c r="V10" s="21" t="s">
        <v>89</v>
      </c>
      <c r="W10" s="21"/>
      <c r="X10" s="21" t="s">
        <v>89</v>
      </c>
      <c r="Y10" s="28" t="s">
        <v>119</v>
      </c>
      <c r="Z10" s="21" t="s">
        <v>90</v>
      </c>
      <c r="AA10" s="21" t="s">
        <v>88</v>
      </c>
      <c r="AB10" s="21" t="s">
        <v>90</v>
      </c>
      <c r="AC10" s="21"/>
      <c r="AD10" s="21"/>
      <c r="AE10" s="21"/>
      <c r="AF10" s="21" t="s">
        <v>88</v>
      </c>
      <c r="AG10" s="21"/>
      <c r="AH10" s="21" t="s">
        <v>90</v>
      </c>
    </row>
    <row r="11" spans="1:34" x14ac:dyDescent="0.35">
      <c r="A11" s="12" t="s">
        <v>261</v>
      </c>
      <c r="B11" s="19" t="s">
        <v>147</v>
      </c>
      <c r="C11" s="19" t="s">
        <v>115</v>
      </c>
      <c r="D11" s="19" t="s">
        <v>149</v>
      </c>
      <c r="E11" s="19" t="s">
        <v>118</v>
      </c>
      <c r="F11" s="19" t="s">
        <v>151</v>
      </c>
      <c r="G11" s="20">
        <v>45310.743055555555</v>
      </c>
      <c r="H11" s="19">
        <v>61</v>
      </c>
      <c r="I11" s="31" t="s">
        <v>160</v>
      </c>
      <c r="J11" s="31" t="s">
        <v>166</v>
      </c>
      <c r="K11" s="19" t="s">
        <v>165</v>
      </c>
      <c r="L11" s="21"/>
      <c r="M11" s="21">
        <v>1.164048960300222</v>
      </c>
      <c r="N11" s="21" t="s">
        <v>119</v>
      </c>
      <c r="O11" s="21" t="s">
        <v>89</v>
      </c>
      <c r="P11" s="21" t="s">
        <v>88</v>
      </c>
      <c r="Q11" s="21" t="s">
        <v>119</v>
      </c>
      <c r="R11" s="21" t="s">
        <v>88</v>
      </c>
      <c r="S11" s="21" t="s">
        <v>92</v>
      </c>
      <c r="T11" s="21"/>
      <c r="U11" s="21" t="s">
        <v>90</v>
      </c>
      <c r="V11" s="21" t="s">
        <v>89</v>
      </c>
      <c r="W11" s="21"/>
      <c r="X11" s="21" t="s">
        <v>89</v>
      </c>
      <c r="Y11" s="45" t="s">
        <v>119</v>
      </c>
      <c r="Z11" s="21" t="s">
        <v>90</v>
      </c>
      <c r="AA11" s="21" t="s">
        <v>88</v>
      </c>
      <c r="AB11" s="21" t="s">
        <v>90</v>
      </c>
      <c r="AC11" s="21"/>
      <c r="AD11" s="21"/>
      <c r="AE11" s="21"/>
      <c r="AF11" s="21" t="s">
        <v>88</v>
      </c>
      <c r="AG11" s="21"/>
      <c r="AH11" s="21" t="s">
        <v>90</v>
      </c>
    </row>
    <row r="12" spans="1:34" x14ac:dyDescent="0.35">
      <c r="A12" s="12" t="s">
        <v>262</v>
      </c>
      <c r="B12" s="19" t="s">
        <v>148</v>
      </c>
      <c r="C12" s="19" t="s">
        <v>115</v>
      </c>
      <c r="D12" s="19" t="s">
        <v>149</v>
      </c>
      <c r="E12" s="19" t="s">
        <v>118</v>
      </c>
      <c r="F12" s="19" t="s">
        <v>151</v>
      </c>
      <c r="G12" s="20">
        <v>45266.739583333328</v>
      </c>
      <c r="H12" s="19">
        <v>65</v>
      </c>
      <c r="I12" s="25" t="s">
        <v>160</v>
      </c>
      <c r="J12" s="25" t="s">
        <v>161</v>
      </c>
      <c r="K12" s="19" t="s">
        <v>162</v>
      </c>
      <c r="L12" s="21"/>
      <c r="M12" s="21">
        <v>1.081967799670664</v>
      </c>
      <c r="N12" s="21" t="s">
        <v>119</v>
      </c>
      <c r="O12" s="21" t="s">
        <v>89</v>
      </c>
      <c r="Q12" s="21">
        <v>5.1790872382736204</v>
      </c>
      <c r="R12" s="21" t="s">
        <v>88</v>
      </c>
      <c r="S12" s="21" t="s">
        <v>92</v>
      </c>
      <c r="T12" s="21"/>
      <c r="U12" s="21" t="s">
        <v>90</v>
      </c>
      <c r="V12" s="21" t="s">
        <v>89</v>
      </c>
      <c r="W12" s="21"/>
      <c r="X12" s="21" t="s">
        <v>89</v>
      </c>
      <c r="Y12" s="28" t="s">
        <v>119</v>
      </c>
      <c r="Z12" s="21" t="s">
        <v>90</v>
      </c>
      <c r="AA12" s="21" t="s">
        <v>88</v>
      </c>
      <c r="AB12" s="21" t="s">
        <v>90</v>
      </c>
      <c r="AC12" s="21"/>
      <c r="AD12" s="21"/>
      <c r="AE12" s="21"/>
      <c r="AF12" s="21" t="s">
        <v>88</v>
      </c>
      <c r="AG12" s="21"/>
      <c r="AH12" s="21" t="s">
        <v>90</v>
      </c>
    </row>
    <row r="15" spans="1:34" x14ac:dyDescent="0.35">
      <c r="B15" t="s">
        <v>482</v>
      </c>
    </row>
  </sheetData>
  <phoneticPr fontId="3" type="noConversion"/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1D34-BEDE-44C7-B114-1CE27C83853E}">
  <dimension ref="A1:AK57"/>
  <sheetViews>
    <sheetView tabSelected="1" zoomScale="115" zoomScaleNormal="115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G20" sqref="G20"/>
    </sheetView>
  </sheetViews>
  <sheetFormatPr baseColWidth="10" defaultRowHeight="14.5" x14ac:dyDescent="0.35"/>
  <cols>
    <col min="2" max="2" width="11.54296875" bestFit="1" customWidth="1"/>
    <col min="7" max="8" width="11.54296875" bestFit="1" customWidth="1"/>
    <col min="9" max="10" width="18.81640625" bestFit="1" customWidth="1"/>
    <col min="13" max="13" width="20" customWidth="1"/>
    <col min="14" max="14" width="21.1796875" customWidth="1"/>
    <col min="15" max="17" width="19.453125" customWidth="1"/>
    <col min="18" max="18" width="10" customWidth="1"/>
    <col min="19" max="19" width="8.1796875" customWidth="1"/>
    <col min="20" max="20" width="7.81640625" customWidth="1"/>
    <col min="21" max="21" width="11" bestFit="1" customWidth="1"/>
    <col min="22" max="22" width="6.81640625" customWidth="1"/>
    <col min="23" max="23" width="16.453125" customWidth="1"/>
    <col min="24" max="24" width="13.1796875" customWidth="1"/>
    <col min="25" max="25" width="9" customWidth="1"/>
    <col min="26" max="26" width="19.7265625" customWidth="1"/>
    <col min="27" max="27" width="11.7265625" customWidth="1"/>
    <col min="28" max="28" width="10" bestFit="1" customWidth="1"/>
    <col min="29" max="29" width="12.1796875" bestFit="1" customWidth="1"/>
    <col min="30" max="30" width="13" bestFit="1" customWidth="1"/>
    <col min="31" max="31" width="9.1796875" customWidth="1"/>
    <col min="32" max="32" width="14.54296875" bestFit="1" customWidth="1"/>
    <col min="33" max="33" width="8" customWidth="1"/>
    <col min="34" max="34" width="14" customWidth="1"/>
    <col min="35" max="35" width="9.453125" bestFit="1" customWidth="1"/>
    <col min="36" max="36" width="7.453125" customWidth="1"/>
  </cols>
  <sheetData>
    <row r="1" spans="1:37" s="10" customFormat="1" ht="47.25" customHeight="1" x14ac:dyDescent="0.35">
      <c r="A1" s="14" t="s">
        <v>418</v>
      </c>
      <c r="B1" s="16" t="s">
        <v>96</v>
      </c>
      <c r="C1" s="15" t="s">
        <v>97</v>
      </c>
      <c r="D1" s="15" t="s">
        <v>98</v>
      </c>
      <c r="E1" s="15" t="s">
        <v>99</v>
      </c>
      <c r="F1" s="15" t="s">
        <v>475</v>
      </c>
      <c r="G1" s="16" t="s">
        <v>100</v>
      </c>
      <c r="H1" s="16" t="s">
        <v>101</v>
      </c>
      <c r="I1" s="15" t="s">
        <v>102</v>
      </c>
      <c r="J1" s="15" t="s">
        <v>103</v>
      </c>
      <c r="K1" s="17" t="s">
        <v>104</v>
      </c>
      <c r="L1" s="17" t="s">
        <v>49</v>
      </c>
      <c r="M1" s="18" t="s">
        <v>131</v>
      </c>
      <c r="N1" s="18" t="s">
        <v>132</v>
      </c>
      <c r="O1" s="18" t="s">
        <v>133</v>
      </c>
      <c r="P1" s="18" t="s">
        <v>134</v>
      </c>
      <c r="Q1" s="18" t="s">
        <v>417</v>
      </c>
      <c r="R1" s="18" t="s">
        <v>48</v>
      </c>
      <c r="S1" s="18" t="s">
        <v>69</v>
      </c>
      <c r="T1" s="18" t="s">
        <v>63</v>
      </c>
      <c r="U1" s="18" t="s">
        <v>16</v>
      </c>
      <c r="V1" s="18" t="s">
        <v>3</v>
      </c>
      <c r="W1" s="18" t="s">
        <v>74</v>
      </c>
      <c r="X1" s="18" t="s">
        <v>6</v>
      </c>
      <c r="Y1" s="18" t="s">
        <v>54</v>
      </c>
      <c r="Z1" s="18" t="s">
        <v>18</v>
      </c>
      <c r="AA1" s="18" t="s">
        <v>0</v>
      </c>
      <c r="AB1" s="18" t="s">
        <v>45</v>
      </c>
      <c r="AC1" s="18" t="s">
        <v>62</v>
      </c>
      <c r="AD1" s="18" t="s">
        <v>68</v>
      </c>
      <c r="AE1" s="18" t="s">
        <v>4</v>
      </c>
      <c r="AF1" s="18" t="s">
        <v>46</v>
      </c>
      <c r="AG1" s="18" t="s">
        <v>42</v>
      </c>
      <c r="AH1" s="10" t="s">
        <v>66</v>
      </c>
      <c r="AI1" s="18" t="s">
        <v>51</v>
      </c>
      <c r="AJ1" s="18" t="s">
        <v>39</v>
      </c>
      <c r="AK1" s="18" t="s">
        <v>8</v>
      </c>
    </row>
    <row r="2" spans="1:37" x14ac:dyDescent="0.35">
      <c r="A2" s="11" t="s">
        <v>369</v>
      </c>
      <c r="B2" s="19" t="s">
        <v>423</v>
      </c>
      <c r="C2" s="19" t="s">
        <v>115</v>
      </c>
      <c r="D2" s="19" t="s">
        <v>106</v>
      </c>
      <c r="E2" s="19" t="s">
        <v>118</v>
      </c>
      <c r="F2" s="19">
        <v>6</v>
      </c>
      <c r="G2" s="20">
        <v>45288</v>
      </c>
      <c r="H2" s="19"/>
      <c r="I2" s="24"/>
      <c r="J2" s="25"/>
      <c r="K2" s="19"/>
      <c r="L2" s="21">
        <f>2*1.9959</f>
        <v>3.9918</v>
      </c>
      <c r="M2" s="21" t="s">
        <v>88</v>
      </c>
      <c r="N2" s="21" t="s">
        <v>88</v>
      </c>
      <c r="O2" s="21" t="s">
        <v>119</v>
      </c>
      <c r="P2" s="21"/>
      <c r="Q2" s="21"/>
      <c r="R2" s="21" t="s">
        <v>89</v>
      </c>
      <c r="S2" s="21" t="s">
        <v>90</v>
      </c>
      <c r="T2" s="21"/>
      <c r="U2" s="21">
        <f>2*3.6125</f>
        <v>7.2249999999999996</v>
      </c>
      <c r="V2" s="21">
        <f>2*0.5434</f>
        <v>1.0868</v>
      </c>
      <c r="W2" s="21" t="s">
        <v>92</v>
      </c>
      <c r="X2" s="21" t="s">
        <v>89</v>
      </c>
      <c r="Y2" s="21" t="s">
        <v>90</v>
      </c>
      <c r="Z2" s="21" t="s">
        <v>90</v>
      </c>
      <c r="AA2" s="21" t="s">
        <v>89</v>
      </c>
      <c r="AB2" s="21"/>
      <c r="AC2" s="21" t="s">
        <v>89</v>
      </c>
      <c r="AD2" s="28" t="s">
        <v>119</v>
      </c>
      <c r="AE2" s="21" t="s">
        <v>90</v>
      </c>
      <c r="AF2" s="21" t="s">
        <v>88</v>
      </c>
      <c r="AG2" s="21" t="s">
        <v>90</v>
      </c>
      <c r="AH2" s="21"/>
      <c r="AI2" s="21" t="s">
        <v>88</v>
      </c>
      <c r="AJ2" s="21" t="s">
        <v>89</v>
      </c>
      <c r="AK2" s="36" t="s">
        <v>90</v>
      </c>
    </row>
    <row r="3" spans="1:37" x14ac:dyDescent="0.35">
      <c r="A3" s="11" t="s">
        <v>370</v>
      </c>
      <c r="B3" s="19" t="s">
        <v>424</v>
      </c>
      <c r="C3" s="19" t="s">
        <v>115</v>
      </c>
      <c r="D3" s="19" t="s">
        <v>108</v>
      </c>
      <c r="E3" s="19" t="s">
        <v>109</v>
      </c>
      <c r="F3" s="19">
        <v>0.5</v>
      </c>
      <c r="G3" s="20">
        <v>45288</v>
      </c>
      <c r="H3" s="19"/>
      <c r="I3" s="31"/>
      <c r="J3" s="31"/>
      <c r="K3" s="19"/>
      <c r="L3" s="19"/>
      <c r="M3" s="21"/>
      <c r="N3" s="21" t="s">
        <v>88</v>
      </c>
      <c r="O3" s="21" t="s">
        <v>119</v>
      </c>
      <c r="P3" s="21"/>
      <c r="Q3" s="21"/>
      <c r="R3" s="21" t="s">
        <v>89</v>
      </c>
      <c r="S3" s="21"/>
      <c r="T3" s="21"/>
      <c r="U3" s="21">
        <f>2*2.8191</f>
        <v>5.6382000000000003</v>
      </c>
      <c r="V3" s="21" t="s">
        <v>88</v>
      </c>
      <c r="W3" s="21" t="s">
        <v>92</v>
      </c>
      <c r="X3" s="21" t="s">
        <v>89</v>
      </c>
      <c r="Y3" s="21" t="s">
        <v>90</v>
      </c>
      <c r="Z3" s="21" t="s">
        <v>90</v>
      </c>
      <c r="AA3" s="21" t="s">
        <v>89</v>
      </c>
      <c r="AB3" s="21"/>
      <c r="AC3" s="21" t="s">
        <v>89</v>
      </c>
      <c r="AD3" s="45" t="s">
        <v>119</v>
      </c>
      <c r="AE3" s="21" t="s">
        <v>90</v>
      </c>
      <c r="AF3" s="21" t="s">
        <v>88</v>
      </c>
      <c r="AG3" s="21" t="s">
        <v>90</v>
      </c>
      <c r="AH3" s="21"/>
      <c r="AI3" s="21" t="s">
        <v>88</v>
      </c>
      <c r="AJ3" s="21" t="s">
        <v>89</v>
      </c>
      <c r="AK3" s="36" t="s">
        <v>90</v>
      </c>
    </row>
    <row r="4" spans="1:37" x14ac:dyDescent="0.35">
      <c r="A4" s="11" t="s">
        <v>371</v>
      </c>
      <c r="B4" s="19" t="s">
        <v>425</v>
      </c>
      <c r="C4" s="19" t="s">
        <v>116</v>
      </c>
      <c r="D4" s="19" t="s">
        <v>106</v>
      </c>
      <c r="E4" s="19" t="s">
        <v>118</v>
      </c>
      <c r="F4" s="19">
        <v>3</v>
      </c>
      <c r="G4" s="20">
        <v>45268</v>
      </c>
      <c r="H4" s="19"/>
      <c r="I4" s="25"/>
      <c r="J4" s="25"/>
      <c r="K4" s="19"/>
      <c r="L4" s="19"/>
      <c r="M4" s="21"/>
      <c r="N4" s="21"/>
      <c r="O4" s="21"/>
      <c r="P4" s="21"/>
      <c r="Q4" s="21"/>
      <c r="R4" s="21" t="s">
        <v>89</v>
      </c>
      <c r="S4" s="21" t="s">
        <v>90</v>
      </c>
      <c r="T4" s="21"/>
      <c r="U4" s="21">
        <f>2*3.7199</f>
        <v>7.4398</v>
      </c>
      <c r="V4" s="21" t="s">
        <v>88</v>
      </c>
      <c r="W4" s="21" t="s">
        <v>92</v>
      </c>
      <c r="X4" s="21" t="s">
        <v>89</v>
      </c>
      <c r="Y4" s="21" t="s">
        <v>90</v>
      </c>
      <c r="Z4" s="21" t="s">
        <v>90</v>
      </c>
      <c r="AA4" s="21" t="s">
        <v>89</v>
      </c>
      <c r="AB4" s="21"/>
      <c r="AC4" s="21" t="s">
        <v>89</v>
      </c>
      <c r="AD4" s="28" t="s">
        <v>119</v>
      </c>
      <c r="AE4" s="21" t="s">
        <v>90</v>
      </c>
      <c r="AF4" s="21" t="s">
        <v>88</v>
      </c>
      <c r="AG4" s="21" t="s">
        <v>90</v>
      </c>
      <c r="AH4" s="21"/>
      <c r="AI4" s="21" t="s">
        <v>88</v>
      </c>
      <c r="AJ4" s="21" t="s">
        <v>89</v>
      </c>
      <c r="AK4" s="36" t="s">
        <v>90</v>
      </c>
    </row>
    <row r="5" spans="1:37" x14ac:dyDescent="0.35">
      <c r="A5" s="11" t="s">
        <v>372</v>
      </c>
      <c r="B5" s="19" t="s">
        <v>426</v>
      </c>
      <c r="C5" s="19" t="s">
        <v>115</v>
      </c>
      <c r="D5" s="19" t="s">
        <v>106</v>
      </c>
      <c r="E5" s="19" t="s">
        <v>109</v>
      </c>
      <c r="F5" s="19">
        <v>0.5</v>
      </c>
      <c r="G5" s="20">
        <v>45267</v>
      </c>
      <c r="H5" s="19"/>
      <c r="I5" s="22"/>
      <c r="J5" s="22"/>
      <c r="K5" s="19"/>
      <c r="L5" s="19"/>
      <c r="M5" s="21"/>
      <c r="N5" s="21" t="s">
        <v>88</v>
      </c>
      <c r="O5" s="21" t="s">
        <v>119</v>
      </c>
      <c r="P5" s="21"/>
      <c r="Q5" s="21"/>
      <c r="R5" s="21" t="s">
        <v>89</v>
      </c>
      <c r="S5" s="21"/>
      <c r="T5" s="21"/>
      <c r="U5" s="21">
        <f>2*1.1248</f>
        <v>2.2496</v>
      </c>
      <c r="V5" s="21" t="s">
        <v>88</v>
      </c>
      <c r="W5" s="21" t="s">
        <v>92</v>
      </c>
      <c r="X5" s="21"/>
      <c r="Y5" s="21" t="s">
        <v>90</v>
      </c>
      <c r="Z5" s="21" t="s">
        <v>90</v>
      </c>
      <c r="AA5" s="21" t="s">
        <v>89</v>
      </c>
      <c r="AB5" s="21"/>
      <c r="AC5" s="21" t="s">
        <v>89</v>
      </c>
      <c r="AD5" s="45" t="s">
        <v>119</v>
      </c>
      <c r="AE5" s="21" t="s">
        <v>90</v>
      </c>
      <c r="AF5" s="21" t="s">
        <v>88</v>
      </c>
      <c r="AG5" s="21" t="s">
        <v>90</v>
      </c>
      <c r="AH5" s="21"/>
      <c r="AI5" s="21">
        <f>2*1.0099</f>
        <v>2.0198</v>
      </c>
      <c r="AJ5" s="21" t="s">
        <v>89</v>
      </c>
      <c r="AK5" s="36" t="s">
        <v>90</v>
      </c>
    </row>
    <row r="6" spans="1:37" x14ac:dyDescent="0.35">
      <c r="A6" s="11" t="s">
        <v>373</v>
      </c>
      <c r="B6" s="19" t="s">
        <v>427</v>
      </c>
      <c r="C6" s="19" t="s">
        <v>115</v>
      </c>
      <c r="D6" s="19" t="s">
        <v>108</v>
      </c>
      <c r="E6" s="19" t="s">
        <v>109</v>
      </c>
      <c r="F6" s="19">
        <v>0.5</v>
      </c>
      <c r="G6" s="20">
        <v>45288</v>
      </c>
      <c r="H6" s="19"/>
      <c r="I6" s="25"/>
      <c r="J6" s="25"/>
      <c r="K6" s="19"/>
      <c r="L6" s="19"/>
      <c r="M6" s="21"/>
      <c r="N6" s="21" t="s">
        <v>88</v>
      </c>
      <c r="O6" s="21" t="s">
        <v>119</v>
      </c>
      <c r="P6" s="21"/>
      <c r="Q6" s="21"/>
      <c r="R6" s="21" t="s">
        <v>89</v>
      </c>
      <c r="S6" s="21"/>
      <c r="T6" s="21"/>
      <c r="U6" s="21">
        <f>2*1.2883</f>
        <v>2.5766</v>
      </c>
      <c r="V6" s="21" t="s">
        <v>88</v>
      </c>
      <c r="W6" s="21" t="s">
        <v>92</v>
      </c>
      <c r="X6" s="21"/>
      <c r="Y6" s="21" t="s">
        <v>90</v>
      </c>
      <c r="Z6" s="21" t="s">
        <v>90</v>
      </c>
      <c r="AA6" s="21" t="s">
        <v>89</v>
      </c>
      <c r="AB6" s="21"/>
      <c r="AC6" s="21" t="s">
        <v>89</v>
      </c>
      <c r="AD6" s="28" t="s">
        <v>119</v>
      </c>
      <c r="AE6" s="21" t="s">
        <v>90</v>
      </c>
      <c r="AF6" s="21" t="s">
        <v>88</v>
      </c>
      <c r="AG6" s="21" t="s">
        <v>90</v>
      </c>
      <c r="AH6" s="21"/>
      <c r="AI6" s="21" t="s">
        <v>88</v>
      </c>
      <c r="AJ6" s="21" t="s">
        <v>89</v>
      </c>
      <c r="AK6" s="36" t="s">
        <v>90</v>
      </c>
    </row>
    <row r="7" spans="1:37" x14ac:dyDescent="0.35">
      <c r="A7" s="11" t="s">
        <v>374</v>
      </c>
      <c r="B7" s="19" t="s">
        <v>428</v>
      </c>
      <c r="C7" s="19" t="s">
        <v>115</v>
      </c>
      <c r="D7" s="19" t="s">
        <v>106</v>
      </c>
      <c r="E7" s="19" t="s">
        <v>118</v>
      </c>
      <c r="F7" s="19">
        <v>10</v>
      </c>
      <c r="G7" s="20">
        <v>45288</v>
      </c>
      <c r="H7" s="19"/>
      <c r="I7" s="31"/>
      <c r="J7" s="31"/>
      <c r="K7" s="19"/>
      <c r="L7" s="19"/>
      <c r="M7" s="21" t="s">
        <v>88</v>
      </c>
      <c r="N7" s="21"/>
      <c r="O7" s="21" t="s">
        <v>119</v>
      </c>
      <c r="P7" s="21"/>
      <c r="Q7" s="21"/>
      <c r="R7" s="21" t="s">
        <v>89</v>
      </c>
      <c r="S7" s="21" t="s">
        <v>90</v>
      </c>
      <c r="T7" s="21"/>
      <c r="U7" s="21">
        <f>2*2.6833</f>
        <v>5.3666</v>
      </c>
      <c r="V7" s="21" t="s">
        <v>88</v>
      </c>
      <c r="W7" s="21" t="s">
        <v>92</v>
      </c>
      <c r="X7" s="21" t="s">
        <v>89</v>
      </c>
      <c r="Y7" s="21" t="s">
        <v>90</v>
      </c>
      <c r="Z7" s="21" t="s">
        <v>90</v>
      </c>
      <c r="AA7" s="21" t="s">
        <v>89</v>
      </c>
      <c r="AB7" s="21"/>
      <c r="AC7" s="21" t="s">
        <v>89</v>
      </c>
      <c r="AD7" s="45" t="s">
        <v>119</v>
      </c>
      <c r="AE7" s="21" t="s">
        <v>90</v>
      </c>
      <c r="AF7" s="21" t="s">
        <v>88</v>
      </c>
      <c r="AG7" s="21" t="s">
        <v>90</v>
      </c>
      <c r="AH7" s="21"/>
      <c r="AI7" s="21" t="s">
        <v>88</v>
      </c>
      <c r="AJ7" s="21" t="s">
        <v>89</v>
      </c>
      <c r="AK7" s="36" t="s">
        <v>90</v>
      </c>
    </row>
    <row r="8" spans="1:37" x14ac:dyDescent="0.35">
      <c r="A8" s="11" t="s">
        <v>375</v>
      </c>
      <c r="B8" s="19" t="s">
        <v>429</v>
      </c>
      <c r="C8" s="19" t="s">
        <v>115</v>
      </c>
      <c r="D8" s="19" t="s">
        <v>108</v>
      </c>
      <c r="E8" s="19" t="s">
        <v>109</v>
      </c>
      <c r="F8" s="19">
        <v>0.5</v>
      </c>
      <c r="G8" s="20">
        <v>45302</v>
      </c>
      <c r="H8" s="26"/>
      <c r="I8" s="25"/>
      <c r="J8" s="25"/>
      <c r="K8" s="19"/>
      <c r="L8" s="19"/>
      <c r="M8" s="21"/>
      <c r="N8" s="21" t="s">
        <v>88</v>
      </c>
      <c r="O8" s="21" t="s">
        <v>119</v>
      </c>
      <c r="P8" s="21"/>
      <c r="Q8" s="21"/>
      <c r="R8" s="21" t="s">
        <v>89</v>
      </c>
      <c r="S8" s="21"/>
      <c r="T8" s="21"/>
      <c r="U8" s="21" t="s">
        <v>119</v>
      </c>
      <c r="V8" s="21" t="s">
        <v>88</v>
      </c>
      <c r="W8" s="21" t="s">
        <v>92</v>
      </c>
      <c r="X8" s="21">
        <f>2*16.7357</f>
        <v>33.471400000000003</v>
      </c>
      <c r="Y8" s="21" t="s">
        <v>90</v>
      </c>
      <c r="Z8" s="21" t="s">
        <v>90</v>
      </c>
      <c r="AA8" s="21" t="s">
        <v>89</v>
      </c>
      <c r="AB8" s="21"/>
      <c r="AC8" s="21" t="s">
        <v>89</v>
      </c>
      <c r="AD8" s="28" t="s">
        <v>119</v>
      </c>
      <c r="AE8" s="21" t="s">
        <v>90</v>
      </c>
      <c r="AF8" s="21" t="s">
        <v>88</v>
      </c>
      <c r="AG8" s="21" t="s">
        <v>90</v>
      </c>
      <c r="AH8" s="21"/>
      <c r="AI8" s="21" t="s">
        <v>88</v>
      </c>
      <c r="AJ8" s="21" t="s">
        <v>89</v>
      </c>
      <c r="AK8" s="36" t="s">
        <v>90</v>
      </c>
    </row>
    <row r="9" spans="1:37" x14ac:dyDescent="0.35">
      <c r="A9" s="11" t="s">
        <v>376</v>
      </c>
      <c r="B9" s="19" t="s">
        <v>430</v>
      </c>
      <c r="C9" s="19" t="s">
        <v>115</v>
      </c>
      <c r="D9" s="19" t="s">
        <v>108</v>
      </c>
      <c r="E9" s="19" t="s">
        <v>109</v>
      </c>
      <c r="F9" s="19">
        <v>0.5</v>
      </c>
      <c r="G9" s="20">
        <v>45268</v>
      </c>
      <c r="H9" s="19"/>
      <c r="I9" s="22"/>
      <c r="J9" s="22"/>
      <c r="K9" s="19"/>
      <c r="L9" s="19"/>
      <c r="M9" s="21" t="s">
        <v>88</v>
      </c>
      <c r="N9" s="21" t="s">
        <v>88</v>
      </c>
      <c r="O9" s="21" t="s">
        <v>119</v>
      </c>
      <c r="P9" s="21"/>
      <c r="Q9" s="21" t="s">
        <v>119</v>
      </c>
      <c r="R9" s="21" t="s">
        <v>89</v>
      </c>
      <c r="S9" s="21" t="s">
        <v>90</v>
      </c>
      <c r="T9" s="21"/>
      <c r="U9" s="21">
        <f>2*1.047</f>
        <v>2.0939999999999999</v>
      </c>
      <c r="V9" s="21">
        <f>2*0.7412</f>
        <v>1.4823999999999999</v>
      </c>
      <c r="W9" s="21" t="s">
        <v>92</v>
      </c>
      <c r="X9" s="21" t="s">
        <v>89</v>
      </c>
      <c r="Y9" s="21" t="s">
        <v>90</v>
      </c>
      <c r="Z9" s="21" t="s">
        <v>90</v>
      </c>
      <c r="AA9" s="21" t="s">
        <v>89</v>
      </c>
      <c r="AB9" s="21"/>
      <c r="AC9" s="21" t="s">
        <v>89</v>
      </c>
      <c r="AD9" s="45" t="s">
        <v>119</v>
      </c>
      <c r="AE9" s="21" t="s">
        <v>90</v>
      </c>
      <c r="AF9" s="21" t="s">
        <v>88</v>
      </c>
      <c r="AG9" s="21" t="s">
        <v>90</v>
      </c>
      <c r="AH9" s="21"/>
      <c r="AI9" s="21" t="s">
        <v>88</v>
      </c>
      <c r="AJ9" s="21"/>
      <c r="AK9" s="36" t="s">
        <v>90</v>
      </c>
    </row>
    <row r="10" spans="1:37" x14ac:dyDescent="0.35">
      <c r="A10" s="11" t="s">
        <v>377</v>
      </c>
      <c r="B10" s="19" t="s">
        <v>431</v>
      </c>
      <c r="C10" s="19" t="s">
        <v>115</v>
      </c>
      <c r="D10" s="19" t="s">
        <v>108</v>
      </c>
      <c r="E10" s="19" t="s">
        <v>109</v>
      </c>
      <c r="F10" s="19">
        <v>0.5</v>
      </c>
      <c r="G10" s="20">
        <v>45254</v>
      </c>
      <c r="H10" s="19"/>
      <c r="I10" s="25"/>
      <c r="J10" s="25"/>
      <c r="K10" s="19"/>
      <c r="L10" s="19"/>
      <c r="M10" s="21" t="s">
        <v>88</v>
      </c>
      <c r="N10" s="21" t="s">
        <v>88</v>
      </c>
      <c r="O10" s="21" t="s">
        <v>119</v>
      </c>
      <c r="P10" s="21" t="s">
        <v>88</v>
      </c>
      <c r="Q10" s="21" t="s">
        <v>119</v>
      </c>
      <c r="R10" s="21" t="s">
        <v>89</v>
      </c>
      <c r="S10" s="21"/>
      <c r="T10" s="21"/>
      <c r="U10" s="21" t="s">
        <v>119</v>
      </c>
      <c r="V10" s="21">
        <f>2*0.5842</f>
        <v>1.1684000000000001</v>
      </c>
      <c r="W10" s="21">
        <f>2*16.88</f>
        <v>33.76</v>
      </c>
      <c r="X10" s="21"/>
      <c r="Y10" s="21" t="s">
        <v>90</v>
      </c>
      <c r="Z10" s="21" t="s">
        <v>90</v>
      </c>
      <c r="AA10" s="21" t="s">
        <v>89</v>
      </c>
      <c r="AB10" s="21"/>
      <c r="AC10" s="21" t="s">
        <v>89</v>
      </c>
      <c r="AD10" s="28" t="s">
        <v>119</v>
      </c>
      <c r="AE10" s="21" t="s">
        <v>90</v>
      </c>
      <c r="AF10" s="21" t="s">
        <v>88</v>
      </c>
      <c r="AG10" s="21" t="s">
        <v>90</v>
      </c>
      <c r="AH10" s="21"/>
      <c r="AI10" s="21" t="s">
        <v>88</v>
      </c>
      <c r="AJ10" s="21" t="s">
        <v>89</v>
      </c>
      <c r="AK10" s="36" t="s">
        <v>90</v>
      </c>
    </row>
    <row r="11" spans="1:37" x14ac:dyDescent="0.35">
      <c r="A11" s="11" t="s">
        <v>378</v>
      </c>
      <c r="B11" s="19" t="s">
        <v>432</v>
      </c>
      <c r="C11" s="19" t="s">
        <v>116</v>
      </c>
      <c r="D11" s="19" t="s">
        <v>108</v>
      </c>
      <c r="E11" s="19" t="s">
        <v>109</v>
      </c>
      <c r="F11" s="19">
        <v>0.5</v>
      </c>
      <c r="G11" s="20">
        <v>45268</v>
      </c>
      <c r="H11" s="19"/>
      <c r="I11" s="31"/>
      <c r="J11" s="31"/>
      <c r="K11" s="19"/>
      <c r="L11" s="19"/>
      <c r="M11" s="21"/>
      <c r="N11" s="21"/>
      <c r="O11" s="21"/>
      <c r="P11" s="21"/>
      <c r="Q11" s="21" t="s">
        <v>119</v>
      </c>
      <c r="R11" s="21" t="s">
        <v>89</v>
      </c>
      <c r="S11" s="21"/>
      <c r="T11" s="21"/>
      <c r="U11" s="21">
        <f>2*1.6418</f>
        <v>3.2835999999999999</v>
      </c>
      <c r="V11" s="21" t="s">
        <v>88</v>
      </c>
      <c r="W11" s="21" t="s">
        <v>92</v>
      </c>
      <c r="X11" s="21" t="s">
        <v>89</v>
      </c>
      <c r="Y11" s="21" t="s">
        <v>90</v>
      </c>
      <c r="Z11" s="21" t="s">
        <v>90</v>
      </c>
      <c r="AA11" s="21" t="s">
        <v>89</v>
      </c>
      <c r="AB11" s="21"/>
      <c r="AC11" s="21" t="s">
        <v>89</v>
      </c>
      <c r="AD11" s="45" t="s">
        <v>119</v>
      </c>
      <c r="AE11" s="21" t="s">
        <v>90</v>
      </c>
      <c r="AF11" s="21" t="s">
        <v>88</v>
      </c>
      <c r="AG11" s="21" t="s">
        <v>90</v>
      </c>
      <c r="AH11" s="21"/>
      <c r="AI11" s="21" t="s">
        <v>88</v>
      </c>
      <c r="AJ11" s="21" t="s">
        <v>89</v>
      </c>
      <c r="AK11" s="36" t="s">
        <v>90</v>
      </c>
    </row>
    <row r="12" spans="1:37" x14ac:dyDescent="0.35">
      <c r="A12" s="11" t="s">
        <v>379</v>
      </c>
      <c r="B12" s="19" t="s">
        <v>433</v>
      </c>
      <c r="C12" s="19" t="s">
        <v>116</v>
      </c>
      <c r="D12" s="19" t="s">
        <v>106</v>
      </c>
      <c r="E12" s="19" t="s">
        <v>109</v>
      </c>
      <c r="F12" s="19">
        <v>0.5</v>
      </c>
      <c r="G12" s="20">
        <v>45268</v>
      </c>
      <c r="H12" s="19"/>
      <c r="I12" s="25"/>
      <c r="J12" s="25"/>
      <c r="K12" s="19"/>
      <c r="L12" s="19"/>
      <c r="M12" s="21"/>
      <c r="N12" s="21"/>
      <c r="O12" s="21"/>
      <c r="P12" s="21"/>
      <c r="Q12" s="21"/>
      <c r="R12" s="21" t="s">
        <v>89</v>
      </c>
      <c r="S12" s="21"/>
      <c r="T12" s="21"/>
      <c r="U12" s="21" t="s">
        <v>119</v>
      </c>
      <c r="V12" s="21" t="s">
        <v>88</v>
      </c>
      <c r="W12" s="21">
        <f>2*188.2923</f>
        <v>376.58460000000002</v>
      </c>
      <c r="X12" s="21" t="s">
        <v>89</v>
      </c>
      <c r="Y12" s="21" t="s">
        <v>90</v>
      </c>
      <c r="Z12" s="21" t="s">
        <v>90</v>
      </c>
      <c r="AA12" s="21" t="s">
        <v>89</v>
      </c>
      <c r="AB12" s="21"/>
      <c r="AC12" s="21" t="s">
        <v>89</v>
      </c>
      <c r="AD12" s="28" t="s">
        <v>119</v>
      </c>
      <c r="AE12" s="21" t="s">
        <v>90</v>
      </c>
      <c r="AF12" s="21" t="s">
        <v>88</v>
      </c>
      <c r="AG12" s="21" t="s">
        <v>90</v>
      </c>
      <c r="AH12" s="21"/>
      <c r="AI12" s="21" t="s">
        <v>88</v>
      </c>
      <c r="AJ12" s="21" t="s">
        <v>89</v>
      </c>
      <c r="AK12" s="36" t="s">
        <v>90</v>
      </c>
    </row>
    <row r="13" spans="1:37" x14ac:dyDescent="0.35">
      <c r="A13" s="11" t="s">
        <v>380</v>
      </c>
      <c r="B13" s="19" t="s">
        <v>434</v>
      </c>
      <c r="C13" s="19" t="s">
        <v>115</v>
      </c>
      <c r="D13" s="19" t="s">
        <v>106</v>
      </c>
      <c r="E13" s="19" t="s">
        <v>130</v>
      </c>
      <c r="F13" s="19">
        <v>1</v>
      </c>
      <c r="G13" s="20">
        <v>45302</v>
      </c>
      <c r="H13" s="19"/>
      <c r="I13" s="22"/>
      <c r="J13" s="22"/>
      <c r="K13" s="19"/>
      <c r="L13" s="19"/>
      <c r="M13" s="21"/>
      <c r="N13" s="21" t="s">
        <v>88</v>
      </c>
      <c r="O13" s="21" t="s">
        <v>119</v>
      </c>
      <c r="P13" s="21"/>
      <c r="Q13" s="21"/>
      <c r="R13" s="21" t="s">
        <v>89</v>
      </c>
      <c r="S13" s="21"/>
      <c r="T13" s="21"/>
      <c r="U13" s="21">
        <f>2*1.3418</f>
        <v>2.6836000000000002</v>
      </c>
      <c r="V13" s="21" t="s">
        <v>88</v>
      </c>
      <c r="W13" s="21" t="s">
        <v>92</v>
      </c>
      <c r="X13" s="21" t="s">
        <v>89</v>
      </c>
      <c r="Y13" s="21" t="s">
        <v>90</v>
      </c>
      <c r="Z13" s="21" t="s">
        <v>90</v>
      </c>
      <c r="AA13" s="21" t="s">
        <v>89</v>
      </c>
      <c r="AB13" s="21"/>
      <c r="AC13" s="21" t="s">
        <v>89</v>
      </c>
      <c r="AD13" s="45" t="s">
        <v>119</v>
      </c>
      <c r="AE13" s="21" t="s">
        <v>90</v>
      </c>
      <c r="AF13" s="21" t="s">
        <v>88</v>
      </c>
      <c r="AG13" s="21" t="s">
        <v>90</v>
      </c>
      <c r="AH13" s="21"/>
      <c r="AI13" s="21" t="s">
        <v>88</v>
      </c>
      <c r="AJ13" s="21" t="s">
        <v>89</v>
      </c>
      <c r="AK13" s="36" t="s">
        <v>90</v>
      </c>
    </row>
    <row r="14" spans="1:37" x14ac:dyDescent="0.35">
      <c r="A14" s="11" t="s">
        <v>381</v>
      </c>
      <c r="B14" s="19" t="s">
        <v>435</v>
      </c>
      <c r="C14" s="19" t="s">
        <v>116</v>
      </c>
      <c r="D14" s="26" t="s">
        <v>106</v>
      </c>
      <c r="E14" s="26" t="s">
        <v>109</v>
      </c>
      <c r="F14" s="19">
        <v>0.5</v>
      </c>
      <c r="G14" s="20">
        <v>45268</v>
      </c>
      <c r="H14" s="26"/>
      <c r="I14" s="25"/>
      <c r="J14" s="25"/>
      <c r="K14" s="19"/>
      <c r="L14" s="19"/>
      <c r="M14" s="21"/>
      <c r="N14" s="21"/>
      <c r="O14" s="21"/>
      <c r="P14" s="21"/>
      <c r="Q14" s="21"/>
      <c r="R14" s="21" t="s">
        <v>89</v>
      </c>
      <c r="S14" s="21"/>
      <c r="T14" s="21"/>
      <c r="U14" s="21">
        <f>2*2.464</f>
        <v>4.9279999999999999</v>
      </c>
      <c r="V14" s="21" t="s">
        <v>88</v>
      </c>
      <c r="W14" s="21" t="s">
        <v>92</v>
      </c>
      <c r="X14" s="21" t="s">
        <v>89</v>
      </c>
      <c r="Y14" s="21" t="s">
        <v>90</v>
      </c>
      <c r="Z14" s="21" t="s">
        <v>90</v>
      </c>
      <c r="AA14" s="21" t="s">
        <v>89</v>
      </c>
      <c r="AB14" s="21"/>
      <c r="AC14" s="21" t="s">
        <v>89</v>
      </c>
      <c r="AD14" s="28" t="s">
        <v>119</v>
      </c>
      <c r="AE14" s="21" t="s">
        <v>90</v>
      </c>
      <c r="AF14" s="21" t="s">
        <v>88</v>
      </c>
      <c r="AG14" s="21">
        <f>2*5.0122</f>
        <v>10.0244</v>
      </c>
      <c r="AH14" s="21"/>
      <c r="AI14" s="21" t="s">
        <v>88</v>
      </c>
      <c r="AJ14" s="21" t="s">
        <v>89</v>
      </c>
      <c r="AK14" s="36" t="s">
        <v>90</v>
      </c>
    </row>
    <row r="15" spans="1:37" x14ac:dyDescent="0.35">
      <c r="A15" s="11" t="s">
        <v>382</v>
      </c>
      <c r="B15" s="19" t="s">
        <v>436</v>
      </c>
      <c r="C15" s="19" t="s">
        <v>115</v>
      </c>
      <c r="D15" s="19" t="s">
        <v>106</v>
      </c>
      <c r="E15" s="19" t="s">
        <v>118</v>
      </c>
      <c r="F15" s="19">
        <v>2</v>
      </c>
      <c r="G15" s="20">
        <v>45268</v>
      </c>
      <c r="H15" s="19"/>
      <c r="I15" s="34"/>
      <c r="J15" s="34"/>
      <c r="K15" s="19"/>
      <c r="L15" s="19"/>
      <c r="M15" s="21" t="s">
        <v>88</v>
      </c>
      <c r="N15" s="21" t="s">
        <v>88</v>
      </c>
      <c r="O15" s="21" t="s">
        <v>119</v>
      </c>
      <c r="P15" s="21"/>
      <c r="Q15" s="21"/>
      <c r="R15" s="21" t="s">
        <v>89</v>
      </c>
      <c r="S15" s="21"/>
      <c r="T15" s="21"/>
      <c r="U15" s="21">
        <f>2*2.1342</f>
        <v>4.2683999999999997</v>
      </c>
      <c r="V15" s="21" t="s">
        <v>88</v>
      </c>
      <c r="W15" s="21">
        <f>2*41.2564</f>
        <v>82.512799999999999</v>
      </c>
      <c r="X15" s="21" t="s">
        <v>89</v>
      </c>
      <c r="Y15" s="21" t="s">
        <v>90</v>
      </c>
      <c r="Z15" s="21" t="s">
        <v>90</v>
      </c>
      <c r="AA15" s="21">
        <f>2*4.1202</f>
        <v>8.2403999999999993</v>
      </c>
      <c r="AB15" s="21" t="s">
        <v>72</v>
      </c>
      <c r="AC15" s="21" t="s">
        <v>89</v>
      </c>
      <c r="AD15" s="45" t="s">
        <v>119</v>
      </c>
      <c r="AE15" s="21" t="s">
        <v>90</v>
      </c>
      <c r="AF15" s="21" t="s">
        <v>88</v>
      </c>
      <c r="AG15" s="21" t="s">
        <v>90</v>
      </c>
      <c r="AH15" s="21"/>
      <c r="AI15" s="21" t="s">
        <v>88</v>
      </c>
      <c r="AJ15" s="21" t="s">
        <v>89</v>
      </c>
      <c r="AK15" s="36" t="s">
        <v>90</v>
      </c>
    </row>
    <row r="16" spans="1:37" x14ac:dyDescent="0.35">
      <c r="A16" s="11" t="s">
        <v>383</v>
      </c>
      <c r="B16" s="19" t="s">
        <v>437</v>
      </c>
      <c r="C16" s="19" t="s">
        <v>115</v>
      </c>
      <c r="D16" s="19" t="s">
        <v>106</v>
      </c>
      <c r="E16" s="19" t="s">
        <v>109</v>
      </c>
      <c r="F16" s="19">
        <v>0.5</v>
      </c>
      <c r="G16" s="20" t="s">
        <v>473</v>
      </c>
      <c r="H16" s="26"/>
      <c r="I16" s="22"/>
      <c r="J16" s="22"/>
      <c r="K16" s="19"/>
      <c r="L16" s="19"/>
      <c r="M16" s="21"/>
      <c r="N16" s="21" t="s">
        <v>88</v>
      </c>
      <c r="O16" s="21" t="s">
        <v>119</v>
      </c>
      <c r="P16" s="21"/>
      <c r="Q16" s="21"/>
      <c r="R16" s="21" t="s">
        <v>89</v>
      </c>
      <c r="S16" s="21"/>
      <c r="T16" s="21"/>
      <c r="U16" s="21" t="s">
        <v>119</v>
      </c>
      <c r="V16" s="21" t="s">
        <v>88</v>
      </c>
      <c r="W16" s="21" t="s">
        <v>92</v>
      </c>
      <c r="X16" s="21" t="s">
        <v>89</v>
      </c>
      <c r="Y16" s="21" t="s">
        <v>90</v>
      </c>
      <c r="Z16" s="21" t="s">
        <v>90</v>
      </c>
      <c r="AA16" s="21" t="s">
        <v>89</v>
      </c>
      <c r="AB16" s="21"/>
      <c r="AC16" s="21" t="s">
        <v>89</v>
      </c>
      <c r="AD16" s="28" t="s">
        <v>119</v>
      </c>
      <c r="AE16" s="21" t="s">
        <v>90</v>
      </c>
      <c r="AF16" s="21" t="s">
        <v>88</v>
      </c>
      <c r="AG16" s="21" t="s">
        <v>90</v>
      </c>
      <c r="AH16" s="21"/>
      <c r="AI16" s="21" t="s">
        <v>88</v>
      </c>
      <c r="AJ16" s="21" t="s">
        <v>89</v>
      </c>
      <c r="AK16" s="36" t="s">
        <v>90</v>
      </c>
    </row>
    <row r="17" spans="1:37" x14ac:dyDescent="0.35">
      <c r="A17" s="11" t="s">
        <v>384</v>
      </c>
      <c r="B17" s="19" t="s">
        <v>438</v>
      </c>
      <c r="C17" s="19" t="s">
        <v>115</v>
      </c>
      <c r="D17" s="19" t="s">
        <v>108</v>
      </c>
      <c r="E17" s="19" t="s">
        <v>109</v>
      </c>
      <c r="F17" s="19">
        <v>0.5</v>
      </c>
      <c r="G17" s="20">
        <v>45260</v>
      </c>
      <c r="H17" s="32"/>
      <c r="I17" s="22"/>
      <c r="J17" s="22"/>
      <c r="K17" s="19"/>
      <c r="L17" s="19"/>
      <c r="M17" s="21" t="s">
        <v>88</v>
      </c>
      <c r="N17" s="21">
        <f>2*0.5268</f>
        <v>1.0536000000000001</v>
      </c>
      <c r="O17" s="21" t="s">
        <v>119</v>
      </c>
      <c r="P17" s="21"/>
      <c r="Q17" s="21"/>
      <c r="R17" s="21" t="s">
        <v>89</v>
      </c>
      <c r="S17" s="21"/>
      <c r="T17" s="21"/>
      <c r="U17" s="21">
        <f>2*1.0404</f>
        <v>2.0808</v>
      </c>
      <c r="V17" s="21">
        <f>2*0.8632</f>
        <v>1.7263999999999999</v>
      </c>
      <c r="W17" s="21" t="s">
        <v>92</v>
      </c>
      <c r="X17" s="21"/>
      <c r="Y17" s="21" t="s">
        <v>90</v>
      </c>
      <c r="Z17" s="21" t="s">
        <v>90</v>
      </c>
      <c r="AA17" s="21" t="s">
        <v>89</v>
      </c>
      <c r="AB17" s="21"/>
      <c r="AC17" s="21" t="s">
        <v>89</v>
      </c>
      <c r="AD17" s="45" t="s">
        <v>119</v>
      </c>
      <c r="AE17" s="21" t="s">
        <v>90</v>
      </c>
      <c r="AF17" s="21" t="s">
        <v>88</v>
      </c>
      <c r="AG17" s="21">
        <f>2*6.4566</f>
        <v>12.9132</v>
      </c>
      <c r="AH17" s="21"/>
      <c r="AI17" s="21" t="s">
        <v>88</v>
      </c>
      <c r="AJ17" s="21" t="s">
        <v>89</v>
      </c>
      <c r="AK17" s="36" t="s">
        <v>90</v>
      </c>
    </row>
    <row r="18" spans="1:37" x14ac:dyDescent="0.35">
      <c r="A18" s="11" t="s">
        <v>385</v>
      </c>
      <c r="B18" s="19" t="s">
        <v>439</v>
      </c>
      <c r="C18" s="19" t="s">
        <v>116</v>
      </c>
      <c r="D18" s="19" t="s">
        <v>108</v>
      </c>
      <c r="E18" s="19" t="s">
        <v>109</v>
      </c>
      <c r="F18" s="19">
        <v>0.5</v>
      </c>
      <c r="G18" s="20">
        <v>45268</v>
      </c>
      <c r="H18" s="19"/>
      <c r="I18" s="22"/>
      <c r="J18" s="22"/>
      <c r="K18" s="19"/>
      <c r="L18" s="19"/>
      <c r="M18" s="21"/>
      <c r="N18" s="21"/>
      <c r="O18" s="21"/>
      <c r="P18" s="21"/>
      <c r="Q18" s="21"/>
      <c r="R18" s="21" t="s">
        <v>89</v>
      </c>
      <c r="S18" s="21"/>
      <c r="T18" s="21"/>
      <c r="U18" s="21" t="s">
        <v>119</v>
      </c>
      <c r="V18" s="21" t="s">
        <v>88</v>
      </c>
      <c r="W18" s="21" t="s">
        <v>92</v>
      </c>
      <c r="X18" s="21" t="s">
        <v>89</v>
      </c>
      <c r="Y18" s="21" t="s">
        <v>90</v>
      </c>
      <c r="Z18" s="21" t="s">
        <v>90</v>
      </c>
      <c r="AA18" s="21" t="s">
        <v>89</v>
      </c>
      <c r="AB18" s="21"/>
      <c r="AC18" s="21" t="s">
        <v>89</v>
      </c>
      <c r="AD18" s="28" t="s">
        <v>119</v>
      </c>
      <c r="AE18" s="21" t="s">
        <v>90</v>
      </c>
      <c r="AF18" s="21" t="s">
        <v>88</v>
      </c>
      <c r="AG18" s="21" t="s">
        <v>90</v>
      </c>
      <c r="AH18" s="21"/>
      <c r="AI18" s="21" t="s">
        <v>88</v>
      </c>
      <c r="AJ18" s="21" t="s">
        <v>89</v>
      </c>
      <c r="AK18" s="36" t="s">
        <v>90</v>
      </c>
    </row>
    <row r="19" spans="1:37" x14ac:dyDescent="0.35">
      <c r="A19" s="11" t="s">
        <v>386</v>
      </c>
      <c r="B19" s="19" t="s">
        <v>440</v>
      </c>
      <c r="C19" s="19" t="s">
        <v>115</v>
      </c>
      <c r="D19" s="19" t="s">
        <v>106</v>
      </c>
      <c r="E19" s="19" t="s">
        <v>109</v>
      </c>
      <c r="F19" s="19">
        <v>0.5</v>
      </c>
      <c r="G19" s="20">
        <v>45261</v>
      </c>
      <c r="H19" s="19"/>
      <c r="I19" s="31"/>
      <c r="J19" s="31"/>
      <c r="K19" s="19"/>
      <c r="L19" s="19"/>
      <c r="M19" s="21"/>
      <c r="N19" s="21" t="s">
        <v>88</v>
      </c>
      <c r="O19" s="21" t="s">
        <v>119</v>
      </c>
      <c r="P19" s="21"/>
      <c r="Q19" s="21" t="s">
        <v>119</v>
      </c>
      <c r="R19" s="21" t="s">
        <v>89</v>
      </c>
      <c r="S19" s="21"/>
      <c r="T19" s="21"/>
      <c r="U19" s="21" t="s">
        <v>119</v>
      </c>
      <c r="V19" s="21" t="s">
        <v>88</v>
      </c>
      <c r="W19" s="21" t="s">
        <v>92</v>
      </c>
      <c r="X19" s="21" t="s">
        <v>89</v>
      </c>
      <c r="Y19" s="21" t="s">
        <v>90</v>
      </c>
      <c r="Z19" s="21" t="s">
        <v>90</v>
      </c>
      <c r="AA19" s="21" t="s">
        <v>89</v>
      </c>
      <c r="AB19" s="21" t="s">
        <v>72</v>
      </c>
      <c r="AC19" s="21" t="s">
        <v>89</v>
      </c>
      <c r="AD19" s="45" t="s">
        <v>119</v>
      </c>
      <c r="AE19" s="21" t="s">
        <v>90</v>
      </c>
      <c r="AF19" s="21" t="s">
        <v>88</v>
      </c>
      <c r="AG19" s="21" t="s">
        <v>90</v>
      </c>
      <c r="AH19" s="21"/>
      <c r="AI19" s="21" t="s">
        <v>88</v>
      </c>
      <c r="AJ19" s="21" t="s">
        <v>89</v>
      </c>
      <c r="AK19" s="36" t="s">
        <v>90</v>
      </c>
    </row>
    <row r="20" spans="1:37" x14ac:dyDescent="0.35">
      <c r="A20" s="11" t="s">
        <v>420</v>
      </c>
      <c r="B20" s="19" t="s">
        <v>441</v>
      </c>
      <c r="C20" s="19" t="s">
        <v>115</v>
      </c>
      <c r="D20" s="19" t="s">
        <v>108</v>
      </c>
      <c r="E20" s="19" t="s">
        <v>130</v>
      </c>
      <c r="F20" s="19">
        <v>1</v>
      </c>
      <c r="G20" s="20">
        <v>45302</v>
      </c>
      <c r="H20" s="26"/>
      <c r="I20" s="22"/>
      <c r="J20" s="22"/>
      <c r="K20" s="19" t="s">
        <v>474</v>
      </c>
      <c r="L20" s="19"/>
      <c r="M20" s="21"/>
      <c r="N20" s="21" t="s">
        <v>88</v>
      </c>
      <c r="O20" s="21" t="s">
        <v>119</v>
      </c>
      <c r="P20" s="21"/>
      <c r="Q20" s="21"/>
      <c r="R20" s="21" t="s">
        <v>89</v>
      </c>
      <c r="S20" s="21"/>
      <c r="T20" s="21"/>
      <c r="U20" s="21" t="s">
        <v>119</v>
      </c>
      <c r="V20" s="21" t="s">
        <v>88</v>
      </c>
      <c r="W20" s="21" t="s">
        <v>92</v>
      </c>
      <c r="X20" s="21" t="s">
        <v>89</v>
      </c>
      <c r="Y20" s="21" t="s">
        <v>90</v>
      </c>
      <c r="Z20" s="21" t="s">
        <v>90</v>
      </c>
      <c r="AA20" s="21" t="s">
        <v>89</v>
      </c>
      <c r="AB20" s="21"/>
      <c r="AC20" s="21" t="s">
        <v>89</v>
      </c>
      <c r="AD20" s="28" t="s">
        <v>119</v>
      </c>
      <c r="AE20" s="21" t="s">
        <v>90</v>
      </c>
      <c r="AF20" s="21" t="s">
        <v>88</v>
      </c>
      <c r="AG20" s="21" t="s">
        <v>90</v>
      </c>
      <c r="AH20" s="21"/>
      <c r="AI20" s="21" t="s">
        <v>88</v>
      </c>
      <c r="AJ20" s="21" t="s">
        <v>89</v>
      </c>
      <c r="AK20" s="36" t="s">
        <v>90</v>
      </c>
    </row>
    <row r="21" spans="1:37" x14ac:dyDescent="0.35">
      <c r="A21" s="39" t="s">
        <v>419</v>
      </c>
      <c r="B21" s="47"/>
      <c r="C21" s="47"/>
      <c r="D21" s="47"/>
      <c r="E21" s="47"/>
      <c r="F21" s="47"/>
      <c r="G21" s="48"/>
      <c r="H21" s="47"/>
      <c r="I21" s="49"/>
      <c r="J21" s="49"/>
      <c r="K21" s="50"/>
      <c r="L21" s="40"/>
      <c r="M21" s="43"/>
      <c r="N21" s="43" t="s">
        <v>88</v>
      </c>
      <c r="O21" s="43" t="s">
        <v>119</v>
      </c>
      <c r="P21" s="43"/>
      <c r="Q21" s="43"/>
      <c r="R21" s="43" t="s">
        <v>89</v>
      </c>
      <c r="S21" s="43"/>
      <c r="T21" s="43"/>
      <c r="U21" s="43" t="s">
        <v>119</v>
      </c>
      <c r="V21" s="43" t="s">
        <v>88</v>
      </c>
      <c r="W21" s="43" t="s">
        <v>92</v>
      </c>
      <c r="X21" s="43" t="s">
        <v>89</v>
      </c>
      <c r="Y21" s="43" t="s">
        <v>90</v>
      </c>
      <c r="Z21" s="43" t="s">
        <v>90</v>
      </c>
      <c r="AA21" s="43" t="s">
        <v>89</v>
      </c>
      <c r="AB21" s="43"/>
      <c r="AC21" s="43" t="s">
        <v>89</v>
      </c>
      <c r="AD21" s="43" t="s">
        <v>119</v>
      </c>
      <c r="AE21" s="43" t="s">
        <v>90</v>
      </c>
      <c r="AF21" s="43" t="s">
        <v>88</v>
      </c>
      <c r="AG21" s="43" t="s">
        <v>90</v>
      </c>
      <c r="AH21" s="43"/>
      <c r="AI21" s="43" t="s">
        <v>88</v>
      </c>
      <c r="AJ21" s="43" t="s">
        <v>89</v>
      </c>
      <c r="AK21" s="51" t="s">
        <v>90</v>
      </c>
    </row>
    <row r="22" spans="1:37" x14ac:dyDescent="0.35">
      <c r="A22" s="11" t="s">
        <v>421</v>
      </c>
      <c r="B22" s="19" t="s">
        <v>442</v>
      </c>
      <c r="C22" s="19" t="s">
        <v>115</v>
      </c>
      <c r="D22" s="19" t="s">
        <v>106</v>
      </c>
      <c r="E22" s="19" t="s">
        <v>109</v>
      </c>
      <c r="F22" s="19">
        <v>0.5</v>
      </c>
      <c r="G22" s="20">
        <v>45288</v>
      </c>
      <c r="H22" s="19"/>
      <c r="I22" s="25"/>
      <c r="J22" s="25"/>
      <c r="K22" s="19" t="s">
        <v>474</v>
      </c>
      <c r="L22" s="19"/>
      <c r="M22" s="21"/>
      <c r="N22" s="21" t="s">
        <v>88</v>
      </c>
      <c r="O22" s="21" t="s">
        <v>119</v>
      </c>
      <c r="P22" s="21"/>
      <c r="Q22" s="21"/>
      <c r="R22" s="21" t="s">
        <v>89</v>
      </c>
      <c r="S22" s="21"/>
      <c r="T22" s="21"/>
      <c r="U22" s="21" t="s">
        <v>119</v>
      </c>
      <c r="V22" s="21" t="s">
        <v>88</v>
      </c>
      <c r="W22" s="21" t="s">
        <v>92</v>
      </c>
      <c r="X22" s="21" t="s">
        <v>89</v>
      </c>
      <c r="Y22" s="21" t="s">
        <v>90</v>
      </c>
      <c r="Z22" s="21" t="s">
        <v>90</v>
      </c>
      <c r="AA22" s="21" t="s">
        <v>89</v>
      </c>
      <c r="AB22" s="21"/>
      <c r="AC22" s="21" t="s">
        <v>89</v>
      </c>
      <c r="AD22" s="28" t="s">
        <v>119</v>
      </c>
      <c r="AE22" s="21" t="s">
        <v>90</v>
      </c>
      <c r="AF22" s="21" t="s">
        <v>88</v>
      </c>
      <c r="AG22" s="21" t="s">
        <v>90</v>
      </c>
      <c r="AH22" s="21"/>
      <c r="AI22" s="21" t="s">
        <v>88</v>
      </c>
      <c r="AJ22" s="21" t="s">
        <v>89</v>
      </c>
      <c r="AK22" s="36" t="s">
        <v>90</v>
      </c>
    </row>
    <row r="23" spans="1:37" x14ac:dyDescent="0.35">
      <c r="A23" s="39" t="s">
        <v>422</v>
      </c>
      <c r="B23" s="47"/>
      <c r="C23" s="47"/>
      <c r="D23" s="47"/>
      <c r="E23" s="47"/>
      <c r="F23" s="47"/>
      <c r="G23" s="48"/>
      <c r="H23" s="47"/>
      <c r="I23" s="49"/>
      <c r="J23" s="49"/>
      <c r="K23" s="50"/>
      <c r="L23" s="40"/>
      <c r="M23" s="43"/>
      <c r="N23" s="43" t="s">
        <v>88</v>
      </c>
      <c r="O23" s="43" t="s">
        <v>119</v>
      </c>
      <c r="P23" s="43"/>
      <c r="Q23" s="43"/>
      <c r="R23" s="43" t="s">
        <v>89</v>
      </c>
      <c r="S23" s="43"/>
      <c r="T23" s="43"/>
      <c r="U23" s="43" t="s">
        <v>119</v>
      </c>
      <c r="V23" s="43" t="s">
        <v>88</v>
      </c>
      <c r="W23" s="43" t="s">
        <v>92</v>
      </c>
      <c r="X23" s="43" t="s">
        <v>89</v>
      </c>
      <c r="Y23" s="43" t="s">
        <v>90</v>
      </c>
      <c r="Z23" s="43" t="s">
        <v>90</v>
      </c>
      <c r="AA23" s="43" t="s">
        <v>89</v>
      </c>
      <c r="AB23" s="43"/>
      <c r="AC23" s="43" t="s">
        <v>89</v>
      </c>
      <c r="AD23" s="43" t="s">
        <v>119</v>
      </c>
      <c r="AE23" s="43" t="s">
        <v>90</v>
      </c>
      <c r="AF23" s="43" t="s">
        <v>88</v>
      </c>
      <c r="AG23" s="43" t="s">
        <v>90</v>
      </c>
      <c r="AH23" s="43"/>
      <c r="AI23" s="43" t="s">
        <v>88</v>
      </c>
      <c r="AJ23" s="43" t="s">
        <v>89</v>
      </c>
      <c r="AK23" s="51" t="s">
        <v>90</v>
      </c>
    </row>
    <row r="24" spans="1:37" x14ac:dyDescent="0.35">
      <c r="A24" s="11" t="s">
        <v>387</v>
      </c>
      <c r="B24" s="19" t="s">
        <v>443</v>
      </c>
      <c r="C24" s="19" t="s">
        <v>116</v>
      </c>
      <c r="D24" s="19" t="s">
        <v>108</v>
      </c>
      <c r="E24" s="19" t="s">
        <v>109</v>
      </c>
      <c r="F24" s="19">
        <v>0.5</v>
      </c>
      <c r="G24" s="20">
        <v>45268</v>
      </c>
      <c r="H24" s="19"/>
      <c r="I24" s="25"/>
      <c r="J24" s="25"/>
      <c r="K24" s="19"/>
      <c r="L24" s="19"/>
      <c r="M24" s="21"/>
      <c r="N24" s="21"/>
      <c r="O24" s="21"/>
      <c r="P24" s="21"/>
      <c r="Q24" s="21" t="s">
        <v>119</v>
      </c>
      <c r="R24" s="21" t="s">
        <v>89</v>
      </c>
      <c r="S24" s="21"/>
      <c r="T24" s="21"/>
      <c r="U24" s="21" t="s">
        <v>119</v>
      </c>
      <c r="V24" s="21" t="s">
        <v>88</v>
      </c>
      <c r="W24" s="21" t="s">
        <v>92</v>
      </c>
      <c r="X24" s="21"/>
      <c r="Y24" s="21" t="s">
        <v>90</v>
      </c>
      <c r="Z24" s="21" t="s">
        <v>90</v>
      </c>
      <c r="AA24" s="21" t="s">
        <v>89</v>
      </c>
      <c r="AB24" s="21"/>
      <c r="AC24" s="21" t="s">
        <v>89</v>
      </c>
      <c r="AD24" s="28" t="s">
        <v>119</v>
      </c>
      <c r="AE24" s="21" t="s">
        <v>90</v>
      </c>
      <c r="AF24" s="21" t="s">
        <v>88</v>
      </c>
      <c r="AG24" s="21">
        <f>2*5.1008</f>
        <v>10.201599999999999</v>
      </c>
      <c r="AH24" s="21"/>
      <c r="AI24" s="21" t="s">
        <v>88</v>
      </c>
      <c r="AJ24" s="21" t="s">
        <v>89</v>
      </c>
      <c r="AK24" s="36" t="s">
        <v>90</v>
      </c>
    </row>
    <row r="25" spans="1:37" x14ac:dyDescent="0.35">
      <c r="A25" s="11" t="s">
        <v>388</v>
      </c>
      <c r="B25" s="19" t="s">
        <v>444</v>
      </c>
      <c r="C25" s="19" t="s">
        <v>116</v>
      </c>
      <c r="D25" s="19" t="s">
        <v>106</v>
      </c>
      <c r="E25" s="19" t="s">
        <v>118</v>
      </c>
      <c r="F25" s="19">
        <v>3</v>
      </c>
      <c r="G25" s="20">
        <v>45268</v>
      </c>
      <c r="H25" s="19"/>
      <c r="I25" s="22"/>
      <c r="J25" s="22"/>
      <c r="K25" s="19"/>
      <c r="L25" s="19"/>
      <c r="M25" s="21" t="s">
        <v>88</v>
      </c>
      <c r="N25" s="21" t="s">
        <v>88</v>
      </c>
      <c r="O25" s="21" t="s">
        <v>119</v>
      </c>
      <c r="P25" s="21"/>
      <c r="Q25" s="21"/>
      <c r="R25" s="21" t="s">
        <v>89</v>
      </c>
      <c r="S25" s="21"/>
      <c r="T25" s="21"/>
      <c r="U25" s="21">
        <f>2*2.0881</f>
        <v>4.1761999999999997</v>
      </c>
      <c r="V25" s="21" t="s">
        <v>88</v>
      </c>
      <c r="W25" s="21" t="s">
        <v>92</v>
      </c>
      <c r="X25" s="21" t="s">
        <v>89</v>
      </c>
      <c r="Y25" s="21" t="s">
        <v>90</v>
      </c>
      <c r="Z25" s="21" t="s">
        <v>90</v>
      </c>
      <c r="AA25" s="21" t="s">
        <v>89</v>
      </c>
      <c r="AB25" s="21"/>
      <c r="AC25" s="21" t="s">
        <v>89</v>
      </c>
      <c r="AD25" s="45" t="s">
        <v>119</v>
      </c>
      <c r="AE25" s="21" t="s">
        <v>90</v>
      </c>
      <c r="AF25" s="21" t="s">
        <v>88</v>
      </c>
      <c r="AG25" s="21" t="s">
        <v>90</v>
      </c>
      <c r="AH25" s="21"/>
      <c r="AI25" s="21" t="s">
        <v>88</v>
      </c>
      <c r="AJ25" s="21" t="s">
        <v>89</v>
      </c>
      <c r="AK25" s="36" t="s">
        <v>90</v>
      </c>
    </row>
    <row r="26" spans="1:37" x14ac:dyDescent="0.35">
      <c r="A26" s="11" t="s">
        <v>389</v>
      </c>
      <c r="B26" s="19" t="s">
        <v>445</v>
      </c>
      <c r="C26" s="19" t="s">
        <v>115</v>
      </c>
      <c r="D26" s="19" t="s">
        <v>106</v>
      </c>
      <c r="E26" s="19" t="s">
        <v>130</v>
      </c>
      <c r="F26" s="19">
        <v>1</v>
      </c>
      <c r="G26" s="20">
        <v>45302</v>
      </c>
      <c r="H26" s="21"/>
      <c r="I26" s="22"/>
      <c r="J26" s="22"/>
      <c r="K26" s="19"/>
      <c r="L26" s="19"/>
      <c r="M26" s="21"/>
      <c r="N26" s="21" t="s">
        <v>88</v>
      </c>
      <c r="O26" s="21" t="s">
        <v>119</v>
      </c>
      <c r="P26" s="21"/>
      <c r="Q26" s="21"/>
      <c r="R26" s="21" t="s">
        <v>89</v>
      </c>
      <c r="S26" s="21"/>
      <c r="T26" s="21"/>
      <c r="U26" s="21">
        <f>2*2.8752</f>
        <v>5.7504</v>
      </c>
      <c r="V26" s="21" t="s">
        <v>88</v>
      </c>
      <c r="W26" s="21" t="s">
        <v>92</v>
      </c>
      <c r="X26" s="21" t="s">
        <v>89</v>
      </c>
      <c r="Y26" s="21" t="s">
        <v>90</v>
      </c>
      <c r="Z26" s="21" t="s">
        <v>90</v>
      </c>
      <c r="AA26" s="21" t="s">
        <v>89</v>
      </c>
      <c r="AB26" s="21"/>
      <c r="AC26" s="21" t="s">
        <v>89</v>
      </c>
      <c r="AD26" s="28" t="s">
        <v>119</v>
      </c>
      <c r="AE26" s="21" t="s">
        <v>90</v>
      </c>
      <c r="AF26" s="21" t="s">
        <v>88</v>
      </c>
      <c r="AG26" s="21" t="s">
        <v>90</v>
      </c>
      <c r="AH26" s="21"/>
      <c r="AI26" s="21" t="s">
        <v>88</v>
      </c>
      <c r="AJ26" s="21" t="s">
        <v>89</v>
      </c>
      <c r="AK26" s="36" t="s">
        <v>90</v>
      </c>
    </row>
    <row r="27" spans="1:37" x14ac:dyDescent="0.35">
      <c r="A27" s="11" t="s">
        <v>390</v>
      </c>
      <c r="B27" s="19" t="s">
        <v>446</v>
      </c>
      <c r="C27" s="19" t="s">
        <v>116</v>
      </c>
      <c r="D27" s="19" t="s">
        <v>106</v>
      </c>
      <c r="E27" s="19" t="s">
        <v>109</v>
      </c>
      <c r="F27" s="19">
        <v>0.5</v>
      </c>
      <c r="G27" s="20">
        <v>45268</v>
      </c>
      <c r="H27" s="19"/>
      <c r="I27" s="31"/>
      <c r="J27" s="31"/>
      <c r="K27" s="19"/>
      <c r="L27" s="19"/>
      <c r="M27" s="21"/>
      <c r="N27" s="21"/>
      <c r="O27" s="21"/>
      <c r="P27" s="21"/>
      <c r="Q27" s="21"/>
      <c r="R27" s="21" t="s">
        <v>89</v>
      </c>
      <c r="S27" s="21"/>
      <c r="T27" s="21"/>
      <c r="U27" s="21">
        <f>2*1.5612</f>
        <v>3.1223999999999998</v>
      </c>
      <c r="V27" s="21" t="s">
        <v>88</v>
      </c>
      <c r="W27" s="21" t="s">
        <v>92</v>
      </c>
      <c r="X27" s="21" t="s">
        <v>89</v>
      </c>
      <c r="Y27" s="21" t="s">
        <v>90</v>
      </c>
      <c r="Z27" s="21" t="s">
        <v>90</v>
      </c>
      <c r="AA27" s="21" t="s">
        <v>89</v>
      </c>
      <c r="AB27" s="21"/>
      <c r="AC27" s="21" t="s">
        <v>89</v>
      </c>
      <c r="AD27" s="45" t="s">
        <v>119</v>
      </c>
      <c r="AE27" s="21" t="s">
        <v>90</v>
      </c>
      <c r="AF27" s="21" t="s">
        <v>88</v>
      </c>
      <c r="AG27" s="21" t="s">
        <v>90</v>
      </c>
      <c r="AH27" s="21"/>
      <c r="AI27" s="21" t="s">
        <v>88</v>
      </c>
      <c r="AJ27" s="21" t="s">
        <v>89</v>
      </c>
      <c r="AK27" s="36" t="s">
        <v>90</v>
      </c>
    </row>
    <row r="28" spans="1:37" x14ac:dyDescent="0.35">
      <c r="A28" s="11" t="s">
        <v>391</v>
      </c>
      <c r="B28" s="19" t="s">
        <v>447</v>
      </c>
      <c r="C28" s="19" t="s">
        <v>115</v>
      </c>
      <c r="D28" s="19" t="s">
        <v>106</v>
      </c>
      <c r="E28" s="19" t="s">
        <v>118</v>
      </c>
      <c r="F28" s="19">
        <v>3</v>
      </c>
      <c r="G28" s="20">
        <v>45302</v>
      </c>
      <c r="H28" s="19"/>
      <c r="I28" s="27"/>
      <c r="J28" s="27"/>
      <c r="K28" s="19"/>
      <c r="L28" s="19"/>
      <c r="M28" s="21"/>
      <c r="N28" s="21"/>
      <c r="O28" s="21" t="s">
        <v>119</v>
      </c>
      <c r="P28" s="21"/>
      <c r="Q28" s="21"/>
      <c r="R28" s="21" t="s">
        <v>89</v>
      </c>
      <c r="S28" s="21"/>
      <c r="T28" s="21"/>
      <c r="U28" s="21">
        <f>2*1.4871</f>
        <v>2.9742000000000002</v>
      </c>
      <c r="V28" s="21" t="s">
        <v>88</v>
      </c>
      <c r="W28" s="21" t="s">
        <v>92</v>
      </c>
      <c r="X28" s="21"/>
      <c r="Y28" s="21" t="s">
        <v>90</v>
      </c>
      <c r="Z28" s="21" t="s">
        <v>90</v>
      </c>
      <c r="AA28" s="21" t="s">
        <v>89</v>
      </c>
      <c r="AB28" s="21"/>
      <c r="AC28" s="21" t="s">
        <v>89</v>
      </c>
      <c r="AD28" s="28" t="s">
        <v>119</v>
      </c>
      <c r="AE28" s="21" t="s">
        <v>90</v>
      </c>
      <c r="AF28" s="21" t="s">
        <v>88</v>
      </c>
      <c r="AG28" s="21">
        <f>2*5.826</f>
        <v>11.651999999999999</v>
      </c>
      <c r="AH28" s="21"/>
      <c r="AI28" s="21" t="s">
        <v>88</v>
      </c>
      <c r="AJ28" s="21" t="s">
        <v>89</v>
      </c>
      <c r="AK28" s="36" t="s">
        <v>90</v>
      </c>
    </row>
    <row r="29" spans="1:37" x14ac:dyDescent="0.35">
      <c r="A29" s="11" t="s">
        <v>392</v>
      </c>
      <c r="B29" s="19" t="s">
        <v>448</v>
      </c>
      <c r="C29" s="19" t="s">
        <v>116</v>
      </c>
      <c r="D29" s="19" t="s">
        <v>106</v>
      </c>
      <c r="E29" s="19" t="s">
        <v>109</v>
      </c>
      <c r="F29" s="19">
        <v>0.5</v>
      </c>
      <c r="G29" s="20">
        <v>45268</v>
      </c>
      <c r="H29" s="19"/>
      <c r="I29" s="31"/>
      <c r="J29" s="31"/>
      <c r="K29" s="19"/>
      <c r="L29" s="19"/>
      <c r="M29" s="21"/>
      <c r="N29" s="21" t="s">
        <v>88</v>
      </c>
      <c r="O29" s="21" t="s">
        <v>119</v>
      </c>
      <c r="P29" s="21"/>
      <c r="Q29" s="21"/>
      <c r="R29" s="21" t="s">
        <v>89</v>
      </c>
      <c r="S29" s="21"/>
      <c r="T29" s="21"/>
      <c r="U29" s="21">
        <f>2*1.1015</f>
        <v>2.2029999999999998</v>
      </c>
      <c r="V29" s="21" t="s">
        <v>88</v>
      </c>
      <c r="W29" s="21" t="s">
        <v>92</v>
      </c>
      <c r="X29" s="21" t="s">
        <v>89</v>
      </c>
      <c r="Y29" s="21" t="s">
        <v>90</v>
      </c>
      <c r="Z29" s="21">
        <f>2*36.023</f>
        <v>72.046000000000006</v>
      </c>
      <c r="AA29" s="21" t="s">
        <v>89</v>
      </c>
      <c r="AB29" s="21"/>
      <c r="AC29" s="21" t="s">
        <v>89</v>
      </c>
      <c r="AD29" s="45" t="s">
        <v>119</v>
      </c>
      <c r="AE29" s="21" t="s">
        <v>90</v>
      </c>
      <c r="AF29" s="21" t="s">
        <v>88</v>
      </c>
      <c r="AG29" s="21" t="s">
        <v>90</v>
      </c>
      <c r="AH29" s="21"/>
      <c r="AI29" s="21" t="s">
        <v>88</v>
      </c>
      <c r="AJ29" s="21" t="s">
        <v>89</v>
      </c>
      <c r="AK29" s="36" t="s">
        <v>90</v>
      </c>
    </row>
    <row r="30" spans="1:37" x14ac:dyDescent="0.35">
      <c r="A30" s="11" t="s">
        <v>393</v>
      </c>
      <c r="B30" s="19" t="s">
        <v>449</v>
      </c>
      <c r="C30" s="19" t="s">
        <v>115</v>
      </c>
      <c r="D30" s="19" t="s">
        <v>106</v>
      </c>
      <c r="E30" s="19" t="s">
        <v>118</v>
      </c>
      <c r="F30" s="19">
        <v>5</v>
      </c>
      <c r="G30" s="20">
        <v>45268</v>
      </c>
      <c r="H30" s="19"/>
      <c r="I30" s="24"/>
      <c r="J30" s="24"/>
      <c r="K30" s="19"/>
      <c r="L30" s="19"/>
      <c r="M30" s="21"/>
      <c r="N30" s="21" t="s">
        <v>88</v>
      </c>
      <c r="O30" s="21" t="s">
        <v>119</v>
      </c>
      <c r="P30" s="21"/>
      <c r="Q30" s="21"/>
      <c r="R30" s="21" t="s">
        <v>89</v>
      </c>
      <c r="S30" s="21"/>
      <c r="T30" s="21"/>
      <c r="U30" s="21" t="s">
        <v>119</v>
      </c>
      <c r="V30" s="21" t="s">
        <v>88</v>
      </c>
      <c r="W30" s="21" t="s">
        <v>92</v>
      </c>
      <c r="X30" s="21" t="s">
        <v>89</v>
      </c>
      <c r="Y30" s="21" t="s">
        <v>90</v>
      </c>
      <c r="Z30" s="21" t="s">
        <v>90</v>
      </c>
      <c r="AA30" s="21" t="s">
        <v>89</v>
      </c>
      <c r="AB30" s="21"/>
      <c r="AC30" s="21" t="s">
        <v>89</v>
      </c>
      <c r="AD30" s="28" t="s">
        <v>119</v>
      </c>
      <c r="AE30" s="21" t="s">
        <v>90</v>
      </c>
      <c r="AF30" s="21" t="s">
        <v>88</v>
      </c>
      <c r="AG30" s="21" t="s">
        <v>90</v>
      </c>
      <c r="AH30" s="21"/>
      <c r="AI30" s="21" t="s">
        <v>88</v>
      </c>
      <c r="AJ30" s="21" t="s">
        <v>89</v>
      </c>
      <c r="AK30" s="36" t="s">
        <v>90</v>
      </c>
    </row>
    <row r="31" spans="1:37" x14ac:dyDescent="0.35">
      <c r="A31" s="11" t="s">
        <v>394</v>
      </c>
      <c r="B31" s="19" t="s">
        <v>450</v>
      </c>
      <c r="C31" s="19" t="s">
        <v>115</v>
      </c>
      <c r="D31" s="19" t="s">
        <v>108</v>
      </c>
      <c r="E31" s="19" t="s">
        <v>109</v>
      </c>
      <c r="F31" s="19">
        <v>0.5</v>
      </c>
      <c r="G31" s="20">
        <v>45267</v>
      </c>
      <c r="H31" s="19"/>
      <c r="I31" s="22"/>
      <c r="J31" s="22"/>
      <c r="K31" s="19"/>
      <c r="L31" s="19"/>
      <c r="M31" s="21" t="s">
        <v>88</v>
      </c>
      <c r="N31" s="21" t="s">
        <v>88</v>
      </c>
      <c r="O31" s="21" t="s">
        <v>119</v>
      </c>
      <c r="P31" s="21"/>
      <c r="Q31" s="21" t="s">
        <v>119</v>
      </c>
      <c r="R31" s="21" t="s">
        <v>89</v>
      </c>
      <c r="S31" s="21"/>
      <c r="T31" s="21"/>
      <c r="U31" s="21">
        <f>2*2.7698</f>
        <v>5.5396000000000001</v>
      </c>
      <c r="V31" s="21">
        <f>2*0.5201</f>
        <v>1.0402</v>
      </c>
      <c r="W31" s="21" t="s">
        <v>92</v>
      </c>
      <c r="X31" s="21" t="s">
        <v>89</v>
      </c>
      <c r="Y31" s="21" t="s">
        <v>90</v>
      </c>
      <c r="Z31" s="21" t="s">
        <v>90</v>
      </c>
      <c r="AA31" s="21" t="s">
        <v>89</v>
      </c>
      <c r="AB31" s="21"/>
      <c r="AC31" s="21" t="s">
        <v>89</v>
      </c>
      <c r="AD31" s="45" t="s">
        <v>119</v>
      </c>
      <c r="AE31" s="21" t="s">
        <v>90</v>
      </c>
      <c r="AF31" s="21" t="s">
        <v>88</v>
      </c>
      <c r="AG31" s="21" t="s">
        <v>90</v>
      </c>
      <c r="AH31" s="21"/>
      <c r="AI31" s="21" t="s">
        <v>88</v>
      </c>
      <c r="AJ31" s="21" t="s">
        <v>89</v>
      </c>
      <c r="AK31" s="36" t="s">
        <v>90</v>
      </c>
    </row>
    <row r="32" spans="1:37" x14ac:dyDescent="0.35">
      <c r="A32" s="11" t="s">
        <v>395</v>
      </c>
      <c r="B32" s="19" t="s">
        <v>451</v>
      </c>
      <c r="C32" s="19" t="s">
        <v>115</v>
      </c>
      <c r="D32" s="19" t="s">
        <v>106</v>
      </c>
      <c r="E32" s="19" t="s">
        <v>130</v>
      </c>
      <c r="F32" s="19">
        <v>1</v>
      </c>
      <c r="G32" s="20">
        <v>45254</v>
      </c>
      <c r="H32" s="19"/>
      <c r="I32" s="22"/>
      <c r="J32" s="22"/>
      <c r="K32" s="19"/>
      <c r="L32" s="19"/>
      <c r="M32" s="21"/>
      <c r="N32" s="21" t="s">
        <v>88</v>
      </c>
      <c r="O32" s="21" t="s">
        <v>119</v>
      </c>
      <c r="P32" s="21"/>
      <c r="Q32" s="21" t="s">
        <v>119</v>
      </c>
      <c r="R32" s="21" t="s">
        <v>89</v>
      </c>
      <c r="S32" s="21"/>
      <c r="T32" s="21"/>
      <c r="U32" s="21">
        <f>2*1.0787</f>
        <v>2.1574</v>
      </c>
      <c r="V32" s="21">
        <f>2*0.9463</f>
        <v>1.8926000000000001</v>
      </c>
      <c r="W32" s="21" t="s">
        <v>92</v>
      </c>
      <c r="X32" s="21"/>
      <c r="Y32" s="21" t="s">
        <v>90</v>
      </c>
      <c r="Z32" s="21" t="s">
        <v>90</v>
      </c>
      <c r="AA32" s="21" t="s">
        <v>89</v>
      </c>
      <c r="AB32" s="21" t="s">
        <v>119</v>
      </c>
      <c r="AC32" s="21" t="s">
        <v>89</v>
      </c>
      <c r="AD32" s="28" t="s">
        <v>119</v>
      </c>
      <c r="AE32" s="21" t="s">
        <v>90</v>
      </c>
      <c r="AF32" s="21" t="s">
        <v>88</v>
      </c>
      <c r="AG32" s="21">
        <f>2*6.3072</f>
        <v>12.6144</v>
      </c>
      <c r="AH32" s="21"/>
      <c r="AI32" s="21" t="s">
        <v>88</v>
      </c>
      <c r="AJ32" s="21" t="s">
        <v>89</v>
      </c>
      <c r="AK32" s="36" t="s">
        <v>90</v>
      </c>
    </row>
    <row r="33" spans="1:37" x14ac:dyDescent="0.35">
      <c r="A33" s="11" t="s">
        <v>396</v>
      </c>
      <c r="B33" s="19" t="s">
        <v>452</v>
      </c>
      <c r="C33" s="19" t="s">
        <v>115</v>
      </c>
      <c r="D33" s="19" t="s">
        <v>106</v>
      </c>
      <c r="E33" s="19" t="s">
        <v>109</v>
      </c>
      <c r="F33" s="19">
        <v>0.5</v>
      </c>
      <c r="G33" s="20">
        <v>45254</v>
      </c>
      <c r="H33" s="19"/>
      <c r="I33" s="34"/>
      <c r="J33" s="34"/>
      <c r="K33" s="19"/>
      <c r="L33" s="19"/>
      <c r="M33" s="21"/>
      <c r="N33" s="21" t="s">
        <v>88</v>
      </c>
      <c r="O33" s="21" t="s">
        <v>119</v>
      </c>
      <c r="P33" s="21"/>
      <c r="Q33" s="21" t="s">
        <v>119</v>
      </c>
      <c r="R33" s="21" t="s">
        <v>89</v>
      </c>
      <c r="S33" s="21"/>
      <c r="T33" s="21"/>
      <c r="U33" s="21">
        <f>2*6.6055</f>
        <v>13.211</v>
      </c>
      <c r="V33" s="21">
        <f>2*0.611</f>
        <v>1.222</v>
      </c>
      <c r="W33" s="21" t="s">
        <v>92</v>
      </c>
      <c r="X33" s="21" t="s">
        <v>89</v>
      </c>
      <c r="Y33" s="21" t="s">
        <v>90</v>
      </c>
      <c r="Z33" s="21" t="s">
        <v>90</v>
      </c>
      <c r="AA33" s="21" t="s">
        <v>89</v>
      </c>
      <c r="AB33" s="21"/>
      <c r="AC33" s="21" t="s">
        <v>89</v>
      </c>
      <c r="AD33" s="45" t="s">
        <v>119</v>
      </c>
      <c r="AE33" s="21" t="s">
        <v>90</v>
      </c>
      <c r="AF33" s="21" t="s">
        <v>88</v>
      </c>
      <c r="AG33" s="21" t="s">
        <v>90</v>
      </c>
      <c r="AH33" s="21"/>
      <c r="AI33" s="21" t="s">
        <v>88</v>
      </c>
      <c r="AJ33" s="21" t="s">
        <v>89</v>
      </c>
      <c r="AK33" s="36" t="s">
        <v>90</v>
      </c>
    </row>
    <row r="34" spans="1:37" x14ac:dyDescent="0.35">
      <c r="A34" s="11" t="s">
        <v>397</v>
      </c>
      <c r="B34" s="19" t="s">
        <v>453</v>
      </c>
      <c r="C34" s="19" t="s">
        <v>115</v>
      </c>
      <c r="D34" s="19" t="s">
        <v>106</v>
      </c>
      <c r="E34" s="19" t="s">
        <v>109</v>
      </c>
      <c r="F34" s="19">
        <v>0.5</v>
      </c>
      <c r="G34" s="20">
        <v>45267</v>
      </c>
      <c r="H34" s="19"/>
      <c r="I34" s="23"/>
      <c r="J34" s="23"/>
      <c r="K34" s="19"/>
      <c r="L34" s="19"/>
      <c r="M34" s="21"/>
      <c r="N34" s="21" t="s">
        <v>88</v>
      </c>
      <c r="O34" s="21" t="s">
        <v>119</v>
      </c>
      <c r="P34" s="21"/>
      <c r="Q34" s="21"/>
      <c r="R34" s="21" t="s">
        <v>89</v>
      </c>
      <c r="S34" s="21"/>
      <c r="T34" s="21">
        <f>2*0.7543</f>
        <v>1.5085999999999999</v>
      </c>
      <c r="U34" s="21">
        <f>2*3.1685</f>
        <v>6.3369999999999997</v>
      </c>
      <c r="V34" s="21">
        <f>2*0.8308</f>
        <v>1.6616</v>
      </c>
      <c r="W34" s="21" t="s">
        <v>92</v>
      </c>
      <c r="X34" s="21"/>
      <c r="Y34" s="21" t="s">
        <v>90</v>
      </c>
      <c r="Z34" s="21" t="s">
        <v>90</v>
      </c>
      <c r="AA34" s="21" t="s">
        <v>89</v>
      </c>
      <c r="AB34" s="21"/>
      <c r="AC34" s="21" t="s">
        <v>89</v>
      </c>
      <c r="AD34" s="28" t="s">
        <v>119</v>
      </c>
      <c r="AE34" s="21" t="s">
        <v>90</v>
      </c>
      <c r="AF34" s="21" t="s">
        <v>88</v>
      </c>
      <c r="AG34" s="21" t="s">
        <v>90</v>
      </c>
      <c r="AH34" s="21"/>
      <c r="AI34" s="21" t="s">
        <v>88</v>
      </c>
      <c r="AJ34" s="21" t="s">
        <v>89</v>
      </c>
      <c r="AK34" s="36" t="s">
        <v>90</v>
      </c>
    </row>
    <row r="35" spans="1:37" x14ac:dyDescent="0.35">
      <c r="A35" s="11" t="s">
        <v>398</v>
      </c>
      <c r="B35" s="19" t="s">
        <v>454</v>
      </c>
      <c r="C35" s="19" t="s">
        <v>116</v>
      </c>
      <c r="D35" s="19" t="s">
        <v>108</v>
      </c>
      <c r="E35" s="19" t="s">
        <v>109</v>
      </c>
      <c r="F35" s="19">
        <v>0.5</v>
      </c>
      <c r="G35" s="20">
        <v>45268</v>
      </c>
      <c r="H35" s="19"/>
      <c r="I35" s="22"/>
      <c r="J35" s="22"/>
      <c r="K35" s="19"/>
      <c r="L35" s="19"/>
      <c r="M35" s="21"/>
      <c r="N35" s="21" t="s">
        <v>88</v>
      </c>
      <c r="O35" s="21"/>
      <c r="P35" s="21"/>
      <c r="Q35" s="21"/>
      <c r="R35" s="21" t="s">
        <v>89</v>
      </c>
      <c r="S35" s="21">
        <f>2*23.1301</f>
        <v>46.260199999999998</v>
      </c>
      <c r="T35" s="21"/>
      <c r="U35" s="21">
        <f>2*3.0317</f>
        <v>6.0633999999999997</v>
      </c>
      <c r="V35" s="21" t="s">
        <v>88</v>
      </c>
      <c r="W35" s="21" t="s">
        <v>92</v>
      </c>
      <c r="X35" s="21">
        <f>2*2.532</f>
        <v>5.0640000000000001</v>
      </c>
      <c r="Y35" s="21" t="s">
        <v>90</v>
      </c>
      <c r="Z35" s="21" t="s">
        <v>90</v>
      </c>
      <c r="AA35" s="21">
        <f>2*7.0342</f>
        <v>14.0684</v>
      </c>
      <c r="AB35" s="21"/>
      <c r="AC35" s="21" t="s">
        <v>89</v>
      </c>
      <c r="AD35" s="45" t="s">
        <v>119</v>
      </c>
      <c r="AE35" s="21" t="s">
        <v>90</v>
      </c>
      <c r="AF35" s="21" t="s">
        <v>88</v>
      </c>
      <c r="AG35" s="21" t="s">
        <v>90</v>
      </c>
      <c r="AH35" s="21"/>
      <c r="AI35" s="21" t="s">
        <v>88</v>
      </c>
      <c r="AJ35" s="21" t="s">
        <v>89</v>
      </c>
      <c r="AK35" s="36" t="s">
        <v>90</v>
      </c>
    </row>
    <row r="36" spans="1:37" x14ac:dyDescent="0.35">
      <c r="A36" s="11" t="s">
        <v>399</v>
      </c>
      <c r="B36" s="19" t="s">
        <v>455</v>
      </c>
      <c r="C36" s="19" t="s">
        <v>116</v>
      </c>
      <c r="D36" s="19" t="s">
        <v>106</v>
      </c>
      <c r="E36" s="19" t="s">
        <v>130</v>
      </c>
      <c r="F36" s="19">
        <v>1</v>
      </c>
      <c r="G36" s="20">
        <v>45268</v>
      </c>
      <c r="H36" s="19"/>
      <c r="I36" s="25"/>
      <c r="J36" s="25"/>
      <c r="K36" s="19"/>
      <c r="L36" s="19"/>
      <c r="M36" s="21"/>
      <c r="N36" s="21"/>
      <c r="O36" s="21"/>
      <c r="P36" s="21"/>
      <c r="Q36" s="21"/>
      <c r="R36" s="21" t="s">
        <v>89</v>
      </c>
      <c r="S36" s="21"/>
      <c r="T36" s="21"/>
      <c r="U36" s="21" t="s">
        <v>119</v>
      </c>
      <c r="V36" s="21" t="s">
        <v>88</v>
      </c>
      <c r="W36" s="21">
        <f>2*30.8389</f>
        <v>61.677799999999998</v>
      </c>
      <c r="X36" s="21" t="s">
        <v>89</v>
      </c>
      <c r="Y36" s="21" t="s">
        <v>90</v>
      </c>
      <c r="Z36" s="21" t="s">
        <v>90</v>
      </c>
      <c r="AA36" s="21" t="s">
        <v>89</v>
      </c>
      <c r="AB36" s="21"/>
      <c r="AC36" s="21" t="s">
        <v>89</v>
      </c>
      <c r="AD36" s="28" t="s">
        <v>119</v>
      </c>
      <c r="AE36" s="21" t="s">
        <v>90</v>
      </c>
      <c r="AF36" s="21" t="s">
        <v>88</v>
      </c>
      <c r="AG36" s="21" t="s">
        <v>90</v>
      </c>
      <c r="AH36" s="21"/>
      <c r="AI36" s="21" t="s">
        <v>88</v>
      </c>
      <c r="AJ36" s="21" t="s">
        <v>89</v>
      </c>
      <c r="AK36" s="36" t="s">
        <v>90</v>
      </c>
    </row>
    <row r="37" spans="1:37" x14ac:dyDescent="0.35">
      <c r="A37" s="11" t="s">
        <v>400</v>
      </c>
      <c r="B37" s="19" t="s">
        <v>456</v>
      </c>
      <c r="C37" s="19" t="s">
        <v>115</v>
      </c>
      <c r="D37" s="19" t="s">
        <v>106</v>
      </c>
      <c r="E37" s="19" t="s">
        <v>118</v>
      </c>
      <c r="F37" s="19">
        <v>2</v>
      </c>
      <c r="G37" s="20">
        <v>45268</v>
      </c>
      <c r="H37" s="19"/>
      <c r="I37" s="23"/>
      <c r="J37" s="23"/>
      <c r="K37" s="19"/>
      <c r="L37" s="19"/>
      <c r="M37" s="21"/>
      <c r="N37" s="21" t="s">
        <v>88</v>
      </c>
      <c r="O37" s="21" t="s">
        <v>119</v>
      </c>
      <c r="P37" s="21"/>
      <c r="Q37" s="21"/>
      <c r="R37" s="21" t="s">
        <v>89</v>
      </c>
      <c r="S37" s="21"/>
      <c r="T37" s="21"/>
      <c r="U37" s="21" t="s">
        <v>119</v>
      </c>
      <c r="V37" s="21" t="s">
        <v>88</v>
      </c>
      <c r="W37" s="21" t="s">
        <v>92</v>
      </c>
      <c r="X37" s="21" t="s">
        <v>89</v>
      </c>
      <c r="Y37" s="21" t="s">
        <v>90</v>
      </c>
      <c r="Z37" s="21" t="s">
        <v>90</v>
      </c>
      <c r="AA37" s="21" t="s">
        <v>89</v>
      </c>
      <c r="AB37" s="21" t="s">
        <v>72</v>
      </c>
      <c r="AC37" s="21" t="s">
        <v>89</v>
      </c>
      <c r="AD37" s="45" t="s">
        <v>119</v>
      </c>
      <c r="AE37" s="21" t="s">
        <v>90</v>
      </c>
      <c r="AF37" s="21" t="s">
        <v>88</v>
      </c>
      <c r="AG37" s="21" t="s">
        <v>90</v>
      </c>
      <c r="AH37" s="21"/>
      <c r="AI37" s="21" t="s">
        <v>88</v>
      </c>
      <c r="AJ37" s="21" t="s">
        <v>89</v>
      </c>
      <c r="AK37" s="36" t="s">
        <v>90</v>
      </c>
    </row>
    <row r="38" spans="1:37" x14ac:dyDescent="0.35">
      <c r="A38" s="11" t="s">
        <v>401</v>
      </c>
      <c r="B38" s="19" t="s">
        <v>457</v>
      </c>
      <c r="C38" s="19" t="s">
        <v>115</v>
      </c>
      <c r="D38" s="26" t="s">
        <v>106</v>
      </c>
      <c r="E38" s="26" t="s">
        <v>109</v>
      </c>
      <c r="F38" s="26">
        <v>5</v>
      </c>
      <c r="G38" s="20">
        <v>45288</v>
      </c>
      <c r="H38" s="26"/>
      <c r="I38" s="25"/>
      <c r="J38" s="25"/>
      <c r="K38" s="19"/>
      <c r="L38" s="19"/>
      <c r="M38" s="21"/>
      <c r="N38" s="21" t="s">
        <v>88</v>
      </c>
      <c r="O38" s="21" t="s">
        <v>119</v>
      </c>
      <c r="P38" s="21"/>
      <c r="Q38" s="21"/>
      <c r="R38" s="21" t="s">
        <v>89</v>
      </c>
      <c r="S38" s="21"/>
      <c r="T38" s="21"/>
      <c r="U38" s="21">
        <f>2*2.7969</f>
        <v>5.5937999999999999</v>
      </c>
      <c r="V38" s="21" t="s">
        <v>88</v>
      </c>
      <c r="W38" s="21" t="s">
        <v>92</v>
      </c>
      <c r="X38" s="21" t="s">
        <v>89</v>
      </c>
      <c r="Y38" s="21" t="s">
        <v>90</v>
      </c>
      <c r="Z38" s="21" t="s">
        <v>90</v>
      </c>
      <c r="AA38" s="21" t="s">
        <v>89</v>
      </c>
      <c r="AB38" s="21"/>
      <c r="AC38" s="21" t="s">
        <v>89</v>
      </c>
      <c r="AD38" s="21" t="s">
        <v>119</v>
      </c>
      <c r="AE38" s="21" t="s">
        <v>90</v>
      </c>
      <c r="AF38" s="21" t="s">
        <v>88</v>
      </c>
      <c r="AG38" s="21" t="s">
        <v>90</v>
      </c>
      <c r="AH38" s="21"/>
      <c r="AI38" s="21" t="s">
        <v>88</v>
      </c>
      <c r="AJ38" s="21" t="s">
        <v>89</v>
      </c>
      <c r="AK38" s="36" t="s">
        <v>90</v>
      </c>
    </row>
    <row r="39" spans="1:37" x14ac:dyDescent="0.35">
      <c r="A39" s="11" t="s">
        <v>402</v>
      </c>
      <c r="B39" s="19" t="s">
        <v>458</v>
      </c>
      <c r="C39" s="19" t="s">
        <v>115</v>
      </c>
      <c r="D39" s="19" t="s">
        <v>106</v>
      </c>
      <c r="E39" s="19" t="s">
        <v>130</v>
      </c>
      <c r="F39" s="19">
        <v>1</v>
      </c>
      <c r="G39" s="20">
        <v>45288</v>
      </c>
      <c r="H39" s="19"/>
      <c r="I39" s="31"/>
      <c r="J39" s="31"/>
      <c r="K39" s="19"/>
      <c r="L39" s="19"/>
      <c r="M39" s="21"/>
      <c r="N39" s="21" t="s">
        <v>88</v>
      </c>
      <c r="O39" s="21" t="s">
        <v>119</v>
      </c>
      <c r="P39" s="21"/>
      <c r="Q39" s="21" t="s">
        <v>119</v>
      </c>
      <c r="R39" s="21" t="s">
        <v>89</v>
      </c>
      <c r="S39" s="21"/>
      <c r="T39" s="21"/>
      <c r="U39" s="21">
        <f>2*2.0983</f>
        <v>4.1966000000000001</v>
      </c>
      <c r="V39" s="21" t="s">
        <v>88</v>
      </c>
      <c r="W39" s="21" t="s">
        <v>92</v>
      </c>
      <c r="X39" s="21" t="s">
        <v>89</v>
      </c>
      <c r="Y39" s="21" t="s">
        <v>90</v>
      </c>
      <c r="Z39" s="21" t="s">
        <v>90</v>
      </c>
      <c r="AA39" s="21" t="s">
        <v>89</v>
      </c>
      <c r="AB39" s="21"/>
      <c r="AC39" s="21" t="s">
        <v>89</v>
      </c>
      <c r="AD39" s="45" t="s">
        <v>119</v>
      </c>
      <c r="AE39" s="21" t="s">
        <v>90</v>
      </c>
      <c r="AF39" s="21" t="s">
        <v>88</v>
      </c>
      <c r="AG39" s="21" t="s">
        <v>90</v>
      </c>
      <c r="AH39" s="21" t="s">
        <v>88</v>
      </c>
      <c r="AI39" s="21" t="s">
        <v>88</v>
      </c>
      <c r="AJ39" s="21" t="s">
        <v>89</v>
      </c>
      <c r="AK39" s="36" t="s">
        <v>90</v>
      </c>
    </row>
    <row r="40" spans="1:37" x14ac:dyDescent="0.35">
      <c r="A40" s="11" t="s">
        <v>403</v>
      </c>
      <c r="B40" s="19" t="s">
        <v>459</v>
      </c>
      <c r="C40" s="19" t="s">
        <v>115</v>
      </c>
      <c r="D40" s="19" t="s">
        <v>108</v>
      </c>
      <c r="E40" s="19" t="s">
        <v>109</v>
      </c>
      <c r="F40" s="19">
        <v>0.5</v>
      </c>
      <c r="G40" s="20">
        <v>45620</v>
      </c>
      <c r="H40" s="19"/>
      <c r="I40" s="25"/>
      <c r="J40" s="25"/>
      <c r="K40" s="19"/>
      <c r="L40" s="19"/>
      <c r="M40" s="21" t="s">
        <v>88</v>
      </c>
      <c r="N40" s="21" t="s">
        <v>88</v>
      </c>
      <c r="O40" s="21" t="s">
        <v>119</v>
      </c>
      <c r="P40" s="21"/>
      <c r="Q40" s="21" t="s">
        <v>119</v>
      </c>
      <c r="R40" s="21" t="s">
        <v>89</v>
      </c>
      <c r="S40" s="21">
        <f>2*8.743</f>
        <v>17.486000000000001</v>
      </c>
      <c r="T40" s="21"/>
      <c r="U40" s="21" t="s">
        <v>119</v>
      </c>
      <c r="V40" s="21">
        <f>2*0.535</f>
        <v>1.07</v>
      </c>
      <c r="W40" s="21">
        <f>2*32.6222</f>
        <v>65.244399999999999</v>
      </c>
      <c r="X40" s="21"/>
      <c r="Y40" s="21" t="s">
        <v>90</v>
      </c>
      <c r="Z40" s="21" t="s">
        <v>90</v>
      </c>
      <c r="AA40" s="21" t="s">
        <v>89</v>
      </c>
      <c r="AB40" s="21"/>
      <c r="AC40" s="21" t="s">
        <v>89</v>
      </c>
      <c r="AD40" s="28" t="s">
        <v>119</v>
      </c>
      <c r="AE40" s="21" t="s">
        <v>90</v>
      </c>
      <c r="AF40" s="21" t="s">
        <v>88</v>
      </c>
      <c r="AG40" s="21" t="s">
        <v>90</v>
      </c>
      <c r="AH40" s="21"/>
      <c r="AI40" s="21" t="s">
        <v>88</v>
      </c>
      <c r="AJ40" s="21" t="s">
        <v>89</v>
      </c>
      <c r="AK40" s="36" t="s">
        <v>90</v>
      </c>
    </row>
    <row r="41" spans="1:37" x14ac:dyDescent="0.35">
      <c r="A41" s="11" t="s">
        <v>404</v>
      </c>
      <c r="B41" s="19" t="s">
        <v>460</v>
      </c>
      <c r="C41" s="19" t="s">
        <v>115</v>
      </c>
      <c r="D41" s="19" t="s">
        <v>106</v>
      </c>
      <c r="E41" s="19" t="s">
        <v>118</v>
      </c>
      <c r="F41" s="19">
        <v>6</v>
      </c>
      <c r="G41" s="20">
        <v>45254</v>
      </c>
      <c r="H41" s="19"/>
      <c r="I41" s="22"/>
      <c r="J41" s="22"/>
      <c r="K41" s="19"/>
      <c r="L41" s="19"/>
      <c r="M41" s="21" t="s">
        <v>88</v>
      </c>
      <c r="N41" s="21" t="s">
        <v>88</v>
      </c>
      <c r="O41" s="21" t="s">
        <v>119</v>
      </c>
      <c r="P41" s="21"/>
      <c r="Q41" s="21" t="s">
        <v>119</v>
      </c>
      <c r="R41" s="21" t="s">
        <v>89</v>
      </c>
      <c r="S41" s="21"/>
      <c r="T41" s="21"/>
      <c r="U41" s="21" t="s">
        <v>119</v>
      </c>
      <c r="V41" s="21" t="s">
        <v>88</v>
      </c>
      <c r="W41" s="21" t="s">
        <v>92</v>
      </c>
      <c r="X41" s="21" t="s">
        <v>89</v>
      </c>
      <c r="Y41" s="21" t="s">
        <v>90</v>
      </c>
      <c r="Z41" s="21" t="s">
        <v>90</v>
      </c>
      <c r="AA41" s="21" t="s">
        <v>89</v>
      </c>
      <c r="AB41" s="21" t="s">
        <v>119</v>
      </c>
      <c r="AC41" s="21" t="s">
        <v>89</v>
      </c>
      <c r="AD41" s="45" t="s">
        <v>119</v>
      </c>
      <c r="AE41" s="21" t="s">
        <v>90</v>
      </c>
      <c r="AF41" s="21" t="s">
        <v>88</v>
      </c>
      <c r="AG41" s="21" t="s">
        <v>90</v>
      </c>
      <c r="AH41" s="21"/>
      <c r="AI41" s="21" t="s">
        <v>88</v>
      </c>
      <c r="AJ41" s="21" t="s">
        <v>89</v>
      </c>
      <c r="AK41" s="36" t="s">
        <v>90</v>
      </c>
    </row>
    <row r="42" spans="1:37" x14ac:dyDescent="0.35">
      <c r="A42" s="11" t="s">
        <v>405</v>
      </c>
      <c r="B42" s="19" t="s">
        <v>461</v>
      </c>
      <c r="C42" s="19" t="s">
        <v>116</v>
      </c>
      <c r="D42" s="19" t="s">
        <v>108</v>
      </c>
      <c r="E42" s="19" t="s">
        <v>109</v>
      </c>
      <c r="F42" s="19">
        <v>0.5</v>
      </c>
      <c r="G42" s="20">
        <v>45268</v>
      </c>
      <c r="H42" s="19"/>
      <c r="I42" s="22"/>
      <c r="J42" s="22"/>
      <c r="K42" s="19"/>
      <c r="L42" s="19"/>
      <c r="M42" s="21"/>
      <c r="N42" s="21"/>
      <c r="O42" s="21"/>
      <c r="P42" s="21"/>
      <c r="Q42" s="21"/>
      <c r="R42" s="21" t="s">
        <v>89</v>
      </c>
      <c r="S42" s="21"/>
      <c r="T42" s="21"/>
      <c r="U42" s="21">
        <f>2*2.481</f>
        <v>4.9619999999999997</v>
      </c>
      <c r="V42" s="21" t="s">
        <v>88</v>
      </c>
      <c r="W42" s="21" t="s">
        <v>92</v>
      </c>
      <c r="X42" s="21" t="s">
        <v>89</v>
      </c>
      <c r="Y42" s="21" t="s">
        <v>90</v>
      </c>
      <c r="Z42" s="21" t="s">
        <v>90</v>
      </c>
      <c r="AA42" s="21" t="s">
        <v>89</v>
      </c>
      <c r="AB42" s="21"/>
      <c r="AC42" s="21" t="s">
        <v>89</v>
      </c>
      <c r="AD42" s="28" t="s">
        <v>119</v>
      </c>
      <c r="AE42" s="21" t="s">
        <v>90</v>
      </c>
      <c r="AF42" s="21" t="s">
        <v>88</v>
      </c>
      <c r="AG42" s="21" t="s">
        <v>90</v>
      </c>
      <c r="AH42" s="21"/>
      <c r="AI42" s="21" t="s">
        <v>88</v>
      </c>
      <c r="AJ42" s="21" t="s">
        <v>89</v>
      </c>
      <c r="AK42" s="36" t="s">
        <v>90</v>
      </c>
    </row>
    <row r="43" spans="1:37" x14ac:dyDescent="0.35">
      <c r="A43" s="11" t="s">
        <v>406</v>
      </c>
      <c r="B43" s="19" t="s">
        <v>462</v>
      </c>
      <c r="C43" s="19" t="s">
        <v>115</v>
      </c>
      <c r="D43" s="19" t="s">
        <v>106</v>
      </c>
      <c r="E43" s="19" t="s">
        <v>109</v>
      </c>
      <c r="F43" s="19">
        <v>0.5</v>
      </c>
      <c r="G43" s="20">
        <v>45267</v>
      </c>
      <c r="H43" s="19"/>
      <c r="I43" s="31"/>
      <c r="J43" s="31"/>
      <c r="K43" s="19"/>
      <c r="L43" s="19"/>
      <c r="M43" s="21" t="s">
        <v>88</v>
      </c>
      <c r="N43" s="21" t="s">
        <v>88</v>
      </c>
      <c r="O43" s="21" t="s">
        <v>119</v>
      </c>
      <c r="P43" s="21"/>
      <c r="Q43" s="21"/>
      <c r="R43" s="21" t="s">
        <v>89</v>
      </c>
      <c r="S43" s="21"/>
      <c r="T43" s="21"/>
      <c r="U43" s="21" t="s">
        <v>119</v>
      </c>
      <c r="V43" s="21">
        <f>2*0.9158</f>
        <v>1.8315999999999999</v>
      </c>
      <c r="W43" s="21" t="s">
        <v>92</v>
      </c>
      <c r="X43" s="21">
        <f>2*2.4472</f>
        <v>4.8944000000000001</v>
      </c>
      <c r="Y43" s="21" t="s">
        <v>90</v>
      </c>
      <c r="Z43" s="21" t="s">
        <v>90</v>
      </c>
      <c r="AA43" s="21" t="s">
        <v>89</v>
      </c>
      <c r="AB43" s="21"/>
      <c r="AC43" s="21" t="s">
        <v>89</v>
      </c>
      <c r="AD43" s="45" t="s">
        <v>119</v>
      </c>
      <c r="AE43" s="21" t="s">
        <v>90</v>
      </c>
      <c r="AF43" s="21" t="s">
        <v>88</v>
      </c>
      <c r="AG43" s="21" t="s">
        <v>90</v>
      </c>
      <c r="AH43" s="21"/>
      <c r="AI43" s="21" t="s">
        <v>88</v>
      </c>
      <c r="AJ43" s="21" t="s">
        <v>89</v>
      </c>
      <c r="AK43" s="36" t="s">
        <v>90</v>
      </c>
    </row>
    <row r="44" spans="1:37" x14ac:dyDescent="0.35">
      <c r="A44" s="11" t="s">
        <v>407</v>
      </c>
      <c r="B44" s="19" t="s">
        <v>463</v>
      </c>
      <c r="C44" s="19" t="s">
        <v>115</v>
      </c>
      <c r="D44" s="19" t="s">
        <v>106</v>
      </c>
      <c r="E44" s="19" t="s">
        <v>109</v>
      </c>
      <c r="F44" s="19">
        <v>0.5</v>
      </c>
      <c r="G44" s="20">
        <v>45254</v>
      </c>
      <c r="H44" s="26"/>
      <c r="I44" s="22"/>
      <c r="J44" s="22"/>
      <c r="K44" s="19"/>
      <c r="L44" s="19"/>
      <c r="M44" s="21"/>
      <c r="N44" s="21" t="s">
        <v>88</v>
      </c>
      <c r="O44" s="21" t="s">
        <v>119</v>
      </c>
      <c r="P44" s="21"/>
      <c r="Q44" s="21"/>
      <c r="R44" s="21" t="s">
        <v>89</v>
      </c>
      <c r="S44" s="21"/>
      <c r="T44" s="21"/>
      <c r="U44" s="21">
        <f>2*2.1915</f>
        <v>4.383</v>
      </c>
      <c r="V44" s="21" t="s">
        <v>88</v>
      </c>
      <c r="W44" s="21" t="s">
        <v>92</v>
      </c>
      <c r="X44" s="21" t="s">
        <v>89</v>
      </c>
      <c r="Y44" s="21" t="s">
        <v>90</v>
      </c>
      <c r="Z44" s="21" t="s">
        <v>90</v>
      </c>
      <c r="AA44" s="21" t="s">
        <v>89</v>
      </c>
      <c r="AB44" s="21"/>
      <c r="AC44" s="21" t="s">
        <v>89</v>
      </c>
      <c r="AD44" s="28" t="s">
        <v>119</v>
      </c>
      <c r="AE44" s="21" t="s">
        <v>90</v>
      </c>
      <c r="AF44" s="21" t="s">
        <v>88</v>
      </c>
      <c r="AG44" s="21" t="s">
        <v>90</v>
      </c>
      <c r="AH44" s="21"/>
      <c r="AI44" s="21" t="s">
        <v>88</v>
      </c>
      <c r="AJ44" s="21" t="s">
        <v>89</v>
      </c>
      <c r="AK44" s="36" t="s">
        <v>90</v>
      </c>
    </row>
    <row r="45" spans="1:37" x14ac:dyDescent="0.35">
      <c r="A45" s="11" t="s">
        <v>408</v>
      </c>
      <c r="B45" s="19" t="s">
        <v>464</v>
      </c>
      <c r="C45" s="19" t="s">
        <v>115</v>
      </c>
      <c r="D45" s="32" t="s">
        <v>108</v>
      </c>
      <c r="E45" s="32" t="s">
        <v>109</v>
      </c>
      <c r="F45" s="32">
        <v>0.5</v>
      </c>
      <c r="G45" s="33">
        <v>45267</v>
      </c>
      <c r="H45" s="32"/>
      <c r="I45" s="31"/>
      <c r="J45" s="31"/>
      <c r="K45" s="19"/>
      <c r="L45" s="19"/>
      <c r="M45" s="21"/>
      <c r="N45" s="21" t="s">
        <v>88</v>
      </c>
      <c r="O45" s="21" t="s">
        <v>119</v>
      </c>
      <c r="P45" s="21" t="s">
        <v>88</v>
      </c>
      <c r="Q45" s="21"/>
      <c r="R45" s="21" t="s">
        <v>89</v>
      </c>
      <c r="S45" s="21"/>
      <c r="T45" s="21"/>
      <c r="U45" s="21" t="s">
        <v>119</v>
      </c>
      <c r="V45" s="21" t="s">
        <v>88</v>
      </c>
      <c r="W45" s="21" t="s">
        <v>92</v>
      </c>
      <c r="X45" s="21" t="s">
        <v>89</v>
      </c>
      <c r="Y45" s="21" t="s">
        <v>90</v>
      </c>
      <c r="Z45" s="21" t="s">
        <v>90</v>
      </c>
      <c r="AA45" s="21" t="s">
        <v>89</v>
      </c>
      <c r="AB45" s="21"/>
      <c r="AC45" s="21" t="s">
        <v>89</v>
      </c>
      <c r="AD45" s="45" t="s">
        <v>119</v>
      </c>
      <c r="AE45" s="21" t="s">
        <v>90</v>
      </c>
      <c r="AF45" s="21" t="s">
        <v>88</v>
      </c>
      <c r="AG45" s="21" t="s">
        <v>90</v>
      </c>
      <c r="AH45" s="21"/>
      <c r="AI45" s="21" t="s">
        <v>88</v>
      </c>
      <c r="AJ45" s="21" t="s">
        <v>89</v>
      </c>
      <c r="AK45" s="36" t="s">
        <v>90</v>
      </c>
    </row>
    <row r="46" spans="1:37" x14ac:dyDescent="0.35">
      <c r="A46" s="11" t="s">
        <v>409</v>
      </c>
      <c r="B46" s="19" t="s">
        <v>465</v>
      </c>
      <c r="C46" s="19" t="s">
        <v>115</v>
      </c>
      <c r="D46" s="19" t="s">
        <v>106</v>
      </c>
      <c r="E46" s="19" t="s">
        <v>109</v>
      </c>
      <c r="F46" s="19">
        <v>0.5</v>
      </c>
      <c r="G46" s="20">
        <v>45261</v>
      </c>
      <c r="H46" s="19"/>
      <c r="I46" s="22"/>
      <c r="J46" s="22"/>
      <c r="K46" s="19"/>
      <c r="L46" s="19"/>
      <c r="M46" s="21" t="s">
        <v>88</v>
      </c>
      <c r="N46" s="21">
        <f>2*0.5814</f>
        <v>1.1628000000000001</v>
      </c>
      <c r="O46" s="21" t="s">
        <v>119</v>
      </c>
      <c r="P46" s="21" t="s">
        <v>88</v>
      </c>
      <c r="Q46" s="21"/>
      <c r="R46" s="21" t="s">
        <v>89</v>
      </c>
      <c r="S46" s="21"/>
      <c r="T46" s="21"/>
      <c r="U46" s="21">
        <f>2*1.4678</f>
        <v>2.9356</v>
      </c>
      <c r="V46" s="21" t="s">
        <v>88</v>
      </c>
      <c r="W46" s="21" t="s">
        <v>92</v>
      </c>
      <c r="X46" s="21"/>
      <c r="Y46" s="21" t="s">
        <v>90</v>
      </c>
      <c r="Z46" s="21" t="s">
        <v>90</v>
      </c>
      <c r="AA46" s="21" t="s">
        <v>89</v>
      </c>
      <c r="AB46" s="21"/>
      <c r="AC46" s="21" t="s">
        <v>89</v>
      </c>
      <c r="AD46" s="28" t="s">
        <v>119</v>
      </c>
      <c r="AE46" s="21" t="s">
        <v>90</v>
      </c>
      <c r="AF46" s="21" t="s">
        <v>88</v>
      </c>
      <c r="AG46" s="21">
        <f>2*5.5544</f>
        <v>11.1088</v>
      </c>
      <c r="AH46" s="21"/>
      <c r="AI46" s="21" t="s">
        <v>88</v>
      </c>
      <c r="AJ46" s="21" t="s">
        <v>89</v>
      </c>
      <c r="AK46" s="36" t="s">
        <v>90</v>
      </c>
    </row>
    <row r="47" spans="1:37" x14ac:dyDescent="0.35">
      <c r="A47" s="11" t="s">
        <v>410</v>
      </c>
      <c r="B47" s="19" t="s">
        <v>466</v>
      </c>
      <c r="C47" s="19" t="s">
        <v>115</v>
      </c>
      <c r="D47" s="32" t="s">
        <v>106</v>
      </c>
      <c r="E47" s="32" t="s">
        <v>109</v>
      </c>
      <c r="F47" s="32">
        <v>0.5</v>
      </c>
      <c r="G47" s="33">
        <v>45254</v>
      </c>
      <c r="H47" s="32"/>
      <c r="I47" s="31"/>
      <c r="J47" s="31"/>
      <c r="K47" s="19"/>
      <c r="L47" s="19"/>
      <c r="M47" s="21"/>
      <c r="N47" s="21" t="s">
        <v>88</v>
      </c>
      <c r="O47" s="21" t="s">
        <v>119</v>
      </c>
      <c r="P47" s="21"/>
      <c r="Q47" s="21"/>
      <c r="R47" s="21" t="s">
        <v>89</v>
      </c>
      <c r="S47" s="21"/>
      <c r="T47" s="21"/>
      <c r="U47" s="21">
        <f>2*1.0041</f>
        <v>2.0082</v>
      </c>
      <c r="V47" s="21" t="s">
        <v>88</v>
      </c>
      <c r="W47" s="21" t="s">
        <v>92</v>
      </c>
      <c r="X47" s="21" t="s">
        <v>89</v>
      </c>
      <c r="Y47" s="21" t="s">
        <v>90</v>
      </c>
      <c r="Z47" s="21" t="s">
        <v>90</v>
      </c>
      <c r="AA47" s="21" t="s">
        <v>89</v>
      </c>
      <c r="AB47" s="21" t="s">
        <v>119</v>
      </c>
      <c r="AC47" s="21" t="s">
        <v>89</v>
      </c>
      <c r="AD47" s="45" t="s">
        <v>119</v>
      </c>
      <c r="AE47" s="21" t="s">
        <v>90</v>
      </c>
      <c r="AF47" s="21" t="s">
        <v>88</v>
      </c>
      <c r="AG47" s="21" t="s">
        <v>90</v>
      </c>
      <c r="AH47" s="21"/>
      <c r="AI47" s="21" t="s">
        <v>88</v>
      </c>
      <c r="AJ47" s="21" t="s">
        <v>89</v>
      </c>
      <c r="AK47" s="36" t="s">
        <v>90</v>
      </c>
    </row>
    <row r="48" spans="1:37" x14ac:dyDescent="0.35">
      <c r="A48" s="11" t="s">
        <v>411</v>
      </c>
      <c r="B48" s="19" t="s">
        <v>467</v>
      </c>
      <c r="C48" s="19" t="s">
        <v>116</v>
      </c>
      <c r="D48" s="19" t="s">
        <v>106</v>
      </c>
      <c r="E48" s="19" t="s">
        <v>109</v>
      </c>
      <c r="F48" s="19">
        <v>0.5</v>
      </c>
      <c r="G48" s="20">
        <v>45268</v>
      </c>
      <c r="H48" s="26"/>
      <c r="I48" s="22"/>
      <c r="J48" s="22"/>
      <c r="K48" s="19"/>
      <c r="L48" s="19"/>
      <c r="M48" s="21"/>
      <c r="N48" s="21"/>
      <c r="O48" s="21"/>
      <c r="P48" s="21"/>
      <c r="Q48" s="21"/>
      <c r="R48" s="21" t="s">
        <v>89</v>
      </c>
      <c r="S48" s="21"/>
      <c r="T48" s="21"/>
      <c r="U48" s="21">
        <f>2*1.3401</f>
        <v>2.6802000000000001</v>
      </c>
      <c r="V48" s="21" t="s">
        <v>88</v>
      </c>
      <c r="W48" s="21" t="s">
        <v>92</v>
      </c>
      <c r="X48" s="21"/>
      <c r="Y48" s="21" t="s">
        <v>90</v>
      </c>
      <c r="Z48" s="21" t="s">
        <v>90</v>
      </c>
      <c r="AA48" s="21" t="s">
        <v>89</v>
      </c>
      <c r="AB48" s="21"/>
      <c r="AC48" s="21" t="s">
        <v>89</v>
      </c>
      <c r="AD48" s="28" t="s">
        <v>119</v>
      </c>
      <c r="AE48" s="21" t="s">
        <v>90</v>
      </c>
      <c r="AF48" s="21" t="s">
        <v>88</v>
      </c>
      <c r="AG48" s="21" t="s">
        <v>90</v>
      </c>
      <c r="AH48" s="21"/>
      <c r="AI48" s="21" t="s">
        <v>88</v>
      </c>
      <c r="AJ48" s="21" t="s">
        <v>89</v>
      </c>
      <c r="AK48" s="36" t="s">
        <v>90</v>
      </c>
    </row>
    <row r="49" spans="1:37" x14ac:dyDescent="0.35">
      <c r="A49" s="11" t="s">
        <v>412</v>
      </c>
      <c r="B49" s="19" t="s">
        <v>468</v>
      </c>
      <c r="C49" s="19" t="s">
        <v>116</v>
      </c>
      <c r="D49" s="19" t="s">
        <v>108</v>
      </c>
      <c r="E49" s="19" t="s">
        <v>109</v>
      </c>
      <c r="F49" s="19">
        <v>0.5</v>
      </c>
      <c r="G49" s="20">
        <v>45268</v>
      </c>
      <c r="H49" s="19"/>
      <c r="I49" s="22"/>
      <c r="J49" s="22"/>
      <c r="K49" s="19"/>
      <c r="L49" s="19"/>
      <c r="M49" s="21"/>
      <c r="N49" s="21"/>
      <c r="O49" s="21"/>
      <c r="P49" s="21"/>
      <c r="Q49" s="21"/>
      <c r="R49" s="21" t="s">
        <v>89</v>
      </c>
      <c r="S49" s="21"/>
      <c r="T49" s="21"/>
      <c r="U49" s="21">
        <f>2*1.7622</f>
        <v>3.5244</v>
      </c>
      <c r="V49" s="21" t="s">
        <v>88</v>
      </c>
      <c r="W49" s="21">
        <f>2*13.9478</f>
        <v>27.895600000000002</v>
      </c>
      <c r="X49" s="21" t="s">
        <v>89</v>
      </c>
      <c r="Y49" s="21" t="s">
        <v>90</v>
      </c>
      <c r="Z49" s="21" t="s">
        <v>90</v>
      </c>
      <c r="AA49" s="21">
        <f>2*2.0528</f>
        <v>4.1055999999999999</v>
      </c>
      <c r="AB49" s="21"/>
      <c r="AC49" s="21" t="s">
        <v>89</v>
      </c>
      <c r="AD49" s="45" t="s">
        <v>119</v>
      </c>
      <c r="AE49" s="21" t="s">
        <v>90</v>
      </c>
      <c r="AF49" s="21" t="s">
        <v>88</v>
      </c>
      <c r="AG49" s="21">
        <f>2*5.12</f>
        <v>10.24</v>
      </c>
      <c r="AH49" s="21"/>
      <c r="AI49" s="21" t="s">
        <v>88</v>
      </c>
      <c r="AJ49" s="21" t="s">
        <v>89</v>
      </c>
      <c r="AK49" s="36" t="s">
        <v>90</v>
      </c>
    </row>
    <row r="50" spans="1:37" x14ac:dyDescent="0.35">
      <c r="A50" s="11" t="s">
        <v>413</v>
      </c>
      <c r="B50" s="19" t="s">
        <v>469</v>
      </c>
      <c r="C50" s="19" t="s">
        <v>116</v>
      </c>
      <c r="D50" s="19" t="s">
        <v>106</v>
      </c>
      <c r="E50" s="19" t="s">
        <v>109</v>
      </c>
      <c r="F50" s="19">
        <v>0.5</v>
      </c>
      <c r="G50" s="20">
        <v>45268</v>
      </c>
      <c r="H50" s="19"/>
      <c r="I50" s="25"/>
      <c r="J50" s="25"/>
      <c r="K50" s="19"/>
      <c r="L50" s="19"/>
      <c r="M50" s="21"/>
      <c r="N50" s="21"/>
      <c r="O50" s="21"/>
      <c r="P50" s="21"/>
      <c r="Q50" s="21" t="s">
        <v>119</v>
      </c>
      <c r="R50" s="21" t="s">
        <v>89</v>
      </c>
      <c r="S50" s="21"/>
      <c r="T50" s="21"/>
      <c r="U50" s="21" t="s">
        <v>119</v>
      </c>
      <c r="V50" s="21" t="s">
        <v>88</v>
      </c>
      <c r="W50" s="21" t="s">
        <v>92</v>
      </c>
      <c r="X50" s="21" t="s">
        <v>89</v>
      </c>
      <c r="Y50" s="21" t="s">
        <v>90</v>
      </c>
      <c r="Z50" s="21" t="s">
        <v>90</v>
      </c>
      <c r="AA50" s="21" t="s">
        <v>89</v>
      </c>
      <c r="AB50" s="21"/>
      <c r="AC50" s="21" t="s">
        <v>89</v>
      </c>
      <c r="AD50" s="28" t="s">
        <v>119</v>
      </c>
      <c r="AE50" s="21" t="s">
        <v>90</v>
      </c>
      <c r="AF50" s="21" t="s">
        <v>88</v>
      </c>
      <c r="AG50" s="21" t="s">
        <v>90</v>
      </c>
      <c r="AH50" s="21"/>
      <c r="AI50" s="21" t="s">
        <v>88</v>
      </c>
      <c r="AJ50" s="21" t="s">
        <v>89</v>
      </c>
      <c r="AK50" s="36" t="s">
        <v>90</v>
      </c>
    </row>
    <row r="51" spans="1:37" x14ac:dyDescent="0.35">
      <c r="A51" s="11" t="s">
        <v>414</v>
      </c>
      <c r="B51" s="19" t="s">
        <v>470</v>
      </c>
      <c r="C51" s="19" t="s">
        <v>116</v>
      </c>
      <c r="D51" s="19" t="s">
        <v>106</v>
      </c>
      <c r="E51" s="19" t="s">
        <v>118</v>
      </c>
      <c r="F51" s="19">
        <v>3</v>
      </c>
      <c r="G51" s="20">
        <v>45268</v>
      </c>
      <c r="H51" s="19"/>
      <c r="I51" s="22"/>
      <c r="J51" s="22"/>
      <c r="K51" s="19"/>
      <c r="L51" s="19"/>
      <c r="M51" s="21"/>
      <c r="N51" s="21"/>
      <c r="O51" s="21"/>
      <c r="P51" s="21"/>
      <c r="Q51" s="21"/>
      <c r="R51" s="21" t="s">
        <v>89</v>
      </c>
      <c r="S51" s="21">
        <f>2*6.1097</f>
        <v>12.2194</v>
      </c>
      <c r="T51" s="21"/>
      <c r="U51" s="21">
        <f>2*2.7259</f>
        <v>5.4518000000000004</v>
      </c>
      <c r="V51" s="21" t="s">
        <v>88</v>
      </c>
      <c r="W51" s="21" t="s">
        <v>92</v>
      </c>
      <c r="X51" s="21"/>
      <c r="Y51" s="21" t="s">
        <v>90</v>
      </c>
      <c r="Z51" s="21" t="s">
        <v>90</v>
      </c>
      <c r="AA51" s="21" t="s">
        <v>89</v>
      </c>
      <c r="AB51" s="21"/>
      <c r="AC51" s="21" t="s">
        <v>89</v>
      </c>
      <c r="AD51" s="45" t="s">
        <v>119</v>
      </c>
      <c r="AE51" s="21" t="s">
        <v>90</v>
      </c>
      <c r="AF51" s="21" t="s">
        <v>88</v>
      </c>
      <c r="AG51" s="21" t="s">
        <v>90</v>
      </c>
      <c r="AH51" s="21"/>
      <c r="AI51" s="21" t="s">
        <v>88</v>
      </c>
      <c r="AJ51" s="21" t="s">
        <v>89</v>
      </c>
      <c r="AK51" s="36" t="s">
        <v>90</v>
      </c>
    </row>
    <row r="52" spans="1:37" x14ac:dyDescent="0.35">
      <c r="A52" s="11" t="s">
        <v>415</v>
      </c>
      <c r="B52" s="19" t="s">
        <v>471</v>
      </c>
      <c r="C52" s="19" t="s">
        <v>116</v>
      </c>
      <c r="D52" s="19" t="s">
        <v>106</v>
      </c>
      <c r="E52" s="19" t="s">
        <v>118</v>
      </c>
      <c r="F52" s="19">
        <v>3</v>
      </c>
      <c r="G52" s="20">
        <v>45268</v>
      </c>
      <c r="H52" s="26"/>
      <c r="I52" s="22"/>
      <c r="J52" s="22"/>
      <c r="K52" s="19"/>
      <c r="L52" s="19"/>
      <c r="M52" s="21"/>
      <c r="N52" s="21" t="s">
        <v>88</v>
      </c>
      <c r="O52" s="21" t="s">
        <v>119</v>
      </c>
      <c r="P52" s="21"/>
      <c r="Q52" s="21"/>
      <c r="R52" s="21" t="s">
        <v>89</v>
      </c>
      <c r="S52" s="21"/>
      <c r="T52" s="21"/>
      <c r="U52" s="21">
        <f>2*4.2944</f>
        <v>8.5888000000000009</v>
      </c>
      <c r="V52" s="21" t="s">
        <v>88</v>
      </c>
      <c r="W52" s="21">
        <f>2*19.6844</f>
        <v>39.3688</v>
      </c>
      <c r="X52" s="21" t="s">
        <v>89</v>
      </c>
      <c r="Y52" s="21" t="s">
        <v>90</v>
      </c>
      <c r="Z52" s="21" t="s">
        <v>90</v>
      </c>
      <c r="AA52" s="21" t="s">
        <v>89</v>
      </c>
      <c r="AB52" s="21"/>
      <c r="AC52" s="21" t="s">
        <v>89</v>
      </c>
      <c r="AD52" s="28" t="s">
        <v>119</v>
      </c>
      <c r="AE52" s="21" t="s">
        <v>90</v>
      </c>
      <c r="AF52" s="21" t="s">
        <v>88</v>
      </c>
      <c r="AG52" s="21" t="s">
        <v>90</v>
      </c>
      <c r="AH52" s="21"/>
      <c r="AI52" s="21" t="s">
        <v>88</v>
      </c>
      <c r="AJ52" s="21" t="s">
        <v>89</v>
      </c>
      <c r="AK52" s="36" t="s">
        <v>90</v>
      </c>
    </row>
    <row r="53" spans="1:37" x14ac:dyDescent="0.35">
      <c r="A53" s="11" t="s">
        <v>416</v>
      </c>
      <c r="B53" s="19" t="s">
        <v>472</v>
      </c>
      <c r="C53" s="19" t="s">
        <v>115</v>
      </c>
      <c r="D53" s="19" t="s">
        <v>106</v>
      </c>
      <c r="E53" s="19" t="s">
        <v>118</v>
      </c>
      <c r="F53" s="19">
        <v>5</v>
      </c>
      <c r="G53" s="20">
        <v>45254</v>
      </c>
      <c r="H53" s="19"/>
      <c r="I53" s="31"/>
      <c r="J53" s="31"/>
      <c r="K53" s="19"/>
      <c r="L53" s="19"/>
      <c r="M53" s="21" t="s">
        <v>88</v>
      </c>
      <c r="N53" s="21">
        <f>2*0.5534</f>
        <v>1.1068</v>
      </c>
      <c r="O53" s="21" t="s">
        <v>119</v>
      </c>
      <c r="P53" s="21" t="s">
        <v>88</v>
      </c>
      <c r="Q53" s="21" t="s">
        <v>119</v>
      </c>
      <c r="R53" s="21" t="s">
        <v>89</v>
      </c>
      <c r="S53" s="21"/>
      <c r="T53" s="21"/>
      <c r="U53" s="21" t="s">
        <v>119</v>
      </c>
      <c r="V53" s="21">
        <f>2*0.6335</f>
        <v>1.2669999999999999</v>
      </c>
      <c r="W53" s="21" t="s">
        <v>92</v>
      </c>
      <c r="X53" s="21" t="s">
        <v>89</v>
      </c>
      <c r="Y53" s="21" t="s">
        <v>90</v>
      </c>
      <c r="Z53" s="21" t="s">
        <v>90</v>
      </c>
      <c r="AA53" s="21" t="s">
        <v>89</v>
      </c>
      <c r="AB53" s="21"/>
      <c r="AC53" s="21" t="s">
        <v>89</v>
      </c>
      <c r="AD53" s="45" t="s">
        <v>119</v>
      </c>
      <c r="AE53" s="21" t="s">
        <v>90</v>
      </c>
      <c r="AF53" s="21" t="s">
        <v>88</v>
      </c>
      <c r="AG53" s="21" t="s">
        <v>90</v>
      </c>
      <c r="AH53" s="21"/>
      <c r="AI53" s="21" t="s">
        <v>88</v>
      </c>
      <c r="AJ53" s="21" t="s">
        <v>89</v>
      </c>
      <c r="AK53" s="36" t="s">
        <v>90</v>
      </c>
    </row>
    <row r="56" spans="1:37" x14ac:dyDescent="0.35">
      <c r="B56" t="s">
        <v>480</v>
      </c>
    </row>
    <row r="57" spans="1:37" x14ac:dyDescent="0.35">
      <c r="B57" t="s">
        <v>481</v>
      </c>
    </row>
  </sheetData>
  <phoneticPr fontId="3" type="noConversion"/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598E-9A94-48D5-9CFE-2674E7F6A010}">
  <dimension ref="A1:AP54"/>
  <sheetViews>
    <sheetView zoomScale="110" zoomScaleNormal="110" workbookViewId="0">
      <pane xSplit="1" ySplit="1" topLeftCell="W4" activePane="bottomRight" state="frozen"/>
      <selection pane="topRight" activeCell="B1" sqref="B1"/>
      <selection pane="bottomLeft" activeCell="A2" sqref="A2"/>
      <selection pane="bottomRight" activeCell="AB34" sqref="AB34"/>
    </sheetView>
  </sheetViews>
  <sheetFormatPr baseColWidth="10" defaultRowHeight="14.5" x14ac:dyDescent="0.35"/>
  <cols>
    <col min="2" max="2" width="11.54296875" bestFit="1" customWidth="1"/>
    <col min="7" max="8" width="11.54296875" bestFit="1" customWidth="1"/>
    <col min="9" max="10" width="18.81640625" bestFit="1" customWidth="1"/>
    <col min="12" max="13" width="10" customWidth="1"/>
    <col min="14" max="14" width="20" customWidth="1"/>
    <col min="15" max="15" width="21.1796875" customWidth="1"/>
    <col min="16" max="18" width="19.453125" customWidth="1"/>
    <col min="19" max="19" width="10" customWidth="1"/>
    <col min="20" max="20" width="8.1796875" customWidth="1"/>
    <col min="21" max="21" width="7.81640625" customWidth="1"/>
    <col min="22" max="22" width="8.453125" customWidth="1"/>
    <col min="23" max="23" width="11" bestFit="1" customWidth="1"/>
    <col min="24" max="24" width="6.81640625" customWidth="1"/>
    <col min="25" max="25" width="16.453125" customWidth="1"/>
    <col min="26" max="26" width="13.1796875" customWidth="1"/>
    <col min="27" max="27" width="9" customWidth="1"/>
    <col min="28" max="28" width="19.7265625" customWidth="1"/>
    <col min="29" max="29" width="11.7265625" customWidth="1"/>
    <col min="30" max="30" width="10" bestFit="1" customWidth="1"/>
    <col min="31" max="31" width="10.81640625" customWidth="1"/>
    <col min="32" max="32" width="12.1796875" bestFit="1" customWidth="1"/>
    <col min="33" max="33" width="13" bestFit="1" customWidth="1"/>
    <col min="34" max="34" width="9.1796875" customWidth="1"/>
    <col min="35" max="35" width="14.54296875" bestFit="1" customWidth="1"/>
    <col min="36" max="37" width="8" customWidth="1"/>
    <col min="38" max="38" width="9" bestFit="1" customWidth="1"/>
    <col min="39" max="39" width="15.7265625" bestFit="1" customWidth="1"/>
    <col min="40" max="40" width="14" customWidth="1"/>
    <col min="41" max="41" width="9.453125" bestFit="1" customWidth="1"/>
    <col min="42" max="42" width="7.453125" customWidth="1"/>
  </cols>
  <sheetData>
    <row r="1" spans="1:42" s="10" customFormat="1" ht="47.25" customHeight="1" x14ac:dyDescent="0.35">
      <c r="A1" s="14" t="s">
        <v>263</v>
      </c>
      <c r="B1" s="16" t="s">
        <v>96</v>
      </c>
      <c r="C1" s="15" t="s">
        <v>97</v>
      </c>
      <c r="D1" s="15" t="s">
        <v>98</v>
      </c>
      <c r="E1" s="15" t="s">
        <v>99</v>
      </c>
      <c r="F1" s="15" t="s">
        <v>475</v>
      </c>
      <c r="G1" s="16" t="s">
        <v>100</v>
      </c>
      <c r="H1" s="16" t="s">
        <v>101</v>
      </c>
      <c r="I1" s="15" t="s">
        <v>102</v>
      </c>
      <c r="J1" s="15" t="s">
        <v>103</v>
      </c>
      <c r="K1" s="17" t="s">
        <v>104</v>
      </c>
      <c r="L1" s="18" t="s">
        <v>49</v>
      </c>
      <c r="M1" s="18" t="s">
        <v>180</v>
      </c>
      <c r="N1" s="18" t="s">
        <v>131</v>
      </c>
      <c r="O1" s="18" t="s">
        <v>132</v>
      </c>
      <c r="P1" s="18" t="s">
        <v>133</v>
      </c>
      <c r="Q1" s="18" t="s">
        <v>181</v>
      </c>
      <c r="R1" s="18" t="s">
        <v>178</v>
      </c>
      <c r="S1" s="18" t="s">
        <v>48</v>
      </c>
      <c r="T1" s="18" t="s">
        <v>69</v>
      </c>
      <c r="U1" s="18" t="s">
        <v>63</v>
      </c>
      <c r="V1" s="18" t="s">
        <v>182</v>
      </c>
      <c r="W1" s="18" t="s">
        <v>16</v>
      </c>
      <c r="X1" s="18" t="s">
        <v>3</v>
      </c>
      <c r="Y1" s="18" t="s">
        <v>74</v>
      </c>
      <c r="Z1" s="18" t="s">
        <v>6</v>
      </c>
      <c r="AA1" s="18" t="s">
        <v>54</v>
      </c>
      <c r="AB1" s="18" t="s">
        <v>18</v>
      </c>
      <c r="AC1" s="18" t="s">
        <v>0</v>
      </c>
      <c r="AD1" s="18" t="s">
        <v>33</v>
      </c>
      <c r="AE1" s="18" t="s">
        <v>11</v>
      </c>
      <c r="AF1" s="18" t="s">
        <v>62</v>
      </c>
      <c r="AG1" s="18" t="s">
        <v>68</v>
      </c>
      <c r="AH1" s="18" t="s">
        <v>4</v>
      </c>
      <c r="AI1" s="18" t="s">
        <v>46</v>
      </c>
      <c r="AJ1" s="18" t="s">
        <v>42</v>
      </c>
      <c r="AK1" s="18" t="s">
        <v>169</v>
      </c>
      <c r="AL1" s="18" t="s">
        <v>23</v>
      </c>
      <c r="AM1" s="18" t="s">
        <v>43</v>
      </c>
      <c r="AN1" s="18" t="s">
        <v>51</v>
      </c>
      <c r="AO1" s="18" t="s">
        <v>39</v>
      </c>
      <c r="AP1" s="18" t="s">
        <v>8</v>
      </c>
    </row>
    <row r="2" spans="1:42" x14ac:dyDescent="0.35">
      <c r="A2" s="11" t="s">
        <v>264</v>
      </c>
      <c r="B2" s="19">
        <v>3063972</v>
      </c>
      <c r="C2" s="19" t="s">
        <v>115</v>
      </c>
      <c r="D2" s="19" t="s">
        <v>106</v>
      </c>
      <c r="E2" s="19" t="s">
        <v>118</v>
      </c>
      <c r="F2" s="19">
        <v>3</v>
      </c>
      <c r="G2" s="20">
        <v>45299</v>
      </c>
      <c r="H2" s="19"/>
      <c r="I2" s="24"/>
      <c r="J2" s="25"/>
      <c r="K2" s="19"/>
      <c r="L2" s="21"/>
      <c r="M2" s="21">
        <f>2*6.4732</f>
        <v>12.946400000000001</v>
      </c>
      <c r="N2" s="21" t="s">
        <v>88</v>
      </c>
      <c r="O2" s="21">
        <f>2*0.6205</f>
        <v>1.2410000000000001</v>
      </c>
      <c r="P2" s="21" t="s">
        <v>119</v>
      </c>
      <c r="Q2" s="21"/>
      <c r="R2" s="21"/>
      <c r="S2" s="21" t="s">
        <v>89</v>
      </c>
      <c r="T2" s="21" t="s">
        <v>90</v>
      </c>
      <c r="U2" s="21"/>
      <c r="V2" s="21"/>
      <c r="W2" s="21">
        <f>2*7.531</f>
        <v>15.061999999999999</v>
      </c>
      <c r="X2" s="21">
        <f>2*0.9204</f>
        <v>1.8408</v>
      </c>
      <c r="Y2" s="21" t="s">
        <v>92</v>
      </c>
      <c r="Z2" s="21" t="s">
        <v>89</v>
      </c>
      <c r="AA2" s="21" t="s">
        <v>90</v>
      </c>
      <c r="AB2" s="21" t="s">
        <v>90</v>
      </c>
      <c r="AC2" s="21" t="s">
        <v>89</v>
      </c>
      <c r="AD2" s="21"/>
      <c r="AE2" s="21"/>
      <c r="AF2" s="21" t="s">
        <v>89</v>
      </c>
      <c r="AG2" s="28" t="s">
        <v>119</v>
      </c>
      <c r="AH2" s="21" t="s">
        <v>90</v>
      </c>
      <c r="AI2" s="21" t="s">
        <v>88</v>
      </c>
      <c r="AJ2" s="21" t="s">
        <v>90</v>
      </c>
      <c r="AK2" s="21"/>
      <c r="AL2" s="21"/>
      <c r="AM2" s="21" t="s">
        <v>119</v>
      </c>
      <c r="AN2" s="21" t="s">
        <v>88</v>
      </c>
      <c r="AO2" s="21" t="s">
        <v>89</v>
      </c>
      <c r="AP2" s="21" t="s">
        <v>90</v>
      </c>
    </row>
    <row r="3" spans="1:42" x14ac:dyDescent="0.35">
      <c r="A3" s="11" t="s">
        <v>265</v>
      </c>
      <c r="B3" s="19">
        <v>3075613</v>
      </c>
      <c r="C3" s="19" t="s">
        <v>115</v>
      </c>
      <c r="D3" s="19" t="s">
        <v>108</v>
      </c>
      <c r="E3" s="19" t="s">
        <v>109</v>
      </c>
      <c r="F3" s="19">
        <v>0.5</v>
      </c>
      <c r="G3" s="20">
        <v>45255</v>
      </c>
      <c r="H3" s="19"/>
      <c r="I3" s="31"/>
      <c r="J3" s="31"/>
      <c r="K3" s="19"/>
      <c r="L3" s="21">
        <f>1.9745*2</f>
        <v>3.9489999999999998</v>
      </c>
      <c r="M3" s="21"/>
      <c r="N3" s="21"/>
      <c r="O3" s="21" t="s">
        <v>88</v>
      </c>
      <c r="P3" s="21" t="s">
        <v>119</v>
      </c>
      <c r="Q3" s="21"/>
      <c r="R3" s="21"/>
      <c r="S3" s="21" t="s">
        <v>89</v>
      </c>
      <c r="T3" s="21"/>
      <c r="U3" s="21" t="s">
        <v>88</v>
      </c>
      <c r="V3" s="21"/>
      <c r="W3" s="21">
        <f>2*1.4662</f>
        <v>2.9323999999999999</v>
      </c>
      <c r="X3" s="21" t="s">
        <v>88</v>
      </c>
      <c r="Y3" s="21" t="s">
        <v>92</v>
      </c>
      <c r="Z3" s="21"/>
      <c r="AA3" s="21" t="s">
        <v>90</v>
      </c>
      <c r="AB3" s="21" t="s">
        <v>90</v>
      </c>
      <c r="AC3" s="21" t="s">
        <v>89</v>
      </c>
      <c r="AD3" s="21" t="s">
        <v>88</v>
      </c>
      <c r="AE3" s="21"/>
      <c r="AF3" s="21" t="s">
        <v>89</v>
      </c>
      <c r="AG3" s="45" t="s">
        <v>119</v>
      </c>
      <c r="AH3" s="21">
        <v>60.95</v>
      </c>
      <c r="AI3" s="21" t="s">
        <v>88</v>
      </c>
      <c r="AJ3" s="21" t="s">
        <v>90</v>
      </c>
      <c r="AK3" s="21"/>
      <c r="AL3" s="21"/>
      <c r="AM3" s="21" t="s">
        <v>119</v>
      </c>
      <c r="AN3" s="21" t="s">
        <v>88</v>
      </c>
      <c r="AO3" s="21"/>
      <c r="AP3" s="21" t="s">
        <v>90</v>
      </c>
    </row>
    <row r="4" spans="1:42" x14ac:dyDescent="0.35">
      <c r="A4" s="11" t="s">
        <v>266</v>
      </c>
      <c r="B4" s="19">
        <v>3147855</v>
      </c>
      <c r="C4" s="19" t="s">
        <v>116</v>
      </c>
      <c r="D4" s="19" t="s">
        <v>106</v>
      </c>
      <c r="E4" s="19" t="s">
        <v>118</v>
      </c>
      <c r="F4" s="19">
        <v>8</v>
      </c>
      <c r="G4" s="20">
        <v>45244</v>
      </c>
      <c r="H4" s="19"/>
      <c r="I4" s="25"/>
      <c r="J4" s="25"/>
      <c r="K4" s="19"/>
      <c r="L4" s="21"/>
      <c r="M4" s="21"/>
      <c r="N4" s="21"/>
      <c r="O4" s="21"/>
      <c r="P4" s="21"/>
      <c r="Q4" s="21"/>
      <c r="R4" s="21"/>
      <c r="S4" s="21" t="s">
        <v>89</v>
      </c>
      <c r="T4" s="21"/>
      <c r="U4" s="21"/>
      <c r="V4" s="21"/>
      <c r="W4" s="21">
        <f>2*23.4646</f>
        <v>46.929200000000002</v>
      </c>
      <c r="X4" s="21" t="s">
        <v>88</v>
      </c>
      <c r="Y4" s="21" t="s">
        <v>92</v>
      </c>
      <c r="Z4" s="21">
        <f>2*3.9082</f>
        <v>7.8163999999999998</v>
      </c>
      <c r="AA4" s="21" t="s">
        <v>90</v>
      </c>
      <c r="AB4" s="21" t="s">
        <v>90</v>
      </c>
      <c r="AC4" s="21" t="s">
        <v>89</v>
      </c>
      <c r="AD4" s="21"/>
      <c r="AE4" s="21"/>
      <c r="AF4" s="21" t="s">
        <v>89</v>
      </c>
      <c r="AG4" s="28" t="s">
        <v>119</v>
      </c>
      <c r="AH4" s="21" t="s">
        <v>90</v>
      </c>
      <c r="AI4" s="21" t="s">
        <v>88</v>
      </c>
      <c r="AJ4" s="21" t="s">
        <v>90</v>
      </c>
      <c r="AK4" s="21"/>
      <c r="AL4" s="21"/>
      <c r="AM4" s="21"/>
      <c r="AN4" s="21" t="s">
        <v>88</v>
      </c>
      <c r="AO4" s="21" t="s">
        <v>89</v>
      </c>
      <c r="AP4" s="21" t="s">
        <v>90</v>
      </c>
    </row>
    <row r="5" spans="1:42" x14ac:dyDescent="0.35">
      <c r="A5" s="11" t="s">
        <v>267</v>
      </c>
      <c r="B5" s="19">
        <v>3147873</v>
      </c>
      <c r="C5" s="19" t="s">
        <v>115</v>
      </c>
      <c r="D5" s="19" t="s">
        <v>108</v>
      </c>
      <c r="E5" s="19" t="s">
        <v>109</v>
      </c>
      <c r="F5" s="19">
        <v>0.5</v>
      </c>
      <c r="G5" s="20">
        <v>45248</v>
      </c>
      <c r="H5" s="19"/>
      <c r="I5" s="22"/>
      <c r="J5" s="22"/>
      <c r="K5" s="19"/>
      <c r="L5" s="21"/>
      <c r="M5" s="21"/>
      <c r="N5" s="21"/>
      <c r="O5" s="21"/>
      <c r="P5" s="21"/>
      <c r="Q5" s="21"/>
      <c r="R5" s="21" t="s">
        <v>119</v>
      </c>
      <c r="S5" s="21" t="s">
        <v>89</v>
      </c>
      <c r="T5" s="21">
        <f>2*5.288</f>
        <v>10.576000000000001</v>
      </c>
      <c r="U5" s="21"/>
      <c r="V5" s="21"/>
      <c r="W5" s="21">
        <f>2*1.4769</f>
        <v>2.9538000000000002</v>
      </c>
      <c r="X5" s="21" t="s">
        <v>88</v>
      </c>
      <c r="Y5" s="21" t="s">
        <v>92</v>
      </c>
      <c r="Z5" s="21">
        <f>2*2.321</f>
        <v>4.6420000000000003</v>
      </c>
      <c r="AA5" s="21" t="s">
        <v>90</v>
      </c>
      <c r="AB5" s="21" t="s">
        <v>90</v>
      </c>
      <c r="AC5" s="21" t="s">
        <v>89</v>
      </c>
      <c r="AD5" s="21"/>
      <c r="AE5" s="21"/>
      <c r="AF5" s="21" t="s">
        <v>89</v>
      </c>
      <c r="AG5" s="45" t="s">
        <v>119</v>
      </c>
      <c r="AH5" s="21" t="s">
        <v>90</v>
      </c>
      <c r="AI5" s="21" t="s">
        <v>88</v>
      </c>
      <c r="AJ5" s="21" t="s">
        <v>90</v>
      </c>
      <c r="AK5" s="21"/>
      <c r="AL5" s="21"/>
      <c r="AM5" s="21"/>
      <c r="AN5" s="21" t="s">
        <v>88</v>
      </c>
      <c r="AO5" s="21" t="s">
        <v>89</v>
      </c>
      <c r="AP5" s="21" t="s">
        <v>90</v>
      </c>
    </row>
    <row r="6" spans="1:42" x14ac:dyDescent="0.35">
      <c r="A6" s="11" t="s">
        <v>268</v>
      </c>
      <c r="B6" s="19">
        <v>3147823</v>
      </c>
      <c r="C6" s="19" t="s">
        <v>116</v>
      </c>
      <c r="D6" s="19" t="s">
        <v>106</v>
      </c>
      <c r="E6" s="19" t="s">
        <v>109</v>
      </c>
      <c r="F6" s="19">
        <v>0.5</v>
      </c>
      <c r="G6" s="20">
        <v>45248</v>
      </c>
      <c r="H6" s="19"/>
      <c r="I6" s="25"/>
      <c r="J6" s="25"/>
      <c r="K6" s="19"/>
      <c r="L6" s="21">
        <f>5.4555*2</f>
        <v>10.911</v>
      </c>
      <c r="M6" s="21"/>
      <c r="N6" s="21"/>
      <c r="O6" s="21"/>
      <c r="P6" s="21"/>
      <c r="Q6" s="21"/>
      <c r="R6" s="21"/>
      <c r="S6" s="21" t="s">
        <v>89</v>
      </c>
      <c r="T6" s="21">
        <f>2*5.0029</f>
        <v>10.005800000000001</v>
      </c>
      <c r="U6" s="21"/>
      <c r="V6" s="21"/>
      <c r="W6" s="21" t="s">
        <v>119</v>
      </c>
      <c r="X6" s="21" t="s">
        <v>88</v>
      </c>
      <c r="Y6" s="21" t="s">
        <v>92</v>
      </c>
      <c r="Z6" s="21"/>
      <c r="AA6" s="21" t="s">
        <v>90</v>
      </c>
      <c r="AB6" s="21" t="s">
        <v>90</v>
      </c>
      <c r="AC6" s="21" t="s">
        <v>89</v>
      </c>
      <c r="AD6" s="21"/>
      <c r="AE6" s="21"/>
      <c r="AF6" s="21" t="s">
        <v>89</v>
      </c>
      <c r="AG6" s="28" t="s">
        <v>119</v>
      </c>
      <c r="AH6" s="21" t="s">
        <v>90</v>
      </c>
      <c r="AI6" s="21" t="s">
        <v>88</v>
      </c>
      <c r="AJ6" s="21" t="s">
        <v>90</v>
      </c>
      <c r="AK6" s="21"/>
      <c r="AL6" s="21"/>
      <c r="AM6" s="21" t="s">
        <v>119</v>
      </c>
      <c r="AN6" s="21" t="s">
        <v>88</v>
      </c>
      <c r="AO6" s="21"/>
      <c r="AP6" s="21" t="s">
        <v>90</v>
      </c>
    </row>
    <row r="7" spans="1:42" x14ac:dyDescent="0.35">
      <c r="A7" s="11" t="s">
        <v>269</v>
      </c>
      <c r="B7" s="19">
        <v>3147856</v>
      </c>
      <c r="C7" s="19" t="s">
        <v>116</v>
      </c>
      <c r="D7" s="19" t="s">
        <v>108</v>
      </c>
      <c r="E7" s="19" t="s">
        <v>109</v>
      </c>
      <c r="F7" s="19">
        <v>0.5</v>
      </c>
      <c r="G7" s="20">
        <v>45265</v>
      </c>
      <c r="H7" s="19"/>
      <c r="I7" s="31"/>
      <c r="J7" s="31"/>
      <c r="K7" s="19"/>
      <c r="L7" s="21" t="s">
        <v>119</v>
      </c>
      <c r="M7" s="21" t="s">
        <v>90</v>
      </c>
      <c r="N7" s="21" t="s">
        <v>88</v>
      </c>
      <c r="O7" s="21" t="s">
        <v>88</v>
      </c>
      <c r="P7" s="21"/>
      <c r="Q7" s="21"/>
      <c r="R7" s="21"/>
      <c r="S7" s="21" t="s">
        <v>89</v>
      </c>
      <c r="T7" s="21"/>
      <c r="U7" s="21"/>
      <c r="V7" s="21" t="s">
        <v>88</v>
      </c>
      <c r="W7" s="21">
        <f>2*13.1036</f>
        <v>26.2072</v>
      </c>
      <c r="X7" s="21" t="s">
        <v>88</v>
      </c>
      <c r="Y7" s="21" t="s">
        <v>92</v>
      </c>
      <c r="Z7" s="21" t="s">
        <v>89</v>
      </c>
      <c r="AA7" s="21" t="s">
        <v>90</v>
      </c>
      <c r="AB7" s="21" t="s">
        <v>90</v>
      </c>
      <c r="AC7" s="21" t="s">
        <v>89</v>
      </c>
      <c r="AD7" s="21" t="s">
        <v>88</v>
      </c>
      <c r="AE7" s="21"/>
      <c r="AF7" s="21" t="s">
        <v>89</v>
      </c>
      <c r="AG7" s="45" t="s">
        <v>119</v>
      </c>
      <c r="AH7" s="21" t="s">
        <v>90</v>
      </c>
      <c r="AI7" s="21" t="s">
        <v>88</v>
      </c>
      <c r="AJ7" s="21" t="s">
        <v>90</v>
      </c>
      <c r="AK7" s="21" t="s">
        <v>119</v>
      </c>
      <c r="AL7" s="21" t="s">
        <v>89</v>
      </c>
      <c r="AM7" s="21"/>
      <c r="AN7" s="21" t="s">
        <v>88</v>
      </c>
      <c r="AO7" s="21" t="s">
        <v>89</v>
      </c>
      <c r="AP7" s="21" t="s">
        <v>90</v>
      </c>
    </row>
    <row r="8" spans="1:42" x14ac:dyDescent="0.35">
      <c r="A8" s="11" t="s">
        <v>270</v>
      </c>
      <c r="B8" s="19">
        <v>3063909</v>
      </c>
      <c r="C8" s="19" t="s">
        <v>116</v>
      </c>
      <c r="D8" s="19" t="s">
        <v>108</v>
      </c>
      <c r="E8" s="19" t="s">
        <v>118</v>
      </c>
      <c r="F8" s="19">
        <v>2</v>
      </c>
      <c r="G8" s="20">
        <v>45299</v>
      </c>
      <c r="H8" s="26"/>
      <c r="I8" s="25"/>
      <c r="J8" s="25"/>
      <c r="K8" s="19"/>
      <c r="L8" s="21"/>
      <c r="M8" s="21"/>
      <c r="N8" s="21"/>
      <c r="O8" s="21" t="s">
        <v>88</v>
      </c>
      <c r="P8" s="21" t="s">
        <v>119</v>
      </c>
      <c r="Q8" s="21"/>
      <c r="R8" s="21" t="s">
        <v>119</v>
      </c>
      <c r="S8" s="21" t="s">
        <v>89</v>
      </c>
      <c r="T8" s="21"/>
      <c r="U8" s="21"/>
      <c r="V8" s="21"/>
      <c r="W8" s="21">
        <f>2*1.2164</f>
        <v>2.4327999999999999</v>
      </c>
      <c r="X8" s="21" t="s">
        <v>88</v>
      </c>
      <c r="Y8" s="21" t="s">
        <v>92</v>
      </c>
      <c r="Z8" s="21" t="s">
        <v>89</v>
      </c>
      <c r="AA8" s="21" t="s">
        <v>90</v>
      </c>
      <c r="AB8" s="21" t="s">
        <v>90</v>
      </c>
      <c r="AC8" s="21" t="s">
        <v>89</v>
      </c>
      <c r="AD8" s="21"/>
      <c r="AE8" s="21"/>
      <c r="AF8" s="21" t="s">
        <v>89</v>
      </c>
      <c r="AG8" s="28" t="s">
        <v>119</v>
      </c>
      <c r="AH8" s="21" t="s">
        <v>90</v>
      </c>
      <c r="AI8" s="21" t="s">
        <v>88</v>
      </c>
      <c r="AJ8" s="21" t="s">
        <v>90</v>
      </c>
      <c r="AK8" s="21"/>
      <c r="AL8" s="21"/>
      <c r="AM8" s="21">
        <f>2*7.4081</f>
        <v>14.8162</v>
      </c>
      <c r="AN8" s="21" t="s">
        <v>88</v>
      </c>
      <c r="AO8" s="21"/>
      <c r="AP8" s="21" t="s">
        <v>90</v>
      </c>
    </row>
    <row r="9" spans="1:42" x14ac:dyDescent="0.35">
      <c r="A9" s="11" t="s">
        <v>271</v>
      </c>
      <c r="B9" s="19">
        <v>3147871</v>
      </c>
      <c r="C9" s="19" t="s">
        <v>116</v>
      </c>
      <c r="D9" s="19" t="s">
        <v>106</v>
      </c>
      <c r="E9" s="19" t="s">
        <v>118</v>
      </c>
      <c r="F9" s="19">
        <v>5</v>
      </c>
      <c r="G9" s="20">
        <v>45248</v>
      </c>
      <c r="H9" s="19"/>
      <c r="I9" s="22"/>
      <c r="J9" s="22"/>
      <c r="K9" s="19"/>
      <c r="L9" s="21"/>
      <c r="M9" s="21" t="s">
        <v>90</v>
      </c>
      <c r="N9" s="21"/>
      <c r="O9" s="21"/>
      <c r="P9" s="21"/>
      <c r="Q9" s="21"/>
      <c r="R9" s="21"/>
      <c r="S9" s="21" t="s">
        <v>89</v>
      </c>
      <c r="T9" s="21" t="s">
        <v>90</v>
      </c>
      <c r="U9" s="21"/>
      <c r="V9" s="21"/>
      <c r="W9" s="21" t="s">
        <v>119</v>
      </c>
      <c r="X9" s="21" t="s">
        <v>88</v>
      </c>
      <c r="Y9" s="21">
        <f>2*11.3034</f>
        <v>22.6068</v>
      </c>
      <c r="Z9" s="21" t="s">
        <v>89</v>
      </c>
      <c r="AA9" s="21" t="s">
        <v>90</v>
      </c>
      <c r="AB9" s="21" t="s">
        <v>90</v>
      </c>
      <c r="AC9" s="21" t="s">
        <v>89</v>
      </c>
      <c r="AD9" s="21"/>
      <c r="AE9" s="21"/>
      <c r="AF9" s="21" t="s">
        <v>89</v>
      </c>
      <c r="AG9" s="45" t="s">
        <v>119</v>
      </c>
      <c r="AH9" s="21">
        <f>2*5.5015</f>
        <v>11.003</v>
      </c>
      <c r="AI9" s="21" t="s">
        <v>88</v>
      </c>
      <c r="AJ9" s="21" t="s">
        <v>90</v>
      </c>
      <c r="AK9" s="21"/>
      <c r="AL9" s="21"/>
      <c r="AM9" s="21" t="s">
        <v>119</v>
      </c>
      <c r="AN9" s="21" t="s">
        <v>88</v>
      </c>
      <c r="AO9" s="21"/>
      <c r="AP9" s="21" t="s">
        <v>90</v>
      </c>
    </row>
    <row r="10" spans="1:42" x14ac:dyDescent="0.35">
      <c r="A10" s="11" t="s">
        <v>272</v>
      </c>
      <c r="B10" s="19">
        <v>3075612</v>
      </c>
      <c r="C10" s="19" t="s">
        <v>115</v>
      </c>
      <c r="D10" s="19" t="s">
        <v>106</v>
      </c>
      <c r="E10" s="19" t="s">
        <v>109</v>
      </c>
      <c r="F10" s="19">
        <v>0.5</v>
      </c>
      <c r="G10" s="20">
        <v>45255</v>
      </c>
      <c r="H10" s="19"/>
      <c r="I10" s="25"/>
      <c r="J10" s="25"/>
      <c r="K10" s="19"/>
      <c r="L10" s="21">
        <f>6.8456*2</f>
        <v>13.6912</v>
      </c>
      <c r="M10" s="21"/>
      <c r="N10" s="21"/>
      <c r="O10" s="21" t="s">
        <v>88</v>
      </c>
      <c r="P10" s="21" t="s">
        <v>119</v>
      </c>
      <c r="Q10" s="21"/>
      <c r="R10" s="21" t="s">
        <v>119</v>
      </c>
      <c r="S10" s="21" t="s">
        <v>89</v>
      </c>
      <c r="T10" s="21"/>
      <c r="U10" s="21" t="s">
        <v>88</v>
      </c>
      <c r="V10" s="21"/>
      <c r="W10" s="21" t="s">
        <v>119</v>
      </c>
      <c r="X10" s="21">
        <f>2*0.6728</f>
        <v>1.3455999999999999</v>
      </c>
      <c r="Y10" s="21" t="s">
        <v>92</v>
      </c>
      <c r="Z10" s="21" t="s">
        <v>89</v>
      </c>
      <c r="AA10" s="21" t="s">
        <v>90</v>
      </c>
      <c r="AB10" s="21" t="s">
        <v>90</v>
      </c>
      <c r="AC10" s="21" t="s">
        <v>89</v>
      </c>
      <c r="AD10" s="21" t="s">
        <v>88</v>
      </c>
      <c r="AE10" s="21"/>
      <c r="AF10" s="21" t="s">
        <v>89</v>
      </c>
      <c r="AG10" s="28" t="s">
        <v>119</v>
      </c>
      <c r="AH10" s="21" t="s">
        <v>90</v>
      </c>
      <c r="AI10" s="21" t="s">
        <v>88</v>
      </c>
      <c r="AJ10" s="21" t="s">
        <v>90</v>
      </c>
      <c r="AK10" s="21"/>
      <c r="AL10" s="21"/>
      <c r="AM10" s="21"/>
      <c r="AN10" s="21" t="s">
        <v>88</v>
      </c>
      <c r="AO10" s="21"/>
      <c r="AP10" s="21" t="s">
        <v>90</v>
      </c>
    </row>
    <row r="11" spans="1:42" x14ac:dyDescent="0.35">
      <c r="A11" s="11" t="s">
        <v>273</v>
      </c>
      <c r="B11" s="19">
        <v>3147804</v>
      </c>
      <c r="C11" s="19" t="s">
        <v>116</v>
      </c>
      <c r="D11" s="19" t="s">
        <v>108</v>
      </c>
      <c r="E11" s="19" t="s">
        <v>109</v>
      </c>
      <c r="F11" s="19">
        <v>0.5</v>
      </c>
      <c r="G11" s="20">
        <v>45279</v>
      </c>
      <c r="H11" s="19"/>
      <c r="I11" s="31"/>
      <c r="J11" s="31"/>
      <c r="K11" s="19"/>
      <c r="L11" s="21"/>
      <c r="M11" s="21"/>
      <c r="N11" s="21"/>
      <c r="O11" s="21" t="s">
        <v>88</v>
      </c>
      <c r="P11" s="21"/>
      <c r="Q11" s="21"/>
      <c r="R11" s="21"/>
      <c r="S11" s="21" t="s">
        <v>89</v>
      </c>
      <c r="T11" s="21"/>
      <c r="U11" s="21"/>
      <c r="V11" s="21"/>
      <c r="W11" s="21" t="s">
        <v>119</v>
      </c>
      <c r="X11" s="21" t="s">
        <v>88</v>
      </c>
      <c r="Y11" s="21" t="s">
        <v>92</v>
      </c>
      <c r="Z11" s="21" t="s">
        <v>89</v>
      </c>
      <c r="AA11" s="21" t="s">
        <v>90</v>
      </c>
      <c r="AB11" s="21" t="s">
        <v>90</v>
      </c>
      <c r="AC11" s="21" t="s">
        <v>89</v>
      </c>
      <c r="AD11" s="21"/>
      <c r="AE11" s="21"/>
      <c r="AF11" s="21" t="s">
        <v>89</v>
      </c>
      <c r="AG11" s="45" t="s">
        <v>119</v>
      </c>
      <c r="AH11" s="21" t="s">
        <v>90</v>
      </c>
      <c r="AI11" s="21" t="s">
        <v>88</v>
      </c>
      <c r="AJ11" s="21" t="s">
        <v>90</v>
      </c>
      <c r="AK11" s="21"/>
      <c r="AL11" s="21"/>
      <c r="AM11" s="21"/>
      <c r="AN11" s="21" t="s">
        <v>88</v>
      </c>
      <c r="AO11" s="21" t="s">
        <v>89</v>
      </c>
      <c r="AP11" s="21" t="s">
        <v>90</v>
      </c>
    </row>
    <row r="12" spans="1:42" x14ac:dyDescent="0.35">
      <c r="A12" s="11" t="s">
        <v>274</v>
      </c>
      <c r="B12" s="19">
        <v>3147857</v>
      </c>
      <c r="C12" s="19" t="s">
        <v>116</v>
      </c>
      <c r="D12" s="19" t="s">
        <v>108</v>
      </c>
      <c r="E12" s="19" t="s">
        <v>109</v>
      </c>
      <c r="F12" s="19">
        <v>0.5</v>
      </c>
      <c r="G12" s="20">
        <v>45271</v>
      </c>
      <c r="H12" s="19"/>
      <c r="I12" s="25"/>
      <c r="J12" s="25"/>
      <c r="K12" s="19"/>
      <c r="L12" s="21"/>
      <c r="M12" s="21"/>
      <c r="N12" s="21"/>
      <c r="O12" s="21" t="s">
        <v>88</v>
      </c>
      <c r="P12" s="21" t="s">
        <v>119</v>
      </c>
      <c r="Q12" s="21"/>
      <c r="R12" s="21"/>
      <c r="S12" s="21" t="s">
        <v>89</v>
      </c>
      <c r="T12" s="21"/>
      <c r="U12" s="21"/>
      <c r="V12" s="21"/>
      <c r="W12" s="21">
        <f>2*1.063</f>
        <v>2.1259999999999999</v>
      </c>
      <c r="X12" s="21" t="s">
        <v>88</v>
      </c>
      <c r="Y12" s="21" t="s">
        <v>92</v>
      </c>
      <c r="Z12" s="21" t="s">
        <v>89</v>
      </c>
      <c r="AA12" s="21" t="s">
        <v>90</v>
      </c>
      <c r="AB12" s="21" t="s">
        <v>90</v>
      </c>
      <c r="AC12" s="21" t="s">
        <v>89</v>
      </c>
      <c r="AD12" s="21"/>
      <c r="AE12" s="21"/>
      <c r="AF12" s="21" t="s">
        <v>89</v>
      </c>
      <c r="AG12" s="28" t="s">
        <v>119</v>
      </c>
      <c r="AH12" s="21" t="s">
        <v>90</v>
      </c>
      <c r="AI12" s="21" t="s">
        <v>88</v>
      </c>
      <c r="AJ12" s="21" t="s">
        <v>90</v>
      </c>
      <c r="AK12" s="21"/>
      <c r="AL12" s="21"/>
      <c r="AM12" s="21"/>
      <c r="AN12" s="21" t="s">
        <v>88</v>
      </c>
      <c r="AO12" s="21"/>
      <c r="AP12" s="21" t="s">
        <v>90</v>
      </c>
    </row>
    <row r="13" spans="1:42" x14ac:dyDescent="0.35">
      <c r="A13" s="11" t="s">
        <v>275</v>
      </c>
      <c r="B13" s="19">
        <v>3147837</v>
      </c>
      <c r="C13" s="19" t="s">
        <v>116</v>
      </c>
      <c r="D13" s="19" t="s">
        <v>106</v>
      </c>
      <c r="E13" s="19" t="s">
        <v>130</v>
      </c>
      <c r="F13" s="19">
        <v>1.5</v>
      </c>
      <c r="G13" s="20">
        <v>45247</v>
      </c>
      <c r="H13" s="19"/>
      <c r="I13" s="22"/>
      <c r="J13" s="22"/>
      <c r="K13" s="19"/>
      <c r="L13" s="21">
        <f>9.8138*2</f>
        <v>19.627600000000001</v>
      </c>
      <c r="M13" s="21"/>
      <c r="N13" s="21"/>
      <c r="O13" s="21"/>
      <c r="P13" s="21"/>
      <c r="Q13" s="21"/>
      <c r="R13" s="21"/>
      <c r="S13" s="21" t="s">
        <v>89</v>
      </c>
      <c r="T13" s="21"/>
      <c r="U13" s="21"/>
      <c r="V13" s="21"/>
      <c r="W13" s="21">
        <f>2*3.7951</f>
        <v>7.5902000000000003</v>
      </c>
      <c r="X13" s="21" t="s">
        <v>88</v>
      </c>
      <c r="Y13" s="21" t="s">
        <v>92</v>
      </c>
      <c r="Z13" s="21" t="s">
        <v>89</v>
      </c>
      <c r="AA13" s="21" t="s">
        <v>90</v>
      </c>
      <c r="AB13" s="21">
        <f>2*5.459</f>
        <v>10.917999999999999</v>
      </c>
      <c r="AC13" s="21" t="s">
        <v>89</v>
      </c>
      <c r="AD13" s="21"/>
      <c r="AE13" s="21">
        <f>2*1.1594</f>
        <v>2.3188</v>
      </c>
      <c r="AF13" s="21" t="s">
        <v>89</v>
      </c>
      <c r="AG13" s="45" t="s">
        <v>119</v>
      </c>
      <c r="AH13" s="21" t="s">
        <v>90</v>
      </c>
      <c r="AI13" s="21" t="s">
        <v>88</v>
      </c>
      <c r="AJ13" s="21" t="s">
        <v>90</v>
      </c>
      <c r="AK13" s="21"/>
      <c r="AL13" s="21" t="s">
        <v>89</v>
      </c>
      <c r="AM13" s="21" t="s">
        <v>119</v>
      </c>
      <c r="AN13" s="21" t="s">
        <v>88</v>
      </c>
      <c r="AO13" s="21" t="s">
        <v>89</v>
      </c>
      <c r="AP13" s="21" t="s">
        <v>90</v>
      </c>
    </row>
    <row r="14" spans="1:42" x14ac:dyDescent="0.35">
      <c r="A14" s="11" t="s">
        <v>276</v>
      </c>
      <c r="B14" s="19">
        <v>3147892</v>
      </c>
      <c r="C14" s="19" t="s">
        <v>116</v>
      </c>
      <c r="D14" s="26" t="s">
        <v>106</v>
      </c>
      <c r="E14" s="26" t="s">
        <v>118</v>
      </c>
      <c r="F14" s="19">
        <v>6</v>
      </c>
      <c r="G14" s="20">
        <v>45279</v>
      </c>
      <c r="H14" s="26"/>
      <c r="I14" s="25"/>
      <c r="J14" s="25"/>
      <c r="K14" s="19"/>
      <c r="L14" s="21"/>
      <c r="M14" s="21"/>
      <c r="N14" s="21"/>
      <c r="O14" s="21"/>
      <c r="P14" s="21"/>
      <c r="Q14" s="21"/>
      <c r="R14" s="21"/>
      <c r="S14" s="21" t="s">
        <v>89</v>
      </c>
      <c r="T14" s="21"/>
      <c r="U14" s="21"/>
      <c r="V14" s="21"/>
      <c r="W14" s="21" t="s">
        <v>119</v>
      </c>
      <c r="X14" s="21" t="s">
        <v>88</v>
      </c>
      <c r="Y14" s="21" t="s">
        <v>92</v>
      </c>
      <c r="Z14" s="21" t="s">
        <v>89</v>
      </c>
      <c r="AA14" s="21" t="s">
        <v>90</v>
      </c>
      <c r="AB14" s="21" t="s">
        <v>90</v>
      </c>
      <c r="AC14" s="21" t="s">
        <v>89</v>
      </c>
      <c r="AD14" s="21"/>
      <c r="AE14" s="21"/>
      <c r="AF14" s="21" t="s">
        <v>89</v>
      </c>
      <c r="AG14" s="28" t="s">
        <v>119</v>
      </c>
      <c r="AH14" s="21" t="s">
        <v>90</v>
      </c>
      <c r="AI14" s="21" t="s">
        <v>88</v>
      </c>
      <c r="AJ14" s="21" t="s">
        <v>90</v>
      </c>
      <c r="AK14" s="21"/>
      <c r="AL14" s="21"/>
      <c r="AM14" s="21"/>
      <c r="AN14" s="21" t="s">
        <v>88</v>
      </c>
      <c r="AO14" s="21" t="s">
        <v>89</v>
      </c>
      <c r="AP14" s="21" t="s">
        <v>90</v>
      </c>
    </row>
    <row r="15" spans="1:42" x14ac:dyDescent="0.35">
      <c r="A15" s="11" t="s">
        <v>277</v>
      </c>
      <c r="B15" s="19">
        <v>3147870</v>
      </c>
      <c r="C15" s="19" t="s">
        <v>115</v>
      </c>
      <c r="D15" s="19" t="s">
        <v>106</v>
      </c>
      <c r="E15" s="19" t="s">
        <v>118</v>
      </c>
      <c r="F15" s="19">
        <v>3</v>
      </c>
      <c r="G15" s="20">
        <v>45248</v>
      </c>
      <c r="H15" s="19"/>
      <c r="I15" s="34"/>
      <c r="J15" s="34"/>
      <c r="K15" s="19"/>
      <c r="L15" s="21" t="s">
        <v>119</v>
      </c>
      <c r="M15" s="21" t="s">
        <v>90</v>
      </c>
      <c r="N15" s="21"/>
      <c r="O15" s="21" t="s">
        <v>88</v>
      </c>
      <c r="P15" s="21" t="s">
        <v>119</v>
      </c>
      <c r="Q15" s="21"/>
      <c r="R15" s="21"/>
      <c r="S15" s="21" t="s">
        <v>89</v>
      </c>
      <c r="T15" s="21"/>
      <c r="U15" s="21"/>
      <c r="V15" s="21"/>
      <c r="W15" s="21" t="s">
        <v>119</v>
      </c>
      <c r="X15" s="21" t="s">
        <v>88</v>
      </c>
      <c r="Y15" s="21" t="s">
        <v>92</v>
      </c>
      <c r="Z15" s="21" t="s">
        <v>89</v>
      </c>
      <c r="AA15" s="21" t="s">
        <v>90</v>
      </c>
      <c r="AB15" s="21" t="s">
        <v>90</v>
      </c>
      <c r="AC15" s="21" t="s">
        <v>89</v>
      </c>
      <c r="AD15" s="21"/>
      <c r="AE15" s="21"/>
      <c r="AF15" s="21" t="s">
        <v>89</v>
      </c>
      <c r="AG15" s="45" t="s">
        <v>119</v>
      </c>
      <c r="AH15" s="21" t="s">
        <v>90</v>
      </c>
      <c r="AI15" s="21" t="s">
        <v>88</v>
      </c>
      <c r="AJ15" s="21" t="s">
        <v>90</v>
      </c>
      <c r="AK15" s="21"/>
      <c r="AL15" s="21"/>
      <c r="AM15" s="21" t="s">
        <v>119</v>
      </c>
      <c r="AN15" s="21" t="s">
        <v>88</v>
      </c>
      <c r="AO15" s="21"/>
      <c r="AP15" s="21" t="s">
        <v>90</v>
      </c>
    </row>
    <row r="16" spans="1:42" x14ac:dyDescent="0.35">
      <c r="A16" s="11" t="s">
        <v>278</v>
      </c>
      <c r="B16" s="19">
        <v>3147853</v>
      </c>
      <c r="C16" s="19" t="s">
        <v>116</v>
      </c>
      <c r="D16" s="19" t="s">
        <v>108</v>
      </c>
      <c r="E16" s="19" t="s">
        <v>130</v>
      </c>
      <c r="F16" s="19">
        <v>1.5</v>
      </c>
      <c r="G16" s="20">
        <v>45248</v>
      </c>
      <c r="H16" s="26"/>
      <c r="I16" s="22"/>
      <c r="J16" s="22"/>
      <c r="K16" s="19"/>
      <c r="L16" s="21"/>
      <c r="M16" s="21"/>
      <c r="N16" s="21"/>
      <c r="O16" s="21" t="s">
        <v>88</v>
      </c>
      <c r="P16" s="21" t="s">
        <v>119</v>
      </c>
      <c r="Q16" s="21"/>
      <c r="R16" s="21"/>
      <c r="S16" s="21" t="s">
        <v>89</v>
      </c>
      <c r="T16" s="21" t="s">
        <v>90</v>
      </c>
      <c r="U16" s="21"/>
      <c r="V16" s="21"/>
      <c r="W16" s="21">
        <f>2*6.9401</f>
        <v>13.8802</v>
      </c>
      <c r="X16" s="21" t="s">
        <v>88</v>
      </c>
      <c r="Y16" s="21" t="s">
        <v>92</v>
      </c>
      <c r="Z16" s="21" t="s">
        <v>89</v>
      </c>
      <c r="AA16" s="21" t="s">
        <v>90</v>
      </c>
      <c r="AB16" s="21" t="s">
        <v>90</v>
      </c>
      <c r="AC16" s="21" t="s">
        <v>89</v>
      </c>
      <c r="AD16" s="21"/>
      <c r="AE16" s="21"/>
      <c r="AF16" s="21" t="s">
        <v>89</v>
      </c>
      <c r="AG16" s="28" t="s">
        <v>119</v>
      </c>
      <c r="AH16" s="21" t="s">
        <v>90</v>
      </c>
      <c r="AI16" s="21" t="s">
        <v>88</v>
      </c>
      <c r="AJ16" s="21" t="s">
        <v>90</v>
      </c>
      <c r="AK16" s="21"/>
      <c r="AL16" s="21"/>
      <c r="AM16" s="21"/>
      <c r="AN16" s="21" t="s">
        <v>88</v>
      </c>
      <c r="AO16" s="21"/>
      <c r="AP16" s="21" t="s">
        <v>90</v>
      </c>
    </row>
    <row r="17" spans="1:42" x14ac:dyDescent="0.35">
      <c r="A17" s="11" t="s">
        <v>279</v>
      </c>
      <c r="B17" s="19">
        <v>3147810</v>
      </c>
      <c r="C17" s="19" t="s">
        <v>116</v>
      </c>
      <c r="D17" s="19" t="s">
        <v>106</v>
      </c>
      <c r="E17" s="19" t="s">
        <v>109</v>
      </c>
      <c r="F17" s="19">
        <v>0.5</v>
      </c>
      <c r="G17" s="20">
        <v>45248</v>
      </c>
      <c r="H17" s="32"/>
      <c r="I17" s="22"/>
      <c r="J17" s="22"/>
      <c r="K17" s="19"/>
      <c r="L17" s="21"/>
      <c r="M17" s="21"/>
      <c r="N17" s="21"/>
      <c r="O17" s="21"/>
      <c r="P17" s="21"/>
      <c r="Q17" s="21"/>
      <c r="R17" s="21"/>
      <c r="S17" s="21" t="s">
        <v>89</v>
      </c>
      <c r="T17" s="21"/>
      <c r="U17" s="21"/>
      <c r="V17" s="21"/>
      <c r="W17" s="21">
        <f>2*2.6261</f>
        <v>5.2522000000000002</v>
      </c>
      <c r="X17" s="21" t="s">
        <v>88</v>
      </c>
      <c r="Y17" s="21" t="s">
        <v>92</v>
      </c>
      <c r="Z17" s="21" t="s">
        <v>89</v>
      </c>
      <c r="AA17" s="21" t="s">
        <v>90</v>
      </c>
      <c r="AB17" s="21" t="s">
        <v>90</v>
      </c>
      <c r="AC17" s="21" t="s">
        <v>89</v>
      </c>
      <c r="AD17" s="21"/>
      <c r="AE17" s="21"/>
      <c r="AF17" s="21" t="s">
        <v>89</v>
      </c>
      <c r="AG17" s="45" t="s">
        <v>119</v>
      </c>
      <c r="AH17" s="21" t="s">
        <v>90</v>
      </c>
      <c r="AI17" s="21" t="s">
        <v>88</v>
      </c>
      <c r="AJ17" s="21" t="s">
        <v>90</v>
      </c>
      <c r="AK17" s="21"/>
      <c r="AL17" s="21"/>
      <c r="AM17" s="21"/>
      <c r="AN17" s="21" t="s">
        <v>88</v>
      </c>
      <c r="AO17" s="21" t="s">
        <v>89</v>
      </c>
      <c r="AP17" s="21" t="s">
        <v>90</v>
      </c>
    </row>
    <row r="18" spans="1:42" x14ac:dyDescent="0.35">
      <c r="A18" s="11" t="s">
        <v>280</v>
      </c>
      <c r="B18" s="19">
        <v>3180569</v>
      </c>
      <c r="C18" s="19" t="s">
        <v>116</v>
      </c>
      <c r="D18" s="19" t="s">
        <v>108</v>
      </c>
      <c r="E18" s="19" t="s">
        <v>109</v>
      </c>
      <c r="F18" s="19">
        <v>0.5</v>
      </c>
      <c r="G18" s="20">
        <v>45317</v>
      </c>
      <c r="H18" s="19"/>
      <c r="I18" s="22"/>
      <c r="J18" s="22"/>
      <c r="K18" s="19"/>
      <c r="L18" s="21"/>
      <c r="M18" s="21"/>
      <c r="N18" s="21"/>
      <c r="O18" s="21" t="s">
        <v>88</v>
      </c>
      <c r="P18" s="21" t="s">
        <v>119</v>
      </c>
      <c r="Q18" s="21"/>
      <c r="R18" s="21"/>
      <c r="S18" s="21" t="s">
        <v>89</v>
      </c>
      <c r="T18" s="21"/>
      <c r="U18" s="21"/>
      <c r="V18" s="21"/>
      <c r="W18" s="21" t="s">
        <v>119</v>
      </c>
      <c r="X18" s="21" t="s">
        <v>88</v>
      </c>
      <c r="Y18" s="21" t="s">
        <v>92</v>
      </c>
      <c r="Z18" s="21" t="s">
        <v>89</v>
      </c>
      <c r="AA18" s="21" t="s">
        <v>90</v>
      </c>
      <c r="AB18" s="21" t="s">
        <v>90</v>
      </c>
      <c r="AC18" s="21" t="s">
        <v>89</v>
      </c>
      <c r="AD18" s="21"/>
      <c r="AE18" s="21"/>
      <c r="AF18" s="21" t="s">
        <v>89</v>
      </c>
      <c r="AG18" s="28" t="s">
        <v>119</v>
      </c>
      <c r="AH18" s="21" t="s">
        <v>90</v>
      </c>
      <c r="AI18" s="21" t="s">
        <v>88</v>
      </c>
      <c r="AJ18" s="21" t="s">
        <v>90</v>
      </c>
      <c r="AK18" s="21"/>
      <c r="AL18" s="21"/>
      <c r="AM18" s="21"/>
      <c r="AN18" s="21" t="s">
        <v>88</v>
      </c>
      <c r="AO18" s="21"/>
      <c r="AP18" s="21" t="s">
        <v>90</v>
      </c>
    </row>
    <row r="19" spans="1:42" x14ac:dyDescent="0.35">
      <c r="A19" s="11" t="s">
        <v>281</v>
      </c>
      <c r="B19" s="19">
        <v>3147839</v>
      </c>
      <c r="C19" s="19" t="s">
        <v>116</v>
      </c>
      <c r="D19" s="19" t="s">
        <v>106</v>
      </c>
      <c r="E19" s="19" t="s">
        <v>109</v>
      </c>
      <c r="F19" s="19">
        <v>0.5</v>
      </c>
      <c r="G19" s="20">
        <v>45248</v>
      </c>
      <c r="H19" s="19"/>
      <c r="I19" s="31"/>
      <c r="J19" s="31"/>
      <c r="K19" s="19"/>
      <c r="L19" s="21"/>
      <c r="M19" s="21"/>
      <c r="N19" s="21"/>
      <c r="O19" s="21" t="s">
        <v>88</v>
      </c>
      <c r="P19" s="21"/>
      <c r="Q19" s="21"/>
      <c r="R19" s="21"/>
      <c r="S19" s="21" t="s">
        <v>89</v>
      </c>
      <c r="T19" s="21"/>
      <c r="U19" s="21"/>
      <c r="V19" s="21"/>
      <c r="W19" s="21" t="s">
        <v>119</v>
      </c>
      <c r="X19" s="21" t="s">
        <v>88</v>
      </c>
      <c r="Y19" s="21" t="s">
        <v>92</v>
      </c>
      <c r="Z19" s="21" t="s">
        <v>89</v>
      </c>
      <c r="AA19" s="21" t="s">
        <v>90</v>
      </c>
      <c r="AB19" s="21" t="s">
        <v>90</v>
      </c>
      <c r="AC19" s="21" t="s">
        <v>89</v>
      </c>
      <c r="AD19" s="21"/>
      <c r="AE19" s="21"/>
      <c r="AF19" s="21" t="s">
        <v>89</v>
      </c>
      <c r="AG19" s="45" t="s">
        <v>119</v>
      </c>
      <c r="AH19" s="21" t="s">
        <v>90</v>
      </c>
      <c r="AI19" s="21" t="s">
        <v>88</v>
      </c>
      <c r="AJ19" s="21" t="s">
        <v>90</v>
      </c>
      <c r="AK19" s="21"/>
      <c r="AL19" s="21"/>
      <c r="AM19" s="21"/>
      <c r="AN19" s="21" t="s">
        <v>88</v>
      </c>
      <c r="AO19" s="21"/>
      <c r="AP19" s="21" t="s">
        <v>90</v>
      </c>
    </row>
    <row r="20" spans="1:42" x14ac:dyDescent="0.35">
      <c r="A20" s="11" t="s">
        <v>282</v>
      </c>
      <c r="B20" s="19">
        <v>3147840</v>
      </c>
      <c r="C20" s="19" t="s">
        <v>115</v>
      </c>
      <c r="D20" s="19" t="s">
        <v>106</v>
      </c>
      <c r="E20" s="19" t="s">
        <v>118</v>
      </c>
      <c r="F20" s="19">
        <v>2</v>
      </c>
      <c r="G20" s="20">
        <v>45248</v>
      </c>
      <c r="H20" s="26"/>
      <c r="I20" s="22"/>
      <c r="J20" s="22"/>
      <c r="K20" s="19"/>
      <c r="L20" s="21"/>
      <c r="M20" s="21"/>
      <c r="N20" s="21"/>
      <c r="O20" s="21" t="s">
        <v>88</v>
      </c>
      <c r="P20" s="21" t="s">
        <v>119</v>
      </c>
      <c r="Q20" s="21"/>
      <c r="R20" s="21"/>
      <c r="S20" s="21" t="s">
        <v>89</v>
      </c>
      <c r="T20" s="21"/>
      <c r="U20" s="21"/>
      <c r="V20" s="21"/>
      <c r="W20" s="21">
        <f>2*0.4153</f>
        <v>0.8306</v>
      </c>
      <c r="X20" s="21" t="s">
        <v>88</v>
      </c>
      <c r="Y20" s="21" t="s">
        <v>92</v>
      </c>
      <c r="Z20" s="21" t="s">
        <v>89</v>
      </c>
      <c r="AA20" s="21" t="s">
        <v>90</v>
      </c>
      <c r="AB20" s="21" t="s">
        <v>90</v>
      </c>
      <c r="AC20" s="21" t="s">
        <v>89</v>
      </c>
      <c r="AD20" s="21"/>
      <c r="AE20" s="21"/>
      <c r="AF20" s="21" t="s">
        <v>89</v>
      </c>
      <c r="AG20" s="28" t="s">
        <v>119</v>
      </c>
      <c r="AH20" s="21" t="s">
        <v>90</v>
      </c>
      <c r="AI20" s="21" t="s">
        <v>88</v>
      </c>
      <c r="AJ20" s="21" t="s">
        <v>90</v>
      </c>
      <c r="AK20" s="21"/>
      <c r="AL20" s="21"/>
      <c r="AM20" s="21" t="s">
        <v>119</v>
      </c>
      <c r="AN20" s="21" t="s">
        <v>88</v>
      </c>
      <c r="AO20" s="21"/>
      <c r="AP20" s="21" t="s">
        <v>90</v>
      </c>
    </row>
    <row r="21" spans="1:42" x14ac:dyDescent="0.35">
      <c r="A21" s="11" t="s">
        <v>283</v>
      </c>
      <c r="B21" s="19">
        <v>3147903</v>
      </c>
      <c r="C21" s="19" t="s">
        <v>116</v>
      </c>
      <c r="D21" s="19" t="s">
        <v>106</v>
      </c>
      <c r="E21" s="19" t="s">
        <v>118</v>
      </c>
      <c r="F21" s="19">
        <v>6</v>
      </c>
      <c r="G21" s="20">
        <v>45293</v>
      </c>
      <c r="H21" s="19"/>
      <c r="I21" s="31"/>
      <c r="J21" s="31"/>
      <c r="K21" s="19"/>
      <c r="L21" s="21"/>
      <c r="M21" s="21" t="s">
        <v>90</v>
      </c>
      <c r="N21" s="21"/>
      <c r="O21" s="21"/>
      <c r="P21" s="21"/>
      <c r="Q21" s="21"/>
      <c r="R21" s="21"/>
      <c r="S21" s="21" t="s">
        <v>89</v>
      </c>
      <c r="T21" s="21" t="s">
        <v>90</v>
      </c>
      <c r="U21" s="21"/>
      <c r="V21" s="21"/>
      <c r="W21" s="21" t="s">
        <v>119</v>
      </c>
      <c r="X21" s="21" t="s">
        <v>88</v>
      </c>
      <c r="Y21" s="21" t="s">
        <v>92</v>
      </c>
      <c r="Z21" s="21" t="s">
        <v>89</v>
      </c>
      <c r="AA21" s="21" t="s">
        <v>90</v>
      </c>
      <c r="AB21" s="21" t="s">
        <v>90</v>
      </c>
      <c r="AC21" s="21" t="s">
        <v>89</v>
      </c>
      <c r="AD21" s="21"/>
      <c r="AE21" s="21"/>
      <c r="AF21" s="21" t="s">
        <v>89</v>
      </c>
      <c r="AG21" s="45" t="s">
        <v>119</v>
      </c>
      <c r="AH21" s="21" t="s">
        <v>90</v>
      </c>
      <c r="AI21" s="21" t="s">
        <v>88</v>
      </c>
      <c r="AJ21" s="21" t="s">
        <v>90</v>
      </c>
      <c r="AK21" s="21"/>
      <c r="AL21" s="21"/>
      <c r="AM21" s="21"/>
      <c r="AN21" s="21" t="s">
        <v>88</v>
      </c>
      <c r="AO21" s="21" t="s">
        <v>89</v>
      </c>
      <c r="AP21" s="21" t="s">
        <v>90</v>
      </c>
    </row>
    <row r="22" spans="1:42" s="44" customFormat="1" x14ac:dyDescent="0.35">
      <c r="A22" s="11" t="s">
        <v>284</v>
      </c>
      <c r="B22" s="40">
        <v>3147819</v>
      </c>
      <c r="C22" s="40" t="s">
        <v>179</v>
      </c>
      <c r="D22" s="40" t="s">
        <v>106</v>
      </c>
      <c r="E22" s="40" t="s">
        <v>109</v>
      </c>
      <c r="F22" s="40">
        <v>0.5</v>
      </c>
      <c r="G22" s="41">
        <v>45247</v>
      </c>
      <c r="H22" s="40"/>
      <c r="I22" s="42"/>
      <c r="J22" s="42"/>
      <c r="K22" s="40" t="s">
        <v>183</v>
      </c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</row>
    <row r="23" spans="1:42" x14ac:dyDescent="0.35">
      <c r="A23" s="11" t="s">
        <v>285</v>
      </c>
      <c r="B23" s="19">
        <v>3147833</v>
      </c>
      <c r="C23" s="19" t="s">
        <v>116</v>
      </c>
      <c r="D23" s="19" t="s">
        <v>106</v>
      </c>
      <c r="E23" s="19" t="s">
        <v>109</v>
      </c>
      <c r="F23" s="19">
        <v>0.5</v>
      </c>
      <c r="G23" s="20">
        <v>45247</v>
      </c>
      <c r="H23" s="19"/>
      <c r="I23" s="22"/>
      <c r="J23" s="22"/>
      <c r="K23" s="19"/>
      <c r="L23" s="21"/>
      <c r="M23" s="21"/>
      <c r="N23" s="21"/>
      <c r="O23" s="21" t="s">
        <v>88</v>
      </c>
      <c r="P23" s="21" t="s">
        <v>119</v>
      </c>
      <c r="Q23" s="21"/>
      <c r="R23" s="21"/>
      <c r="S23" s="21" t="s">
        <v>89</v>
      </c>
      <c r="T23" s="21" t="s">
        <v>90</v>
      </c>
      <c r="U23" s="21" t="s">
        <v>88</v>
      </c>
      <c r="V23" s="21"/>
      <c r="W23" s="21">
        <f>2*1.4388</f>
        <v>2.8776000000000002</v>
      </c>
      <c r="X23" s="21" t="s">
        <v>88</v>
      </c>
      <c r="Y23" s="21" t="s">
        <v>92</v>
      </c>
      <c r="Z23" s="21" t="s">
        <v>89</v>
      </c>
      <c r="AA23" s="21" t="s">
        <v>90</v>
      </c>
      <c r="AB23" s="21" t="s">
        <v>90</v>
      </c>
      <c r="AC23" s="21" t="s">
        <v>89</v>
      </c>
      <c r="AD23" s="21"/>
      <c r="AE23" s="21"/>
      <c r="AF23" s="21" t="s">
        <v>89</v>
      </c>
      <c r="AG23" s="45" t="s">
        <v>119</v>
      </c>
      <c r="AH23" s="21" t="s">
        <v>90</v>
      </c>
      <c r="AI23" s="21" t="s">
        <v>88</v>
      </c>
      <c r="AJ23" s="21" t="s">
        <v>90</v>
      </c>
      <c r="AK23" s="21"/>
      <c r="AL23" s="21"/>
      <c r="AM23" s="21"/>
      <c r="AN23" s="21" t="s">
        <v>88</v>
      </c>
      <c r="AO23" s="21"/>
      <c r="AP23" s="21" t="s">
        <v>90</v>
      </c>
    </row>
    <row r="24" spans="1:42" x14ac:dyDescent="0.35">
      <c r="A24" s="11" t="s">
        <v>286</v>
      </c>
      <c r="B24" s="19">
        <v>3147832</v>
      </c>
      <c r="C24" s="19" t="s">
        <v>116</v>
      </c>
      <c r="D24" s="19" t="s">
        <v>106</v>
      </c>
      <c r="E24" s="19" t="s">
        <v>118</v>
      </c>
      <c r="F24" s="19">
        <v>5</v>
      </c>
      <c r="G24" s="20">
        <v>45247</v>
      </c>
      <c r="H24" s="21"/>
      <c r="I24" s="22"/>
      <c r="J24" s="22"/>
      <c r="K24" s="19"/>
      <c r="L24" s="21">
        <f>3.0033*2</f>
        <v>6.0065999999999997</v>
      </c>
      <c r="M24" s="21"/>
      <c r="N24" s="21"/>
      <c r="O24" s="21" t="s">
        <v>88</v>
      </c>
      <c r="P24" s="21" t="s">
        <v>119</v>
      </c>
      <c r="Q24" s="21"/>
      <c r="R24" s="21"/>
      <c r="S24" s="21" t="s">
        <v>89</v>
      </c>
      <c r="T24" s="21"/>
      <c r="U24" s="21"/>
      <c r="V24" s="21"/>
      <c r="W24" s="21">
        <f>2*2.6334</f>
        <v>5.2667999999999999</v>
      </c>
      <c r="X24" s="21" t="s">
        <v>88</v>
      </c>
      <c r="Y24" s="21" t="s">
        <v>92</v>
      </c>
      <c r="Z24" s="21" t="s">
        <v>89</v>
      </c>
      <c r="AA24" s="21" t="s">
        <v>90</v>
      </c>
      <c r="AB24" s="21" t="s">
        <v>90</v>
      </c>
      <c r="AC24" s="21" t="s">
        <v>89</v>
      </c>
      <c r="AD24" s="21" t="s">
        <v>88</v>
      </c>
      <c r="AE24" s="21"/>
      <c r="AF24" s="21" t="s">
        <v>89</v>
      </c>
      <c r="AG24" s="28" t="s">
        <v>119</v>
      </c>
      <c r="AH24" s="21" t="s">
        <v>90</v>
      </c>
      <c r="AI24" s="21" t="s">
        <v>88</v>
      </c>
      <c r="AJ24" s="21" t="s">
        <v>90</v>
      </c>
      <c r="AK24" s="21"/>
      <c r="AL24" s="21"/>
      <c r="AM24" s="21" t="s">
        <v>119</v>
      </c>
      <c r="AN24" s="21" t="s">
        <v>88</v>
      </c>
      <c r="AO24" s="21"/>
      <c r="AP24" s="21" t="s">
        <v>90</v>
      </c>
    </row>
    <row r="25" spans="1:42" x14ac:dyDescent="0.35">
      <c r="A25" s="11" t="s">
        <v>287</v>
      </c>
      <c r="B25" s="19">
        <v>3147791</v>
      </c>
      <c r="C25" s="19" t="s">
        <v>116</v>
      </c>
      <c r="D25" s="19" t="s">
        <v>106</v>
      </c>
      <c r="E25" s="19" t="s">
        <v>118</v>
      </c>
      <c r="F25" s="19">
        <v>5</v>
      </c>
      <c r="G25" s="20">
        <v>45279</v>
      </c>
      <c r="H25" s="19"/>
      <c r="I25" s="31"/>
      <c r="J25" s="31"/>
      <c r="K25" s="19"/>
      <c r="L25" s="21"/>
      <c r="M25" s="21"/>
      <c r="N25" s="21"/>
      <c r="O25" s="21"/>
      <c r="P25" s="21"/>
      <c r="Q25" s="21"/>
      <c r="R25" s="21"/>
      <c r="S25" s="21" t="s">
        <v>89</v>
      </c>
      <c r="T25" s="21"/>
      <c r="U25" s="21" t="s">
        <v>88</v>
      </c>
      <c r="V25" s="21"/>
      <c r="W25" s="21">
        <f>2*4.3612</f>
        <v>8.7224000000000004</v>
      </c>
      <c r="X25" s="21" t="s">
        <v>88</v>
      </c>
      <c r="Y25" s="21" t="s">
        <v>92</v>
      </c>
      <c r="Z25" s="21" t="s">
        <v>89</v>
      </c>
      <c r="AA25" s="21" t="s">
        <v>90</v>
      </c>
      <c r="AB25" s="21">
        <f>2*5.7658</f>
        <v>11.531599999999999</v>
      </c>
      <c r="AC25" s="21" t="s">
        <v>89</v>
      </c>
      <c r="AD25" s="21"/>
      <c r="AE25" s="21"/>
      <c r="AF25" s="21" t="s">
        <v>89</v>
      </c>
      <c r="AG25" s="45" t="s">
        <v>119</v>
      </c>
      <c r="AH25" s="21" t="s">
        <v>90</v>
      </c>
      <c r="AI25" s="21" t="s">
        <v>88</v>
      </c>
      <c r="AJ25" s="21" t="s">
        <v>90</v>
      </c>
      <c r="AK25" s="21"/>
      <c r="AL25" s="21"/>
      <c r="AM25" s="21"/>
      <c r="AN25" s="21" t="s">
        <v>88</v>
      </c>
      <c r="AO25" s="21"/>
      <c r="AP25" s="21" t="s">
        <v>90</v>
      </c>
    </row>
    <row r="26" spans="1:42" x14ac:dyDescent="0.35">
      <c r="A26" s="11" t="s">
        <v>288</v>
      </c>
      <c r="B26" s="19">
        <v>3147836</v>
      </c>
      <c r="C26" s="19" t="s">
        <v>116</v>
      </c>
      <c r="D26" s="19" t="s">
        <v>106</v>
      </c>
      <c r="E26" s="19" t="s">
        <v>109</v>
      </c>
      <c r="F26" s="19">
        <v>0.5</v>
      </c>
      <c r="G26" s="20">
        <v>45247</v>
      </c>
      <c r="H26" s="19"/>
      <c r="I26" s="27"/>
      <c r="J26" s="27"/>
      <c r="K26" s="19"/>
      <c r="L26" s="21">
        <f>4.9138*2</f>
        <v>9.8276000000000003</v>
      </c>
      <c r="M26" s="21"/>
      <c r="N26" s="21"/>
      <c r="O26" s="21" t="s">
        <v>88</v>
      </c>
      <c r="P26" s="21"/>
      <c r="Q26" s="21"/>
      <c r="R26" s="21" t="s">
        <v>119</v>
      </c>
      <c r="S26" s="21" t="s">
        <v>89</v>
      </c>
      <c r="T26" s="21"/>
      <c r="U26" s="21"/>
      <c r="V26" s="21"/>
      <c r="W26" s="21">
        <f>2*4.2633</f>
        <v>8.5266000000000002</v>
      </c>
      <c r="X26" s="21" t="s">
        <v>88</v>
      </c>
      <c r="Y26" s="21" t="s">
        <v>92</v>
      </c>
      <c r="Z26" s="21">
        <f>2*2.7193</f>
        <v>5.4386000000000001</v>
      </c>
      <c r="AA26" s="21" t="s">
        <v>90</v>
      </c>
      <c r="AB26" s="21" t="s">
        <v>90</v>
      </c>
      <c r="AC26" s="21" t="s">
        <v>89</v>
      </c>
      <c r="AD26" s="21"/>
      <c r="AE26" s="21" t="s">
        <v>88</v>
      </c>
      <c r="AF26" s="21" t="s">
        <v>89</v>
      </c>
      <c r="AG26" s="28" t="s">
        <v>119</v>
      </c>
      <c r="AH26" s="21" t="s">
        <v>90</v>
      </c>
      <c r="AI26" s="21" t="s">
        <v>88</v>
      </c>
      <c r="AJ26" s="21" t="s">
        <v>90</v>
      </c>
      <c r="AK26" s="21"/>
      <c r="AL26" s="21" t="s">
        <v>89</v>
      </c>
      <c r="AM26" s="21"/>
      <c r="AN26" s="21" t="s">
        <v>88</v>
      </c>
      <c r="AO26" s="21"/>
      <c r="AP26" s="21" t="s">
        <v>90</v>
      </c>
    </row>
    <row r="27" spans="1:42" x14ac:dyDescent="0.35">
      <c r="A27" s="11" t="s">
        <v>289</v>
      </c>
      <c r="B27" s="19">
        <v>3147831</v>
      </c>
      <c r="C27" s="19" t="s">
        <v>116</v>
      </c>
      <c r="D27" s="19" t="s">
        <v>106</v>
      </c>
      <c r="E27" s="19" t="s">
        <v>130</v>
      </c>
      <c r="F27" s="19">
        <v>1.5</v>
      </c>
      <c r="G27" s="20">
        <v>45247</v>
      </c>
      <c r="H27" s="19"/>
      <c r="I27" s="31"/>
      <c r="J27" s="31"/>
      <c r="K27" s="19"/>
      <c r="L27" s="21">
        <f>1.4804*2</f>
        <v>2.9607999999999999</v>
      </c>
      <c r="M27" s="21" t="s">
        <v>90</v>
      </c>
      <c r="N27" s="21"/>
      <c r="O27" s="21"/>
      <c r="P27" s="21"/>
      <c r="Q27" s="21"/>
      <c r="R27" s="21"/>
      <c r="S27" s="21" t="s">
        <v>89</v>
      </c>
      <c r="T27" s="21"/>
      <c r="U27" s="21"/>
      <c r="V27" s="21"/>
      <c r="W27" s="21" t="s">
        <v>119</v>
      </c>
      <c r="X27" s="21" t="s">
        <v>88</v>
      </c>
      <c r="Y27" s="21" t="s">
        <v>92</v>
      </c>
      <c r="Z27" s="21" t="s">
        <v>89</v>
      </c>
      <c r="AA27" s="21" t="s">
        <v>90</v>
      </c>
      <c r="AB27" s="21" t="s">
        <v>90</v>
      </c>
      <c r="AC27" s="21" t="s">
        <v>89</v>
      </c>
      <c r="AD27" s="21"/>
      <c r="AE27" s="21"/>
      <c r="AF27" s="21" t="s">
        <v>89</v>
      </c>
      <c r="AG27" s="45" t="s">
        <v>119</v>
      </c>
      <c r="AH27" s="21" t="s">
        <v>90</v>
      </c>
      <c r="AI27" s="21" t="s">
        <v>88</v>
      </c>
      <c r="AJ27" s="21" t="s">
        <v>90</v>
      </c>
      <c r="AK27" s="21"/>
      <c r="AL27" s="21"/>
      <c r="AM27" s="21"/>
      <c r="AN27" s="21" t="s">
        <v>88</v>
      </c>
      <c r="AO27" s="21" t="s">
        <v>89</v>
      </c>
      <c r="AP27" s="21" t="s">
        <v>90</v>
      </c>
    </row>
    <row r="28" spans="1:42" x14ac:dyDescent="0.35">
      <c r="A28" s="11" t="s">
        <v>290</v>
      </c>
      <c r="B28" s="19">
        <v>3147833</v>
      </c>
      <c r="C28" s="19" t="s">
        <v>116</v>
      </c>
      <c r="D28" s="19" t="s">
        <v>106</v>
      </c>
      <c r="E28" s="19" t="s">
        <v>109</v>
      </c>
      <c r="F28" s="19">
        <v>0.5</v>
      </c>
      <c r="G28" s="20">
        <v>45247</v>
      </c>
      <c r="H28" s="19"/>
      <c r="I28" s="24"/>
      <c r="J28" s="24"/>
      <c r="K28" s="19"/>
      <c r="L28" s="21">
        <f>11.2402*2</f>
        <v>22.480399999999999</v>
      </c>
      <c r="M28" s="21"/>
      <c r="N28" s="21"/>
      <c r="O28" s="21"/>
      <c r="P28" s="21" t="s">
        <v>119</v>
      </c>
      <c r="Q28" s="21"/>
      <c r="R28" s="21"/>
      <c r="S28" s="21" t="s">
        <v>89</v>
      </c>
      <c r="T28" s="21"/>
      <c r="U28" s="21"/>
      <c r="V28" s="21"/>
      <c r="W28" s="21">
        <f>2*5.297</f>
        <v>10.593999999999999</v>
      </c>
      <c r="X28" s="21" t="s">
        <v>88</v>
      </c>
      <c r="Y28" s="21" t="s">
        <v>92</v>
      </c>
      <c r="Z28" s="21" t="s">
        <v>89</v>
      </c>
      <c r="AA28" s="21" t="s">
        <v>90</v>
      </c>
      <c r="AB28" s="21" t="s">
        <v>90</v>
      </c>
      <c r="AC28" s="21" t="s">
        <v>89</v>
      </c>
      <c r="AD28" s="21"/>
      <c r="AE28" s="21">
        <f>2*1.847</f>
        <v>3.694</v>
      </c>
      <c r="AF28" s="21" t="s">
        <v>89</v>
      </c>
      <c r="AG28" s="28" t="s">
        <v>119</v>
      </c>
      <c r="AH28" s="21" t="s">
        <v>90</v>
      </c>
      <c r="AI28" s="21" t="s">
        <v>88</v>
      </c>
      <c r="AJ28" s="21" t="s">
        <v>90</v>
      </c>
      <c r="AK28" s="21"/>
      <c r="AL28" s="21" t="s">
        <v>89</v>
      </c>
      <c r="AM28" s="21"/>
      <c r="AN28" s="21" t="s">
        <v>88</v>
      </c>
      <c r="AO28" s="21"/>
      <c r="AP28" s="21" t="s">
        <v>90</v>
      </c>
    </row>
    <row r="29" spans="1:42" x14ac:dyDescent="0.35">
      <c r="A29" s="11" t="s">
        <v>291</v>
      </c>
      <c r="B29" s="19">
        <v>3147834</v>
      </c>
      <c r="C29" s="19" t="s">
        <v>116</v>
      </c>
      <c r="D29" s="19" t="s">
        <v>108</v>
      </c>
      <c r="E29" s="19" t="s">
        <v>109</v>
      </c>
      <c r="F29" s="19">
        <v>0.5</v>
      </c>
      <c r="G29" s="20">
        <v>45247</v>
      </c>
      <c r="H29" s="19"/>
      <c r="I29" s="22"/>
      <c r="J29" s="22"/>
      <c r="K29" s="19"/>
      <c r="L29" s="21">
        <f>7.0693*2</f>
        <v>14.1386</v>
      </c>
      <c r="M29" s="21"/>
      <c r="N29" s="21"/>
      <c r="O29" s="21" t="s">
        <v>88</v>
      </c>
      <c r="P29" s="21" t="s">
        <v>119</v>
      </c>
      <c r="Q29" s="21"/>
      <c r="R29" s="21"/>
      <c r="S29" s="21" t="s">
        <v>89</v>
      </c>
      <c r="T29" s="21"/>
      <c r="U29" s="21"/>
      <c r="V29" s="21"/>
      <c r="W29" s="21">
        <f>2*2.484</f>
        <v>4.968</v>
      </c>
      <c r="X29" s="21" t="s">
        <v>88</v>
      </c>
      <c r="Y29" s="21" t="s">
        <v>92</v>
      </c>
      <c r="Z29" s="21" t="s">
        <v>89</v>
      </c>
      <c r="AA29" s="21" t="s">
        <v>90</v>
      </c>
      <c r="AB29" s="21" t="s">
        <v>90</v>
      </c>
      <c r="AC29" s="21" t="s">
        <v>89</v>
      </c>
      <c r="AD29" s="21"/>
      <c r="AE29" s="21" t="s">
        <v>88</v>
      </c>
      <c r="AF29" s="21" t="s">
        <v>89</v>
      </c>
      <c r="AG29" s="45" t="s">
        <v>119</v>
      </c>
      <c r="AH29" s="21" t="s">
        <v>90</v>
      </c>
      <c r="AI29" s="21" t="s">
        <v>88</v>
      </c>
      <c r="AJ29" s="21" t="s">
        <v>90</v>
      </c>
      <c r="AK29" s="21"/>
      <c r="AL29" s="21"/>
      <c r="AM29" s="21"/>
      <c r="AN29" s="21" t="s">
        <v>88</v>
      </c>
      <c r="AO29" s="21" t="s">
        <v>89</v>
      </c>
      <c r="AP29" s="21" t="s">
        <v>90</v>
      </c>
    </row>
    <row r="30" spans="1:42" x14ac:dyDescent="0.35">
      <c r="A30" s="11" t="s">
        <v>292</v>
      </c>
      <c r="B30" s="19">
        <v>3147835</v>
      </c>
      <c r="C30" s="19" t="s">
        <v>116</v>
      </c>
      <c r="D30" s="19" t="s">
        <v>106</v>
      </c>
      <c r="E30" s="19" t="s">
        <v>118</v>
      </c>
      <c r="F30" s="19">
        <v>6</v>
      </c>
      <c r="G30" s="20">
        <v>45247</v>
      </c>
      <c r="H30" s="19"/>
      <c r="I30" s="22"/>
      <c r="J30" s="22"/>
      <c r="K30" s="19"/>
      <c r="L30" s="21">
        <f>2.1114*2</f>
        <v>4.2228000000000003</v>
      </c>
      <c r="M30" s="21"/>
      <c r="N30" s="21"/>
      <c r="O30" s="21"/>
      <c r="P30" s="21"/>
      <c r="Q30" s="21"/>
      <c r="R30" s="21"/>
      <c r="S30" s="21" t="s">
        <v>89</v>
      </c>
      <c r="T30" s="21"/>
      <c r="U30" s="21"/>
      <c r="V30" s="21"/>
      <c r="W30" s="21">
        <f>2*1.8319</f>
        <v>3.6638000000000002</v>
      </c>
      <c r="X30" s="21" t="s">
        <v>88</v>
      </c>
      <c r="Y30" s="21" t="s">
        <v>92</v>
      </c>
      <c r="Z30" s="21" t="s">
        <v>89</v>
      </c>
      <c r="AA30" s="21" t="s">
        <v>90</v>
      </c>
      <c r="AB30" s="21" t="s">
        <v>90</v>
      </c>
      <c r="AC30" s="21" t="s">
        <v>89</v>
      </c>
      <c r="AD30" s="21"/>
      <c r="AE30" s="21" t="s">
        <v>88</v>
      </c>
      <c r="AF30" s="21" t="s">
        <v>89</v>
      </c>
      <c r="AG30" s="28" t="s">
        <v>119</v>
      </c>
      <c r="AH30" s="21" t="s">
        <v>90</v>
      </c>
      <c r="AI30" s="21" t="s">
        <v>88</v>
      </c>
      <c r="AJ30" s="21" t="s">
        <v>90</v>
      </c>
      <c r="AK30" s="21"/>
      <c r="AL30" s="21"/>
      <c r="AM30" s="21" t="s">
        <v>119</v>
      </c>
      <c r="AN30" s="21" t="s">
        <v>88</v>
      </c>
      <c r="AO30" s="21"/>
      <c r="AP30" s="21" t="s">
        <v>90</v>
      </c>
    </row>
    <row r="31" spans="1:42" x14ac:dyDescent="0.35">
      <c r="A31" s="11" t="s">
        <v>293</v>
      </c>
      <c r="B31" s="19">
        <v>3147858</v>
      </c>
      <c r="C31" s="19" t="s">
        <v>116</v>
      </c>
      <c r="D31" s="19" t="s">
        <v>106</v>
      </c>
      <c r="E31" s="19" t="s">
        <v>109</v>
      </c>
      <c r="F31" s="19">
        <v>0.5</v>
      </c>
      <c r="G31" s="20">
        <v>45247</v>
      </c>
      <c r="H31" s="19"/>
      <c r="I31" s="34"/>
      <c r="J31" s="34"/>
      <c r="K31" s="19"/>
      <c r="L31" s="21"/>
      <c r="M31" s="21"/>
      <c r="N31" s="21"/>
      <c r="O31" s="21"/>
      <c r="P31" s="21"/>
      <c r="Q31" s="21"/>
      <c r="R31" s="21"/>
      <c r="S31" s="21" t="s">
        <v>89</v>
      </c>
      <c r="T31" s="21"/>
      <c r="U31" s="21"/>
      <c r="V31" s="21"/>
      <c r="W31" s="21" t="s">
        <v>119</v>
      </c>
      <c r="X31" s="21" t="s">
        <v>88</v>
      </c>
      <c r="Y31" s="21" t="s">
        <v>92</v>
      </c>
      <c r="Z31" s="21" t="s">
        <v>89</v>
      </c>
      <c r="AA31" s="21" t="s">
        <v>90</v>
      </c>
      <c r="AB31" s="21" t="s">
        <v>90</v>
      </c>
      <c r="AC31" s="21" t="s">
        <v>89</v>
      </c>
      <c r="AD31" s="21"/>
      <c r="AE31" s="21"/>
      <c r="AF31" s="21" t="s">
        <v>89</v>
      </c>
      <c r="AG31" s="45" t="s">
        <v>119</v>
      </c>
      <c r="AH31" s="21" t="s">
        <v>90</v>
      </c>
      <c r="AI31" s="21" t="s">
        <v>88</v>
      </c>
      <c r="AJ31" s="21" t="s">
        <v>90</v>
      </c>
      <c r="AK31" s="21"/>
      <c r="AL31" s="21"/>
      <c r="AM31" s="21"/>
      <c r="AN31" s="21" t="s">
        <v>88</v>
      </c>
      <c r="AO31" s="21"/>
      <c r="AP31" s="21" t="s">
        <v>90</v>
      </c>
    </row>
    <row r="32" spans="1:42" x14ac:dyDescent="0.35">
      <c r="A32" s="11" t="s">
        <v>294</v>
      </c>
      <c r="B32" s="19">
        <v>3147850</v>
      </c>
      <c r="C32" s="19" t="s">
        <v>116</v>
      </c>
      <c r="D32" s="19" t="s">
        <v>106</v>
      </c>
      <c r="E32" s="19" t="s">
        <v>118</v>
      </c>
      <c r="F32" s="19">
        <v>3</v>
      </c>
      <c r="G32" s="20">
        <v>45248</v>
      </c>
      <c r="H32" s="19"/>
      <c r="I32" s="23"/>
      <c r="J32" s="23"/>
      <c r="K32" s="19"/>
      <c r="L32" s="21"/>
      <c r="M32" s="21" t="s">
        <v>90</v>
      </c>
      <c r="N32" s="21" t="s">
        <v>88</v>
      </c>
      <c r="O32" s="21" t="s">
        <v>88</v>
      </c>
      <c r="P32" s="21" t="s">
        <v>119</v>
      </c>
      <c r="Q32" s="21" t="s">
        <v>89</v>
      </c>
      <c r="R32" s="21"/>
      <c r="S32" s="21" t="s">
        <v>89</v>
      </c>
      <c r="T32" s="21"/>
      <c r="U32" s="21"/>
      <c r="V32" s="21" t="s">
        <v>88</v>
      </c>
      <c r="W32" s="21">
        <f>2*1.3015</f>
        <v>2.6030000000000002</v>
      </c>
      <c r="X32" s="21" t="s">
        <v>88</v>
      </c>
      <c r="Y32" s="21" t="s">
        <v>92</v>
      </c>
      <c r="Z32" s="21"/>
      <c r="AA32" s="21" t="s">
        <v>90</v>
      </c>
      <c r="AB32" s="21" t="s">
        <v>90</v>
      </c>
      <c r="AC32" s="21" t="s">
        <v>89</v>
      </c>
      <c r="AD32" s="21" t="s">
        <v>88</v>
      </c>
      <c r="AE32" s="21"/>
      <c r="AF32" s="21" t="s">
        <v>89</v>
      </c>
      <c r="AG32" s="28" t="s">
        <v>119</v>
      </c>
      <c r="AH32" s="21" t="s">
        <v>90</v>
      </c>
      <c r="AI32" s="21" t="s">
        <v>88</v>
      </c>
      <c r="AJ32" s="21" t="s">
        <v>90</v>
      </c>
      <c r="AK32" s="21" t="s">
        <v>119</v>
      </c>
      <c r="AL32" s="21" t="s">
        <v>89</v>
      </c>
      <c r="AM32" s="21"/>
      <c r="AN32" s="21" t="s">
        <v>88</v>
      </c>
      <c r="AO32" s="21" t="s">
        <v>89</v>
      </c>
      <c r="AP32" s="21" t="s">
        <v>90</v>
      </c>
    </row>
    <row r="33" spans="1:42" x14ac:dyDescent="0.35">
      <c r="A33" s="11" t="s">
        <v>295</v>
      </c>
      <c r="B33" s="19">
        <v>3147814</v>
      </c>
      <c r="C33" s="19" t="s">
        <v>116</v>
      </c>
      <c r="D33" s="19" t="s">
        <v>106</v>
      </c>
      <c r="E33" s="19" t="s">
        <v>118</v>
      </c>
      <c r="F33" s="19">
        <v>3</v>
      </c>
      <c r="G33" s="20">
        <v>45248</v>
      </c>
      <c r="H33" s="19"/>
      <c r="I33" s="22"/>
      <c r="J33" s="22"/>
      <c r="K33" s="19"/>
      <c r="L33" s="21"/>
      <c r="M33" s="21">
        <f>2*6.4708</f>
        <v>12.941599999999999</v>
      </c>
      <c r="N33" s="21"/>
      <c r="O33" s="21"/>
      <c r="P33" s="21"/>
      <c r="Q33" s="21"/>
      <c r="R33" s="21"/>
      <c r="S33" s="21" t="s">
        <v>89</v>
      </c>
      <c r="T33" s="21" t="s">
        <v>90</v>
      </c>
      <c r="U33" s="21"/>
      <c r="V33" s="21"/>
      <c r="W33" s="21" t="s">
        <v>119</v>
      </c>
      <c r="X33" s="21" t="s">
        <v>88</v>
      </c>
      <c r="Y33" s="21" t="s">
        <v>92</v>
      </c>
      <c r="Z33" s="21">
        <f>2*14.174</f>
        <v>28.347999999999999</v>
      </c>
      <c r="AA33" s="21" t="s">
        <v>90</v>
      </c>
      <c r="AB33" s="45">
        <f>10*91.3088</f>
        <v>913.08800000000008</v>
      </c>
      <c r="AC33" s="21">
        <f>2*4.9829</f>
        <v>9.9657999999999998</v>
      </c>
      <c r="AD33" s="21"/>
      <c r="AE33" s="21"/>
      <c r="AF33" s="21" t="s">
        <v>89</v>
      </c>
      <c r="AG33" s="45" t="s">
        <v>119</v>
      </c>
      <c r="AH33" s="21" t="s">
        <v>90</v>
      </c>
      <c r="AI33" s="21" t="s">
        <v>88</v>
      </c>
      <c r="AJ33" s="21" t="s">
        <v>90</v>
      </c>
      <c r="AK33" s="21"/>
      <c r="AL33" s="21"/>
      <c r="AM33" s="21"/>
      <c r="AN33" s="21" t="s">
        <v>88</v>
      </c>
      <c r="AO33" s="21"/>
      <c r="AP33" s="21" t="s">
        <v>90</v>
      </c>
    </row>
    <row r="34" spans="1:42" x14ac:dyDescent="0.35">
      <c r="A34" s="11" t="s">
        <v>296</v>
      </c>
      <c r="B34" s="19">
        <v>3063949</v>
      </c>
      <c r="C34" s="19" t="s">
        <v>116</v>
      </c>
      <c r="D34" s="19" t="s">
        <v>108</v>
      </c>
      <c r="E34" s="19" t="s">
        <v>130</v>
      </c>
      <c r="F34" s="19">
        <v>1.5</v>
      </c>
      <c r="G34" s="20">
        <v>45319</v>
      </c>
      <c r="H34" s="19"/>
      <c r="I34" s="25"/>
      <c r="J34" s="25"/>
      <c r="K34" s="19"/>
      <c r="L34" s="21"/>
      <c r="M34" s="21"/>
      <c r="N34" s="21"/>
      <c r="O34" s="21" t="s">
        <v>88</v>
      </c>
      <c r="P34" s="21"/>
      <c r="Q34" s="21"/>
      <c r="R34" s="21"/>
      <c r="S34" s="21" t="s">
        <v>89</v>
      </c>
      <c r="T34" s="21"/>
      <c r="U34" s="21"/>
      <c r="V34" s="21"/>
      <c r="W34" s="21" t="s">
        <v>119</v>
      </c>
      <c r="X34" s="21" t="s">
        <v>88</v>
      </c>
      <c r="Y34" s="21" t="s">
        <v>92</v>
      </c>
      <c r="Z34" s="21" t="s">
        <v>89</v>
      </c>
      <c r="AA34" s="21" t="s">
        <v>90</v>
      </c>
      <c r="AB34" s="21" t="s">
        <v>90</v>
      </c>
      <c r="AC34" s="21" t="s">
        <v>89</v>
      </c>
      <c r="AD34" s="21"/>
      <c r="AE34" s="21"/>
      <c r="AF34" s="21" t="s">
        <v>89</v>
      </c>
      <c r="AG34" s="28" t="s">
        <v>119</v>
      </c>
      <c r="AH34" s="21" t="s">
        <v>90</v>
      </c>
      <c r="AI34" s="21" t="s">
        <v>88</v>
      </c>
      <c r="AJ34" s="21" t="s">
        <v>90</v>
      </c>
      <c r="AK34" s="21"/>
      <c r="AL34" s="21"/>
      <c r="AM34" s="21">
        <f>2*2.822</f>
        <v>5.6440000000000001</v>
      </c>
      <c r="AN34" s="21" t="s">
        <v>88</v>
      </c>
      <c r="AO34" s="21"/>
      <c r="AP34" s="21" t="s">
        <v>90</v>
      </c>
    </row>
    <row r="35" spans="1:42" x14ac:dyDescent="0.35">
      <c r="A35" s="11" t="s">
        <v>297</v>
      </c>
      <c r="B35" s="19">
        <v>3147885</v>
      </c>
      <c r="C35" s="19" t="s">
        <v>116</v>
      </c>
      <c r="D35" s="19" t="s">
        <v>106</v>
      </c>
      <c r="E35" s="19" t="s">
        <v>109</v>
      </c>
      <c r="F35" s="19">
        <v>0.5</v>
      </c>
      <c r="G35" s="20">
        <v>45247</v>
      </c>
      <c r="H35" s="19"/>
      <c r="I35" s="23"/>
      <c r="J35" s="23"/>
      <c r="K35" s="19"/>
      <c r="L35" s="21"/>
      <c r="M35" s="21"/>
      <c r="N35" s="21"/>
      <c r="O35" s="21" t="s">
        <v>88</v>
      </c>
      <c r="P35" s="21" t="s">
        <v>119</v>
      </c>
      <c r="Q35" s="21"/>
      <c r="R35" s="21"/>
      <c r="S35" s="21" t="s">
        <v>89</v>
      </c>
      <c r="T35" s="21"/>
      <c r="U35" s="21"/>
      <c r="V35" s="21"/>
      <c r="W35" s="21">
        <f>2*3.3585</f>
        <v>6.7169999999999996</v>
      </c>
      <c r="X35" s="21" t="s">
        <v>88</v>
      </c>
      <c r="Y35" s="21" t="s">
        <v>92</v>
      </c>
      <c r="Z35" s="21" t="s">
        <v>89</v>
      </c>
      <c r="AA35" s="21" t="s">
        <v>90</v>
      </c>
      <c r="AB35" s="21" t="s">
        <v>90</v>
      </c>
      <c r="AC35" s="21" t="s">
        <v>89</v>
      </c>
      <c r="AD35" s="21"/>
      <c r="AE35" s="21"/>
      <c r="AF35" s="21" t="s">
        <v>89</v>
      </c>
      <c r="AG35" s="45" t="s">
        <v>119</v>
      </c>
      <c r="AH35" s="21" t="s">
        <v>90</v>
      </c>
      <c r="AI35" s="21" t="s">
        <v>88</v>
      </c>
      <c r="AJ35" s="21" t="s">
        <v>90</v>
      </c>
      <c r="AK35" s="21"/>
      <c r="AL35" s="21" t="s">
        <v>72</v>
      </c>
      <c r="AM35" s="21"/>
      <c r="AN35" s="21" t="s">
        <v>88</v>
      </c>
      <c r="AO35" s="21"/>
      <c r="AP35" s="21" t="s">
        <v>90</v>
      </c>
    </row>
    <row r="36" spans="1:42" x14ac:dyDescent="0.35">
      <c r="A36" s="11" t="s">
        <v>298</v>
      </c>
      <c r="B36" s="19">
        <v>3147813</v>
      </c>
      <c r="C36" s="19" t="s">
        <v>116</v>
      </c>
      <c r="D36" s="26" t="s">
        <v>106</v>
      </c>
      <c r="E36" s="26" t="s">
        <v>118</v>
      </c>
      <c r="F36" s="26">
        <v>6</v>
      </c>
      <c r="G36" s="20">
        <v>45248</v>
      </c>
      <c r="H36" s="26"/>
      <c r="I36" s="25"/>
      <c r="J36" s="25"/>
      <c r="K36" s="19"/>
      <c r="L36" s="21"/>
      <c r="M36" s="21"/>
      <c r="N36" s="21"/>
      <c r="O36" s="21"/>
      <c r="P36" s="21"/>
      <c r="Q36" s="21"/>
      <c r="R36" s="21"/>
      <c r="S36" s="21" t="s">
        <v>89</v>
      </c>
      <c r="T36" s="21"/>
      <c r="U36" s="21"/>
      <c r="V36" s="21"/>
      <c r="W36" s="21">
        <f>2*3.0236</f>
        <v>6.0472000000000001</v>
      </c>
      <c r="X36" s="21" t="s">
        <v>88</v>
      </c>
      <c r="Y36" s="21" t="s">
        <v>92</v>
      </c>
      <c r="Z36" s="21" t="s">
        <v>89</v>
      </c>
      <c r="AA36" s="21" t="s">
        <v>90</v>
      </c>
      <c r="AB36" s="21" t="s">
        <v>90</v>
      </c>
      <c r="AC36" s="21" t="s">
        <v>89</v>
      </c>
      <c r="AD36" s="21"/>
      <c r="AE36" s="21"/>
      <c r="AF36" s="21" t="s">
        <v>89</v>
      </c>
      <c r="AG36" s="28" t="s">
        <v>119</v>
      </c>
      <c r="AH36" s="21" t="s">
        <v>90</v>
      </c>
      <c r="AI36" s="21" t="s">
        <v>88</v>
      </c>
      <c r="AJ36" s="21">
        <v>27.430045427369699</v>
      </c>
      <c r="AK36" s="21"/>
      <c r="AL36" s="21"/>
      <c r="AM36" s="21"/>
      <c r="AN36" s="21" t="s">
        <v>88</v>
      </c>
      <c r="AO36" s="21"/>
      <c r="AP36" s="21" t="s">
        <v>90</v>
      </c>
    </row>
    <row r="37" spans="1:42" x14ac:dyDescent="0.35">
      <c r="A37" s="11" t="s">
        <v>299</v>
      </c>
      <c r="B37" s="19">
        <v>3147818</v>
      </c>
      <c r="C37" s="19" t="s">
        <v>116</v>
      </c>
      <c r="D37" s="19" t="s">
        <v>106</v>
      </c>
      <c r="E37" s="19" t="s">
        <v>109</v>
      </c>
      <c r="F37" s="19">
        <v>0.5</v>
      </c>
      <c r="G37" s="20">
        <v>45252</v>
      </c>
      <c r="H37" s="19"/>
      <c r="I37" s="31"/>
      <c r="J37" s="31"/>
      <c r="K37" s="19"/>
      <c r="L37" s="21"/>
      <c r="M37" s="21"/>
      <c r="N37" s="21"/>
      <c r="O37" s="21" t="s">
        <v>88</v>
      </c>
      <c r="P37" s="21"/>
      <c r="Q37" s="21"/>
      <c r="R37" s="21"/>
      <c r="S37" s="21" t="s">
        <v>89</v>
      </c>
      <c r="T37" s="21"/>
      <c r="U37" s="21" t="s">
        <v>88</v>
      </c>
      <c r="V37" s="21"/>
      <c r="W37" s="21">
        <f>2*2.6148</f>
        <v>5.2295999999999996</v>
      </c>
      <c r="X37" s="21" t="s">
        <v>88</v>
      </c>
      <c r="Y37" s="21" t="s">
        <v>92</v>
      </c>
      <c r="Z37" s="21" t="s">
        <v>89</v>
      </c>
      <c r="AA37" s="21" t="s">
        <v>90</v>
      </c>
      <c r="AB37" s="21" t="s">
        <v>90</v>
      </c>
      <c r="AC37" s="21" t="s">
        <v>89</v>
      </c>
      <c r="AD37" s="21"/>
      <c r="AE37" s="21"/>
      <c r="AF37" s="21" t="s">
        <v>89</v>
      </c>
      <c r="AG37" s="45" t="s">
        <v>119</v>
      </c>
      <c r="AH37" s="21" t="s">
        <v>90</v>
      </c>
      <c r="AI37" s="21" t="s">
        <v>88</v>
      </c>
      <c r="AJ37" s="21" t="s">
        <v>90</v>
      </c>
      <c r="AK37" s="21"/>
      <c r="AL37" s="21" t="s">
        <v>89</v>
      </c>
      <c r="AM37" s="21"/>
      <c r="AN37" s="21" t="s">
        <v>88</v>
      </c>
      <c r="AO37" s="21"/>
      <c r="AP37" s="21" t="s">
        <v>90</v>
      </c>
    </row>
    <row r="38" spans="1:42" x14ac:dyDescent="0.35">
      <c r="A38" s="11" t="s">
        <v>300</v>
      </c>
      <c r="B38" s="19">
        <v>3147787</v>
      </c>
      <c r="C38" s="19" t="s">
        <v>116</v>
      </c>
      <c r="D38" s="19" t="s">
        <v>106</v>
      </c>
      <c r="E38" s="19" t="s">
        <v>118</v>
      </c>
      <c r="F38" s="19">
        <v>5</v>
      </c>
      <c r="G38" s="20">
        <v>45322</v>
      </c>
      <c r="H38" s="19"/>
      <c r="I38" s="25"/>
      <c r="J38" s="25"/>
      <c r="K38" s="19"/>
      <c r="L38" s="21"/>
      <c r="M38" s="21" t="s">
        <v>90</v>
      </c>
      <c r="N38" s="21"/>
      <c r="O38" s="21" t="s">
        <v>88</v>
      </c>
      <c r="P38" s="21" t="s">
        <v>119</v>
      </c>
      <c r="Q38" s="21"/>
      <c r="R38" s="21"/>
      <c r="S38" s="21" t="s">
        <v>89</v>
      </c>
      <c r="T38" s="21"/>
      <c r="U38" s="21"/>
      <c r="V38" s="21"/>
      <c r="W38" s="21">
        <f>2*3.242</f>
        <v>6.484</v>
      </c>
      <c r="X38" s="21">
        <v>1.8964980217218601</v>
      </c>
      <c r="Y38" s="21" t="s">
        <v>92</v>
      </c>
      <c r="Z38" s="21" t="s">
        <v>89</v>
      </c>
      <c r="AA38" s="21" t="s">
        <v>90</v>
      </c>
      <c r="AB38" s="21" t="s">
        <v>90</v>
      </c>
      <c r="AC38" s="21" t="s">
        <v>89</v>
      </c>
      <c r="AD38" s="21"/>
      <c r="AE38" s="21"/>
      <c r="AF38" s="21" t="s">
        <v>89</v>
      </c>
      <c r="AG38" s="28" t="s">
        <v>119</v>
      </c>
      <c r="AH38" s="21" t="s">
        <v>90</v>
      </c>
      <c r="AI38" s="21" t="s">
        <v>88</v>
      </c>
      <c r="AJ38" s="21" t="s">
        <v>90</v>
      </c>
      <c r="AK38" s="21"/>
      <c r="AL38" s="21"/>
      <c r="AM38" s="21"/>
      <c r="AN38" s="21" t="s">
        <v>88</v>
      </c>
      <c r="AO38" s="21"/>
      <c r="AP38" s="21" t="s">
        <v>90</v>
      </c>
    </row>
    <row r="39" spans="1:42" x14ac:dyDescent="0.35">
      <c r="A39" s="11" t="s">
        <v>301</v>
      </c>
      <c r="B39" s="19">
        <v>3147884</v>
      </c>
      <c r="C39" s="19" t="s">
        <v>116</v>
      </c>
      <c r="D39" s="19" t="s">
        <v>106</v>
      </c>
      <c r="E39" s="19" t="s">
        <v>118</v>
      </c>
      <c r="F39" s="19">
        <v>2</v>
      </c>
      <c r="G39" s="20">
        <v>45247</v>
      </c>
      <c r="H39" s="19"/>
      <c r="I39" s="22"/>
      <c r="J39" s="22"/>
      <c r="K39" s="19"/>
      <c r="L39" s="21"/>
      <c r="M39" s="21"/>
      <c r="N39" s="21"/>
      <c r="O39" s="21"/>
      <c r="P39" s="21"/>
      <c r="Q39" s="21"/>
      <c r="R39" s="21" t="s">
        <v>119</v>
      </c>
      <c r="S39" s="21" t="s">
        <v>89</v>
      </c>
      <c r="T39" s="21"/>
      <c r="U39" s="21"/>
      <c r="V39" s="21"/>
      <c r="W39" s="21">
        <f>2*6.1708</f>
        <v>12.3416</v>
      </c>
      <c r="X39" s="21" t="s">
        <v>88</v>
      </c>
      <c r="Y39" s="21" t="s">
        <v>92</v>
      </c>
      <c r="Z39" s="21" t="s">
        <v>89</v>
      </c>
      <c r="AA39" s="21" t="s">
        <v>90</v>
      </c>
      <c r="AB39" s="21" t="s">
        <v>90</v>
      </c>
      <c r="AC39" s="21" t="s">
        <v>89</v>
      </c>
      <c r="AD39" s="21"/>
      <c r="AE39" s="21"/>
      <c r="AF39" s="21" t="s">
        <v>89</v>
      </c>
      <c r="AG39" s="45" t="s">
        <v>119</v>
      </c>
      <c r="AH39" s="21" t="s">
        <v>90</v>
      </c>
      <c r="AI39" s="21" t="s">
        <v>88</v>
      </c>
      <c r="AJ39" s="21" t="s">
        <v>90</v>
      </c>
      <c r="AK39" s="21"/>
      <c r="AL39" s="21"/>
      <c r="AM39" s="21"/>
      <c r="AN39" s="21" t="s">
        <v>88</v>
      </c>
      <c r="AO39" s="21"/>
      <c r="AP39" s="21" t="s">
        <v>90</v>
      </c>
    </row>
    <row r="40" spans="1:42" x14ac:dyDescent="0.35">
      <c r="A40" s="11" t="s">
        <v>302</v>
      </c>
      <c r="B40" s="19">
        <v>3147863</v>
      </c>
      <c r="C40" s="19" t="s">
        <v>116</v>
      </c>
      <c r="D40" s="19" t="s">
        <v>108</v>
      </c>
      <c r="E40" s="19" t="s">
        <v>109</v>
      </c>
      <c r="F40" s="19">
        <v>0.5</v>
      </c>
      <c r="G40" s="20">
        <v>45247</v>
      </c>
      <c r="H40" s="19"/>
      <c r="I40" s="22"/>
      <c r="J40" s="22"/>
      <c r="K40" s="19"/>
      <c r="L40" s="21" t="s">
        <v>119</v>
      </c>
      <c r="M40" s="21"/>
      <c r="N40" s="21"/>
      <c r="O40" s="21" t="s">
        <v>88</v>
      </c>
      <c r="P40" s="21" t="s">
        <v>119</v>
      </c>
      <c r="Q40" s="21"/>
      <c r="R40" s="21"/>
      <c r="S40" s="21" t="s">
        <v>89</v>
      </c>
      <c r="T40" s="21"/>
      <c r="U40" s="21"/>
      <c r="V40" s="21"/>
      <c r="W40" s="21">
        <f>2*1.2859</f>
        <v>2.5718000000000001</v>
      </c>
      <c r="X40" s="21" t="s">
        <v>88</v>
      </c>
      <c r="Y40" s="21" t="s">
        <v>92</v>
      </c>
      <c r="Z40" s="21" t="s">
        <v>89</v>
      </c>
      <c r="AA40" s="21" t="s">
        <v>90</v>
      </c>
      <c r="AB40" s="21" t="s">
        <v>90</v>
      </c>
      <c r="AC40" s="21" t="s">
        <v>89</v>
      </c>
      <c r="AD40" s="21"/>
      <c r="AE40" s="21"/>
      <c r="AF40" s="21" t="s">
        <v>89</v>
      </c>
      <c r="AG40" s="28" t="s">
        <v>119</v>
      </c>
      <c r="AH40" s="21" t="s">
        <v>90</v>
      </c>
      <c r="AI40" s="21" t="s">
        <v>88</v>
      </c>
      <c r="AJ40" s="21" t="s">
        <v>90</v>
      </c>
      <c r="AK40" s="21"/>
      <c r="AL40" s="21"/>
      <c r="AM40" s="21"/>
      <c r="AN40" s="21" t="s">
        <v>88</v>
      </c>
      <c r="AO40" s="21"/>
      <c r="AP40" s="21" t="s">
        <v>90</v>
      </c>
    </row>
    <row r="41" spans="1:42" x14ac:dyDescent="0.35">
      <c r="A41" s="11" t="s">
        <v>303</v>
      </c>
      <c r="B41" s="19">
        <v>3147860</v>
      </c>
      <c r="C41" s="19" t="s">
        <v>116</v>
      </c>
      <c r="D41" s="19" t="s">
        <v>106</v>
      </c>
      <c r="E41" s="19" t="s">
        <v>118</v>
      </c>
      <c r="F41" s="19">
        <v>3</v>
      </c>
      <c r="G41" s="20">
        <v>45247</v>
      </c>
      <c r="H41" s="19"/>
      <c r="I41" s="31"/>
      <c r="J41" s="31"/>
      <c r="K41" s="19"/>
      <c r="L41" s="21"/>
      <c r="M41" s="21" t="s">
        <v>90</v>
      </c>
      <c r="N41" s="21"/>
      <c r="O41" s="21"/>
      <c r="P41" s="21"/>
      <c r="Q41" s="21"/>
      <c r="R41" s="21"/>
      <c r="S41" s="21" t="s">
        <v>89</v>
      </c>
      <c r="T41" s="21" t="s">
        <v>90</v>
      </c>
      <c r="U41" s="21"/>
      <c r="V41" s="21"/>
      <c r="W41" s="21" t="s">
        <v>119</v>
      </c>
      <c r="X41" s="21" t="s">
        <v>88</v>
      </c>
      <c r="Y41" s="21" t="s">
        <v>92</v>
      </c>
      <c r="Z41" s="21"/>
      <c r="AA41" s="21" t="s">
        <v>90</v>
      </c>
      <c r="AB41" s="21" t="s">
        <v>90</v>
      </c>
      <c r="AC41" s="21" t="s">
        <v>89</v>
      </c>
      <c r="AD41" s="21"/>
      <c r="AE41" s="21"/>
      <c r="AF41" s="21" t="s">
        <v>89</v>
      </c>
      <c r="AG41" s="45" t="s">
        <v>119</v>
      </c>
      <c r="AH41" s="21">
        <f>2*5.0306</f>
        <v>10.061199999999999</v>
      </c>
      <c r="AI41" s="21" t="s">
        <v>88</v>
      </c>
      <c r="AJ41" s="21" t="s">
        <v>90</v>
      </c>
      <c r="AK41" s="21"/>
      <c r="AL41" s="21"/>
      <c r="AM41" s="21" t="s">
        <v>119</v>
      </c>
      <c r="AN41" s="21" t="s">
        <v>88</v>
      </c>
      <c r="AO41" s="21"/>
      <c r="AP41" s="21" t="s">
        <v>90</v>
      </c>
    </row>
    <row r="42" spans="1:42" x14ac:dyDescent="0.35">
      <c r="A42" s="11" t="s">
        <v>304</v>
      </c>
      <c r="B42" s="19">
        <v>3063970</v>
      </c>
      <c r="C42" s="19" t="s">
        <v>116</v>
      </c>
      <c r="D42" s="19" t="s">
        <v>108</v>
      </c>
      <c r="E42" s="19" t="s">
        <v>109</v>
      </c>
      <c r="F42" s="19">
        <v>0.5</v>
      </c>
      <c r="G42" s="20">
        <v>45262</v>
      </c>
      <c r="H42" s="26"/>
      <c r="I42" s="22"/>
      <c r="J42" s="22"/>
      <c r="K42" s="19"/>
      <c r="L42" s="21"/>
      <c r="M42" s="21"/>
      <c r="N42" s="21"/>
      <c r="O42" s="21" t="s">
        <v>88</v>
      </c>
      <c r="P42" s="21" t="s">
        <v>119</v>
      </c>
      <c r="Q42" s="21"/>
      <c r="R42" s="21"/>
      <c r="S42" s="21" t="s">
        <v>89</v>
      </c>
      <c r="T42" s="21"/>
      <c r="U42" s="21"/>
      <c r="V42" s="21"/>
      <c r="W42" s="21">
        <f>2*2.4095</f>
        <v>4.819</v>
      </c>
      <c r="X42" s="21" t="s">
        <v>88</v>
      </c>
      <c r="Y42" s="21" t="s">
        <v>92</v>
      </c>
      <c r="Z42" s="21" t="s">
        <v>89</v>
      </c>
      <c r="AA42" s="21" t="s">
        <v>90</v>
      </c>
      <c r="AB42" s="21" t="s">
        <v>90</v>
      </c>
      <c r="AC42" s="21" t="s">
        <v>89</v>
      </c>
      <c r="AD42" s="21"/>
      <c r="AE42" s="21"/>
      <c r="AF42" s="21" t="s">
        <v>89</v>
      </c>
      <c r="AG42" s="28" t="s">
        <v>119</v>
      </c>
      <c r="AH42" s="21" t="s">
        <v>90</v>
      </c>
      <c r="AI42" s="21" t="s">
        <v>88</v>
      </c>
      <c r="AJ42" s="21" t="s">
        <v>90</v>
      </c>
      <c r="AK42" s="21"/>
      <c r="AL42" s="21"/>
      <c r="AM42" s="21"/>
      <c r="AN42" s="21" t="s">
        <v>88</v>
      </c>
      <c r="AO42" s="21"/>
      <c r="AP42" s="21" t="s">
        <v>90</v>
      </c>
    </row>
    <row r="43" spans="1:42" x14ac:dyDescent="0.35">
      <c r="A43" s="11" t="s">
        <v>305</v>
      </c>
      <c r="B43" s="19">
        <v>3147788</v>
      </c>
      <c r="C43" s="19" t="s">
        <v>116</v>
      </c>
      <c r="D43" s="32" t="s">
        <v>106</v>
      </c>
      <c r="E43" s="32" t="s">
        <v>130</v>
      </c>
      <c r="F43" s="32">
        <v>1.5</v>
      </c>
      <c r="G43" s="33">
        <v>45322</v>
      </c>
      <c r="H43" s="32"/>
      <c r="I43" s="31"/>
      <c r="J43" s="31"/>
      <c r="K43" s="19"/>
      <c r="L43" s="21"/>
      <c r="M43" s="21"/>
      <c r="N43" s="21"/>
      <c r="O43" s="21" t="s">
        <v>88</v>
      </c>
      <c r="P43" s="21" t="s">
        <v>119</v>
      </c>
      <c r="Q43" s="21"/>
      <c r="R43" s="21"/>
      <c r="S43" s="21" t="s">
        <v>89</v>
      </c>
      <c r="T43" s="21"/>
      <c r="U43" s="21"/>
      <c r="V43" s="21"/>
      <c r="W43" s="21">
        <f>2*1.9271</f>
        <v>3.8542000000000001</v>
      </c>
      <c r="X43" s="21" t="s">
        <v>88</v>
      </c>
      <c r="Y43" s="21" t="s">
        <v>92</v>
      </c>
      <c r="Z43" s="21" t="s">
        <v>89</v>
      </c>
      <c r="AA43" s="21" t="s">
        <v>90</v>
      </c>
      <c r="AB43" s="21" t="s">
        <v>90</v>
      </c>
      <c r="AC43" s="21" t="s">
        <v>89</v>
      </c>
      <c r="AD43" s="21"/>
      <c r="AE43" s="21"/>
      <c r="AF43" s="21" t="s">
        <v>89</v>
      </c>
      <c r="AG43" s="45" t="s">
        <v>119</v>
      </c>
      <c r="AH43" s="21" t="s">
        <v>90</v>
      </c>
      <c r="AI43" s="21" t="s">
        <v>88</v>
      </c>
      <c r="AJ43" s="21" t="s">
        <v>90</v>
      </c>
      <c r="AK43" s="21"/>
      <c r="AL43" s="21"/>
      <c r="AM43" s="21"/>
      <c r="AN43" s="21" t="s">
        <v>88</v>
      </c>
      <c r="AO43" s="21"/>
      <c r="AP43" s="21" t="s">
        <v>90</v>
      </c>
    </row>
    <row r="44" spans="1:42" x14ac:dyDescent="0.35">
      <c r="A44" s="11" t="s">
        <v>306</v>
      </c>
      <c r="B44" s="19">
        <v>3075611</v>
      </c>
      <c r="C44" s="19" t="s">
        <v>115</v>
      </c>
      <c r="D44" s="19" t="s">
        <v>108</v>
      </c>
      <c r="E44" s="19" t="s">
        <v>109</v>
      </c>
      <c r="F44" s="19">
        <v>0.5</v>
      </c>
      <c r="G44" s="20">
        <v>45255</v>
      </c>
      <c r="H44" s="19"/>
      <c r="I44" s="22"/>
      <c r="J44" s="22"/>
      <c r="K44" s="19"/>
      <c r="L44" s="21" t="s">
        <v>119</v>
      </c>
      <c r="M44" s="21"/>
      <c r="N44" s="21" t="s">
        <v>88</v>
      </c>
      <c r="O44" s="21" t="s">
        <v>88</v>
      </c>
      <c r="P44" s="21" t="s">
        <v>119</v>
      </c>
      <c r="Q44" s="21"/>
      <c r="R44" s="21"/>
      <c r="S44" s="21" t="s">
        <v>89</v>
      </c>
      <c r="T44" s="21" t="s">
        <v>90</v>
      </c>
      <c r="U44" s="21" t="s">
        <v>88</v>
      </c>
      <c r="V44" s="21"/>
      <c r="W44" s="21">
        <f>2*2.3088</f>
        <v>4.6176000000000004</v>
      </c>
      <c r="X44" s="21">
        <f>2*0.7828</f>
        <v>1.5656000000000001</v>
      </c>
      <c r="Y44" s="21" t="s">
        <v>92</v>
      </c>
      <c r="Z44" s="21">
        <f>2*6.819</f>
        <v>13.638</v>
      </c>
      <c r="AA44" s="21" t="s">
        <v>90</v>
      </c>
      <c r="AB44" s="21" t="s">
        <v>90</v>
      </c>
      <c r="AC44" s="21">
        <f>2*8.4474</f>
        <v>16.8948</v>
      </c>
      <c r="AD44" s="21" t="s">
        <v>88</v>
      </c>
      <c r="AE44" s="21"/>
      <c r="AF44" s="21" t="s">
        <v>89</v>
      </c>
      <c r="AG44" s="28" t="s">
        <v>119</v>
      </c>
      <c r="AH44" s="21" t="s">
        <v>90</v>
      </c>
      <c r="AI44" s="21" t="s">
        <v>88</v>
      </c>
      <c r="AJ44" s="21" t="s">
        <v>90</v>
      </c>
      <c r="AK44" s="21"/>
      <c r="AL44" s="21"/>
      <c r="AM44" s="21">
        <f>2*3.1105</f>
        <v>6.2210000000000001</v>
      </c>
      <c r="AN44" s="21" t="s">
        <v>88</v>
      </c>
      <c r="AO44" s="21"/>
      <c r="AP44" s="21" t="s">
        <v>90</v>
      </c>
    </row>
    <row r="45" spans="1:42" x14ac:dyDescent="0.35">
      <c r="A45" s="11" t="s">
        <v>307</v>
      </c>
      <c r="B45" s="19">
        <v>3147874</v>
      </c>
      <c r="C45" s="19" t="s">
        <v>116</v>
      </c>
      <c r="D45" s="32" t="s">
        <v>106</v>
      </c>
      <c r="E45" s="32" t="s">
        <v>130</v>
      </c>
      <c r="F45" s="32">
        <v>1.5</v>
      </c>
      <c r="G45" s="33">
        <v>45279</v>
      </c>
      <c r="H45" s="32"/>
      <c r="I45" s="31"/>
      <c r="J45" s="31"/>
      <c r="K45" s="19"/>
      <c r="L45" s="21"/>
      <c r="M45" s="21"/>
      <c r="N45" s="21"/>
      <c r="O45" s="21"/>
      <c r="P45" s="21"/>
      <c r="Q45" s="21"/>
      <c r="R45" s="21"/>
      <c r="S45" s="21" t="s">
        <v>89</v>
      </c>
      <c r="T45" s="21"/>
      <c r="U45" s="21"/>
      <c r="V45" s="21"/>
      <c r="W45" s="21" t="s">
        <v>119</v>
      </c>
      <c r="X45" s="21" t="s">
        <v>88</v>
      </c>
      <c r="Y45" s="21" t="s">
        <v>92</v>
      </c>
      <c r="Z45" s="21" t="s">
        <v>89</v>
      </c>
      <c r="AA45" s="21" t="s">
        <v>90</v>
      </c>
      <c r="AB45" s="21" t="s">
        <v>90</v>
      </c>
      <c r="AC45" s="21" t="s">
        <v>89</v>
      </c>
      <c r="AD45" s="21"/>
      <c r="AE45" s="21"/>
      <c r="AF45" s="21" t="s">
        <v>89</v>
      </c>
      <c r="AG45" s="45" t="s">
        <v>119</v>
      </c>
      <c r="AH45" s="21" t="s">
        <v>90</v>
      </c>
      <c r="AI45" s="21" t="s">
        <v>88</v>
      </c>
      <c r="AJ45" s="21" t="s">
        <v>90</v>
      </c>
      <c r="AK45" s="21"/>
      <c r="AL45" s="21"/>
      <c r="AM45" s="21"/>
      <c r="AN45" s="21" t="s">
        <v>88</v>
      </c>
      <c r="AO45" s="21"/>
      <c r="AP45" s="21" t="s">
        <v>90</v>
      </c>
    </row>
    <row r="46" spans="1:42" x14ac:dyDescent="0.35">
      <c r="A46" s="11" t="s">
        <v>308</v>
      </c>
      <c r="B46" s="19">
        <v>3147809</v>
      </c>
      <c r="C46" s="19" t="s">
        <v>116</v>
      </c>
      <c r="D46" s="19" t="s">
        <v>106</v>
      </c>
      <c r="E46" s="19" t="s">
        <v>109</v>
      </c>
      <c r="F46" s="19">
        <v>0.5</v>
      </c>
      <c r="G46" s="20">
        <v>45279</v>
      </c>
      <c r="H46" s="26"/>
      <c r="I46" s="22"/>
      <c r="J46" s="22"/>
      <c r="K46" s="19"/>
      <c r="L46" s="21"/>
      <c r="M46" s="21"/>
      <c r="N46" s="21"/>
      <c r="O46" s="21" t="s">
        <v>88</v>
      </c>
      <c r="P46" s="21" t="s">
        <v>119</v>
      </c>
      <c r="Q46" s="21"/>
      <c r="R46" s="21" t="s">
        <v>119</v>
      </c>
      <c r="S46" s="21" t="s">
        <v>89</v>
      </c>
      <c r="T46" s="21"/>
      <c r="U46" s="21"/>
      <c r="V46" s="21"/>
      <c r="W46" s="21">
        <f>2*3.3409</f>
        <v>6.6818</v>
      </c>
      <c r="X46" s="21" t="s">
        <v>88</v>
      </c>
      <c r="Y46" s="21" t="s">
        <v>92</v>
      </c>
      <c r="Z46" s="21" t="s">
        <v>89</v>
      </c>
      <c r="AA46" s="21" t="s">
        <v>90</v>
      </c>
      <c r="AB46" s="21" t="s">
        <v>90</v>
      </c>
      <c r="AC46" s="21" t="s">
        <v>89</v>
      </c>
      <c r="AD46" s="21"/>
      <c r="AE46" s="21"/>
      <c r="AF46" s="21" t="s">
        <v>89</v>
      </c>
      <c r="AG46" s="28" t="s">
        <v>119</v>
      </c>
      <c r="AH46" s="21" t="s">
        <v>90</v>
      </c>
      <c r="AI46" s="21" t="s">
        <v>88</v>
      </c>
      <c r="AJ46" s="21" t="s">
        <v>90</v>
      </c>
      <c r="AK46" s="21"/>
      <c r="AL46" s="21"/>
      <c r="AM46" s="21"/>
      <c r="AN46" s="21" t="s">
        <v>88</v>
      </c>
      <c r="AO46" s="21"/>
      <c r="AP46" s="21" t="s">
        <v>90</v>
      </c>
    </row>
    <row r="47" spans="1:42" x14ac:dyDescent="0.35">
      <c r="A47" s="11" t="s">
        <v>309</v>
      </c>
      <c r="B47" s="19">
        <v>3147843</v>
      </c>
      <c r="C47" s="19" t="s">
        <v>116</v>
      </c>
      <c r="D47" s="19" t="s">
        <v>106</v>
      </c>
      <c r="E47" s="19" t="s">
        <v>118</v>
      </c>
      <c r="F47" s="19">
        <v>3</v>
      </c>
      <c r="G47" s="20">
        <v>45248</v>
      </c>
      <c r="H47" s="19"/>
      <c r="I47" s="22"/>
      <c r="J47" s="22"/>
      <c r="K47" s="19"/>
      <c r="L47" s="21"/>
      <c r="M47" s="21">
        <f>2*5.9708</f>
        <v>11.941599999999999</v>
      </c>
      <c r="N47" s="21"/>
      <c r="O47" s="21"/>
      <c r="P47" s="21"/>
      <c r="Q47" s="21"/>
      <c r="R47" s="21"/>
      <c r="S47" s="21" t="s">
        <v>89</v>
      </c>
      <c r="T47" s="21"/>
      <c r="U47" s="21"/>
      <c r="V47" s="21"/>
      <c r="W47" s="21" t="s">
        <v>119</v>
      </c>
      <c r="X47" s="21" t="s">
        <v>88</v>
      </c>
      <c r="Y47" s="21" t="s">
        <v>92</v>
      </c>
      <c r="Z47" s="21" t="s">
        <v>89</v>
      </c>
      <c r="AA47" s="21" t="s">
        <v>90</v>
      </c>
      <c r="AB47" s="21" t="s">
        <v>90</v>
      </c>
      <c r="AC47" s="21" t="s">
        <v>89</v>
      </c>
      <c r="AD47" s="21"/>
      <c r="AE47" s="21"/>
      <c r="AF47" s="21" t="s">
        <v>89</v>
      </c>
      <c r="AG47" s="45" t="s">
        <v>119</v>
      </c>
      <c r="AH47" s="21" t="s">
        <v>90</v>
      </c>
      <c r="AI47" s="21" t="s">
        <v>88</v>
      </c>
      <c r="AJ47" s="21" t="s">
        <v>90</v>
      </c>
      <c r="AK47" s="21"/>
      <c r="AL47" s="21"/>
      <c r="AM47" s="21"/>
      <c r="AN47" s="21" t="s">
        <v>88</v>
      </c>
      <c r="AO47" s="21" t="s">
        <v>89</v>
      </c>
      <c r="AP47" s="21" t="s">
        <v>90</v>
      </c>
    </row>
    <row r="48" spans="1:42" x14ac:dyDescent="0.35">
      <c r="A48" s="11" t="s">
        <v>310</v>
      </c>
      <c r="B48" s="19">
        <v>3147841</v>
      </c>
      <c r="C48" s="19" t="s">
        <v>116</v>
      </c>
      <c r="D48" s="19" t="s">
        <v>106</v>
      </c>
      <c r="E48" s="19" t="s">
        <v>118</v>
      </c>
      <c r="F48" s="19">
        <v>5</v>
      </c>
      <c r="G48" s="20">
        <v>45247</v>
      </c>
      <c r="H48" s="19"/>
      <c r="I48" s="25"/>
      <c r="J48" s="25"/>
      <c r="K48" s="19"/>
      <c r="L48" s="21"/>
      <c r="M48" s="21"/>
      <c r="N48" s="21"/>
      <c r="O48" s="21"/>
      <c r="P48" s="21"/>
      <c r="Q48" s="21"/>
      <c r="R48" s="21"/>
      <c r="S48" s="21" t="s">
        <v>89</v>
      </c>
      <c r="T48" s="21"/>
      <c r="U48" s="21"/>
      <c r="V48" s="21"/>
      <c r="W48" s="21">
        <f>2*4.1306</f>
        <v>8.2612000000000005</v>
      </c>
      <c r="X48" s="21" t="s">
        <v>88</v>
      </c>
      <c r="Y48" s="21" t="s">
        <v>92</v>
      </c>
      <c r="Z48" s="21" t="s">
        <v>89</v>
      </c>
      <c r="AA48" s="21" t="s">
        <v>90</v>
      </c>
      <c r="AB48" s="21" t="s">
        <v>90</v>
      </c>
      <c r="AC48" s="21" t="s">
        <v>89</v>
      </c>
      <c r="AD48" s="21"/>
      <c r="AE48" s="21"/>
      <c r="AF48" s="21" t="s">
        <v>89</v>
      </c>
      <c r="AG48" s="28" t="s">
        <v>119</v>
      </c>
      <c r="AH48" s="21" t="s">
        <v>90</v>
      </c>
      <c r="AI48" s="21" t="s">
        <v>88</v>
      </c>
      <c r="AJ48" s="21" t="s">
        <v>90</v>
      </c>
      <c r="AK48" s="21"/>
      <c r="AL48" s="21"/>
      <c r="AM48" s="21"/>
      <c r="AN48" s="21" t="s">
        <v>88</v>
      </c>
      <c r="AO48" s="21"/>
      <c r="AP48" s="21" t="s">
        <v>90</v>
      </c>
    </row>
    <row r="49" spans="1:42" x14ac:dyDescent="0.35">
      <c r="A49" s="11" t="s">
        <v>311</v>
      </c>
      <c r="B49" s="19">
        <v>3147891</v>
      </c>
      <c r="C49" s="19" t="s">
        <v>116</v>
      </c>
      <c r="D49" s="19" t="s">
        <v>108</v>
      </c>
      <c r="E49" s="19" t="s">
        <v>109</v>
      </c>
      <c r="F49" s="19">
        <v>0.5</v>
      </c>
      <c r="G49" s="20">
        <v>45279</v>
      </c>
      <c r="H49" s="19"/>
      <c r="I49" s="22"/>
      <c r="J49" s="22"/>
      <c r="K49" s="19"/>
      <c r="L49" s="21" t="s">
        <v>119</v>
      </c>
      <c r="M49" s="21"/>
      <c r="N49" s="21"/>
      <c r="O49" s="21" t="s">
        <v>88</v>
      </c>
      <c r="P49" s="21" t="s">
        <v>119</v>
      </c>
      <c r="Q49" s="21"/>
      <c r="R49" s="21"/>
      <c r="S49" s="21" t="s">
        <v>89</v>
      </c>
      <c r="T49" s="21"/>
      <c r="U49" s="21"/>
      <c r="V49" s="21"/>
      <c r="W49" s="21">
        <f>2*1.0802</f>
        <v>2.1604000000000001</v>
      </c>
      <c r="X49" s="21" t="s">
        <v>88</v>
      </c>
      <c r="Y49" s="21" t="s">
        <v>92</v>
      </c>
      <c r="Z49" s="21"/>
      <c r="AA49" s="21" t="s">
        <v>90</v>
      </c>
      <c r="AB49" s="21" t="s">
        <v>90</v>
      </c>
      <c r="AC49" s="21" t="s">
        <v>89</v>
      </c>
      <c r="AD49" s="21"/>
      <c r="AE49" s="21"/>
      <c r="AF49" s="21" t="s">
        <v>89</v>
      </c>
      <c r="AG49" s="45" t="s">
        <v>119</v>
      </c>
      <c r="AH49" s="21" t="s">
        <v>90</v>
      </c>
      <c r="AI49" s="21" t="s">
        <v>88</v>
      </c>
      <c r="AJ49" s="21" t="s">
        <v>90</v>
      </c>
      <c r="AK49" s="21"/>
      <c r="AL49" s="21"/>
      <c r="AM49" s="21"/>
      <c r="AN49" s="21" t="s">
        <v>88</v>
      </c>
      <c r="AO49" s="21"/>
      <c r="AP49" s="21" t="s">
        <v>90</v>
      </c>
    </row>
    <row r="50" spans="1:42" x14ac:dyDescent="0.35">
      <c r="A50" s="11" t="s">
        <v>312</v>
      </c>
      <c r="B50" s="19">
        <v>3147789</v>
      </c>
      <c r="C50" s="19" t="s">
        <v>116</v>
      </c>
      <c r="D50" s="19" t="s">
        <v>108</v>
      </c>
      <c r="E50" s="19" t="s">
        <v>109</v>
      </c>
      <c r="F50" s="19">
        <v>0.5</v>
      </c>
      <c r="G50" s="20">
        <v>45322</v>
      </c>
      <c r="H50" s="26"/>
      <c r="I50" s="22"/>
      <c r="J50" s="22"/>
      <c r="K50" s="19"/>
      <c r="L50" s="21"/>
      <c r="M50" s="21" t="s">
        <v>90</v>
      </c>
      <c r="N50" s="21"/>
      <c r="O50" s="21" t="s">
        <v>88</v>
      </c>
      <c r="P50" s="21" t="s">
        <v>119</v>
      </c>
      <c r="Q50" s="21"/>
      <c r="R50" s="21"/>
      <c r="S50" s="21" t="s">
        <v>89</v>
      </c>
      <c r="T50" s="21"/>
      <c r="U50" s="21"/>
      <c r="V50" s="21"/>
      <c r="W50" s="21">
        <f>2*1.4591</f>
        <v>2.9182000000000001</v>
      </c>
      <c r="X50" s="21" t="s">
        <v>88</v>
      </c>
      <c r="Y50" s="21" t="s">
        <v>92</v>
      </c>
      <c r="Z50" s="21" t="s">
        <v>89</v>
      </c>
      <c r="AA50" s="21" t="s">
        <v>90</v>
      </c>
      <c r="AB50" s="21" t="s">
        <v>90</v>
      </c>
      <c r="AC50" s="21" t="s">
        <v>89</v>
      </c>
      <c r="AD50" s="21"/>
      <c r="AE50" s="21"/>
      <c r="AF50" s="21" t="s">
        <v>89</v>
      </c>
      <c r="AG50" s="28" t="s">
        <v>119</v>
      </c>
      <c r="AH50" s="21" t="s">
        <v>90</v>
      </c>
      <c r="AI50" s="21" t="s">
        <v>88</v>
      </c>
      <c r="AJ50" s="21" t="s">
        <v>90</v>
      </c>
      <c r="AK50" s="21"/>
      <c r="AL50" s="21"/>
      <c r="AM50" s="21"/>
      <c r="AN50" s="21" t="s">
        <v>88</v>
      </c>
      <c r="AO50" s="21"/>
      <c r="AP50" s="21" t="s">
        <v>90</v>
      </c>
    </row>
    <row r="51" spans="1:42" x14ac:dyDescent="0.35">
      <c r="A51" s="11" t="s">
        <v>313</v>
      </c>
      <c r="B51" s="19">
        <v>3147881</v>
      </c>
      <c r="C51" s="19" t="s">
        <v>116</v>
      </c>
      <c r="D51" s="19" t="s">
        <v>108</v>
      </c>
      <c r="E51" s="19" t="s">
        <v>109</v>
      </c>
      <c r="F51" s="19">
        <v>0.5</v>
      </c>
      <c r="G51" s="20">
        <v>45247</v>
      </c>
      <c r="H51" s="19"/>
      <c r="I51" s="31"/>
      <c r="J51" s="31"/>
      <c r="K51" s="19"/>
      <c r="L51" s="21" t="s">
        <v>119</v>
      </c>
      <c r="M51" s="21"/>
      <c r="N51" s="21"/>
      <c r="O51" s="21" t="s">
        <v>88</v>
      </c>
      <c r="P51" s="21" t="s">
        <v>119</v>
      </c>
      <c r="Q51" s="21"/>
      <c r="R51" s="21"/>
      <c r="S51" s="21" t="s">
        <v>89</v>
      </c>
      <c r="T51" s="21"/>
      <c r="U51" s="21"/>
      <c r="V51" s="21"/>
      <c r="W51" s="21">
        <f>2*1.5335</f>
        <v>3.0670000000000002</v>
      </c>
      <c r="X51" s="21" t="s">
        <v>88</v>
      </c>
      <c r="Y51" s="21" t="s">
        <v>92</v>
      </c>
      <c r="Z51" s="21" t="s">
        <v>89</v>
      </c>
      <c r="AA51" s="21" t="s">
        <v>90</v>
      </c>
      <c r="AB51" s="21" t="s">
        <v>90</v>
      </c>
      <c r="AC51" s="21" t="s">
        <v>89</v>
      </c>
      <c r="AD51" s="21"/>
      <c r="AE51" s="21"/>
      <c r="AF51" s="21" t="s">
        <v>89</v>
      </c>
      <c r="AG51" s="45" t="s">
        <v>119</v>
      </c>
      <c r="AH51" s="21" t="s">
        <v>90</v>
      </c>
      <c r="AI51" s="21" t="s">
        <v>88</v>
      </c>
      <c r="AJ51" s="21">
        <v>17.4062183588529</v>
      </c>
      <c r="AK51" s="21"/>
      <c r="AL51" s="21"/>
      <c r="AM51" s="21"/>
      <c r="AN51" s="21" t="s">
        <v>88</v>
      </c>
      <c r="AO51" s="21"/>
      <c r="AP51" s="21" t="s">
        <v>90</v>
      </c>
    </row>
    <row r="53" spans="1:42" x14ac:dyDescent="0.35">
      <c r="B53" t="s">
        <v>480</v>
      </c>
    </row>
    <row r="54" spans="1:42" x14ac:dyDescent="0.35">
      <c r="B54" t="s">
        <v>481</v>
      </c>
    </row>
  </sheetData>
  <phoneticPr fontId="3" type="noConversion"/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4E52C-171A-433F-A4DA-45996721827B}">
  <dimension ref="A1:AI8"/>
  <sheetViews>
    <sheetView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AE1" sqref="AE1"/>
    </sheetView>
  </sheetViews>
  <sheetFormatPr baseColWidth="10" defaultRowHeight="14.5" x14ac:dyDescent="0.35"/>
  <cols>
    <col min="2" max="2" width="11.54296875" bestFit="1" customWidth="1"/>
    <col min="6" max="7" width="11.54296875" bestFit="1" customWidth="1"/>
    <col min="8" max="9" width="18.81640625" bestFit="1" customWidth="1"/>
    <col min="12" max="12" width="20" customWidth="1"/>
    <col min="13" max="13" width="21.1796875" customWidth="1"/>
    <col min="14" max="14" width="19.453125" customWidth="1"/>
    <col min="15" max="15" width="15.7265625" bestFit="1" customWidth="1"/>
    <col min="16" max="16" width="10" customWidth="1"/>
    <col min="17" max="17" width="8.1796875" customWidth="1"/>
    <col min="18" max="18" width="7.81640625" customWidth="1"/>
    <col min="19" max="19" width="11" bestFit="1" customWidth="1"/>
    <col min="21" max="21" width="6.81640625" customWidth="1"/>
    <col min="22" max="23" width="16.453125" customWidth="1"/>
    <col min="24" max="24" width="9" customWidth="1"/>
    <col min="25" max="25" width="19.7265625" customWidth="1"/>
    <col min="26" max="26" width="11.7265625" customWidth="1"/>
    <col min="27" max="27" width="13.453125" bestFit="1" customWidth="1"/>
    <col min="28" max="28" width="12.1796875" bestFit="1" customWidth="1"/>
    <col min="29" max="29" width="13" bestFit="1" customWidth="1"/>
    <col min="30" max="30" width="9.1796875" customWidth="1"/>
    <col min="31" max="31" width="14.54296875" bestFit="1" customWidth="1"/>
    <col min="32" max="32" width="15.7265625" bestFit="1" customWidth="1"/>
    <col min="33" max="33" width="10.54296875" customWidth="1"/>
    <col min="34" max="34" width="14" customWidth="1"/>
    <col min="35" max="35" width="9.453125" bestFit="1" customWidth="1"/>
    <col min="36" max="36" width="7.453125" customWidth="1"/>
  </cols>
  <sheetData>
    <row r="1" spans="1:35" s="10" customFormat="1" ht="47.25" customHeight="1" x14ac:dyDescent="0.35">
      <c r="A1" s="14" t="s">
        <v>177</v>
      </c>
      <c r="B1" s="16" t="s">
        <v>96</v>
      </c>
      <c r="C1" s="15" t="s">
        <v>97</v>
      </c>
      <c r="D1" s="15" t="s">
        <v>98</v>
      </c>
      <c r="E1" s="15" t="s">
        <v>99</v>
      </c>
      <c r="F1" s="16" t="s">
        <v>100</v>
      </c>
      <c r="G1" s="16" t="s">
        <v>101</v>
      </c>
      <c r="H1" s="15" t="s">
        <v>102</v>
      </c>
      <c r="I1" s="15" t="s">
        <v>103</v>
      </c>
      <c r="J1" s="17" t="s">
        <v>104</v>
      </c>
      <c r="K1" s="17" t="s">
        <v>49</v>
      </c>
      <c r="L1" s="18" t="s">
        <v>131</v>
      </c>
      <c r="M1" s="18" t="s">
        <v>132</v>
      </c>
      <c r="N1" s="18" t="s">
        <v>133</v>
      </c>
      <c r="O1" s="18" t="s">
        <v>178</v>
      </c>
      <c r="P1" s="18" t="s">
        <v>48</v>
      </c>
      <c r="Q1" s="18" t="s">
        <v>69</v>
      </c>
      <c r="R1" s="18" t="s">
        <v>63</v>
      </c>
      <c r="S1" s="18" t="s">
        <v>16</v>
      </c>
      <c r="T1" s="18" t="s">
        <v>3</v>
      </c>
      <c r="U1" s="18" t="s">
        <v>74</v>
      </c>
      <c r="V1" s="18" t="s">
        <v>6</v>
      </c>
      <c r="W1" s="18" t="s">
        <v>54</v>
      </c>
      <c r="X1" s="18" t="s">
        <v>18</v>
      </c>
      <c r="Y1" s="18" t="s">
        <v>0</v>
      </c>
      <c r="Z1" s="18" t="s">
        <v>45</v>
      </c>
      <c r="AA1" s="18" t="s">
        <v>62</v>
      </c>
      <c r="AB1" s="18" t="s">
        <v>68</v>
      </c>
      <c r="AC1" s="18" t="s">
        <v>4</v>
      </c>
      <c r="AD1" s="18" t="s">
        <v>46</v>
      </c>
      <c r="AE1" s="18" t="s">
        <v>42</v>
      </c>
      <c r="AF1" s="18" t="s">
        <v>23</v>
      </c>
      <c r="AG1" s="18" t="s">
        <v>51</v>
      </c>
      <c r="AH1" s="18" t="s">
        <v>39</v>
      </c>
      <c r="AI1" s="18" t="s">
        <v>8</v>
      </c>
    </row>
    <row r="2" spans="1:35" x14ac:dyDescent="0.35">
      <c r="A2" s="11" t="s">
        <v>314</v>
      </c>
      <c r="B2" s="19"/>
      <c r="C2" s="19" t="s">
        <v>115</v>
      </c>
      <c r="D2" s="19" t="s">
        <v>106</v>
      </c>
      <c r="E2" s="19" t="s">
        <v>109</v>
      </c>
      <c r="F2" s="20"/>
      <c r="G2" s="19">
        <v>35</v>
      </c>
      <c r="H2" s="24"/>
      <c r="I2" s="25"/>
      <c r="J2" s="19"/>
      <c r="K2" s="19" t="s">
        <v>119</v>
      </c>
      <c r="L2" s="21" t="s">
        <v>88</v>
      </c>
      <c r="M2" s="21">
        <f>2*0.5395</f>
        <v>1.079</v>
      </c>
      <c r="N2" s="21" t="s">
        <v>119</v>
      </c>
      <c r="O2" s="21" t="s">
        <v>119</v>
      </c>
      <c r="P2" s="21" t="s">
        <v>89</v>
      </c>
      <c r="Q2" s="21"/>
      <c r="R2" s="21">
        <f>2*0.7324</f>
        <v>1.4648000000000001</v>
      </c>
      <c r="S2" s="21">
        <f>2*3.7104</f>
        <v>7.4207999999999998</v>
      </c>
      <c r="T2" s="21" t="s">
        <v>88</v>
      </c>
      <c r="U2" s="21" t="s">
        <v>92</v>
      </c>
      <c r="V2" s="21" t="s">
        <v>89</v>
      </c>
      <c r="W2" s="21" t="s">
        <v>90</v>
      </c>
      <c r="X2" s="21" t="s">
        <v>90</v>
      </c>
      <c r="Y2" s="21" t="s">
        <v>89</v>
      </c>
      <c r="Z2" s="21"/>
      <c r="AA2" s="21" t="s">
        <v>89</v>
      </c>
      <c r="AB2" s="28" t="s">
        <v>119</v>
      </c>
      <c r="AC2" s="21" t="s">
        <v>90</v>
      </c>
      <c r="AD2" s="21" t="s">
        <v>88</v>
      </c>
      <c r="AE2" s="21" t="s">
        <v>90</v>
      </c>
      <c r="AF2" s="21"/>
      <c r="AG2" s="21" t="s">
        <v>88</v>
      </c>
      <c r="AH2" s="21" t="s">
        <v>89</v>
      </c>
      <c r="AI2" s="21" t="s">
        <v>90</v>
      </c>
    </row>
    <row r="3" spans="1:35" x14ac:dyDescent="0.35">
      <c r="A3" s="12" t="s">
        <v>315</v>
      </c>
      <c r="B3" s="19"/>
      <c r="C3" s="19" t="s">
        <v>115</v>
      </c>
      <c r="D3" s="19" t="s">
        <v>106</v>
      </c>
      <c r="E3" s="19" t="s">
        <v>130</v>
      </c>
      <c r="F3" s="20"/>
      <c r="G3" s="19">
        <v>60</v>
      </c>
      <c r="H3" s="22"/>
      <c r="I3" s="22"/>
      <c r="J3" s="19"/>
      <c r="K3" s="19"/>
      <c r="L3" s="21"/>
      <c r="M3" s="21" t="s">
        <v>88</v>
      </c>
      <c r="N3" s="21" t="s">
        <v>119</v>
      </c>
      <c r="O3" s="21" t="s">
        <v>119</v>
      </c>
      <c r="P3" s="21" t="s">
        <v>89</v>
      </c>
      <c r="Q3" s="21"/>
      <c r="R3" s="21" t="s">
        <v>88</v>
      </c>
      <c r="S3" s="21">
        <f>2*4.335</f>
        <v>8.67</v>
      </c>
      <c r="T3" s="21" t="s">
        <v>88</v>
      </c>
      <c r="U3" s="21" t="s">
        <v>92</v>
      </c>
      <c r="V3" s="38">
        <f>2*4.073</f>
        <v>8.1460000000000008</v>
      </c>
      <c r="W3" s="21" t="s">
        <v>90</v>
      </c>
      <c r="X3" s="21" t="s">
        <v>90</v>
      </c>
      <c r="Y3" s="21" t="s">
        <v>89</v>
      </c>
      <c r="Z3" s="21" t="s">
        <v>119</v>
      </c>
      <c r="AA3" s="21" t="s">
        <v>89</v>
      </c>
      <c r="AB3" s="45" t="s">
        <v>119</v>
      </c>
      <c r="AC3" s="21" t="s">
        <v>90</v>
      </c>
      <c r="AD3" s="21" t="s">
        <v>88</v>
      </c>
      <c r="AE3" s="21" t="s">
        <v>90</v>
      </c>
      <c r="AF3" s="21"/>
      <c r="AG3" s="21" t="s">
        <v>88</v>
      </c>
      <c r="AH3" s="21" t="s">
        <v>89</v>
      </c>
      <c r="AI3" s="21" t="s">
        <v>90</v>
      </c>
    </row>
    <row r="4" spans="1:35" x14ac:dyDescent="0.35">
      <c r="A4" s="12" t="s">
        <v>316</v>
      </c>
      <c r="B4" s="19"/>
      <c r="C4" s="19" t="s">
        <v>115</v>
      </c>
      <c r="D4" s="19" t="s">
        <v>106</v>
      </c>
      <c r="E4" s="19" t="s">
        <v>118</v>
      </c>
      <c r="F4" s="20"/>
      <c r="G4" s="19">
        <v>80</v>
      </c>
      <c r="H4" s="25"/>
      <c r="I4" s="25"/>
      <c r="J4" s="19"/>
      <c r="K4" s="19"/>
      <c r="L4" s="21"/>
      <c r="M4" s="21" t="s">
        <v>88</v>
      </c>
      <c r="N4" s="21"/>
      <c r="O4" s="21" t="s">
        <v>119</v>
      </c>
      <c r="P4" s="21" t="s">
        <v>89</v>
      </c>
      <c r="Q4" s="21">
        <f>2*31.5164</f>
        <v>63.032800000000002</v>
      </c>
      <c r="R4" s="21"/>
      <c r="S4" s="21">
        <f>2*10.8148</f>
        <v>21.6296</v>
      </c>
      <c r="T4" s="21" t="s">
        <v>88</v>
      </c>
      <c r="U4" s="21" t="s">
        <v>92</v>
      </c>
      <c r="V4" s="21" t="s">
        <v>89</v>
      </c>
      <c r="W4" s="21" t="s">
        <v>90</v>
      </c>
      <c r="X4" s="21">
        <f>2*6.866</f>
        <v>13.731999999999999</v>
      </c>
      <c r="Y4" s="21" t="s">
        <v>89</v>
      </c>
      <c r="Z4" s="21"/>
      <c r="AA4" s="21" t="s">
        <v>89</v>
      </c>
      <c r="AB4" s="28" t="s">
        <v>119</v>
      </c>
      <c r="AC4" s="21" t="s">
        <v>90</v>
      </c>
      <c r="AD4" s="21" t="s">
        <v>88</v>
      </c>
      <c r="AE4" s="21">
        <f>2*5.2519</f>
        <v>10.5038</v>
      </c>
      <c r="AF4" s="21" t="s">
        <v>119</v>
      </c>
      <c r="AG4" s="21" t="s">
        <v>88</v>
      </c>
      <c r="AH4" s="21" t="s">
        <v>89</v>
      </c>
      <c r="AI4" s="21" t="s">
        <v>90</v>
      </c>
    </row>
    <row r="5" spans="1:35" x14ac:dyDescent="0.35">
      <c r="A5" s="12" t="s">
        <v>317</v>
      </c>
      <c r="B5" s="19"/>
      <c r="C5" s="19" t="s">
        <v>115</v>
      </c>
      <c r="D5" s="19" t="s">
        <v>106</v>
      </c>
      <c r="E5" s="19" t="s">
        <v>109</v>
      </c>
      <c r="F5" s="20"/>
      <c r="G5" s="19">
        <v>48</v>
      </c>
      <c r="H5" s="31"/>
      <c r="I5" s="31"/>
      <c r="J5" s="19"/>
      <c r="K5" s="19"/>
      <c r="L5" s="21"/>
      <c r="M5" s="21" t="s">
        <v>88</v>
      </c>
      <c r="N5" s="21" t="s">
        <v>119</v>
      </c>
      <c r="O5" s="21" t="s">
        <v>119</v>
      </c>
      <c r="P5" s="21" t="s">
        <v>89</v>
      </c>
      <c r="Q5" s="21"/>
      <c r="R5" s="21" t="s">
        <v>88</v>
      </c>
      <c r="S5" s="21" t="s">
        <v>119</v>
      </c>
      <c r="T5" s="21" t="s">
        <v>88</v>
      </c>
      <c r="U5" s="21" t="s">
        <v>92</v>
      </c>
      <c r="V5" s="38">
        <f>2*2.3595</f>
        <v>4.7190000000000003</v>
      </c>
      <c r="W5" s="21" t="s">
        <v>90</v>
      </c>
      <c r="X5" s="21" t="s">
        <v>90</v>
      </c>
      <c r="Y5" s="21" t="s">
        <v>89</v>
      </c>
      <c r="Z5" s="21"/>
      <c r="AA5" s="21" t="s">
        <v>89</v>
      </c>
      <c r="AB5" s="45" t="s">
        <v>119</v>
      </c>
      <c r="AC5" s="21" t="s">
        <v>90</v>
      </c>
      <c r="AD5" s="21" t="s">
        <v>88</v>
      </c>
      <c r="AE5" s="21" t="s">
        <v>90</v>
      </c>
      <c r="AF5" s="21"/>
      <c r="AG5" s="21" t="s">
        <v>88</v>
      </c>
      <c r="AH5" s="21" t="s">
        <v>89</v>
      </c>
      <c r="AI5" s="21" t="s">
        <v>90</v>
      </c>
    </row>
    <row r="6" spans="1:35" x14ac:dyDescent="0.35">
      <c r="A6" s="12" t="s">
        <v>318</v>
      </c>
      <c r="B6" s="19"/>
      <c r="C6" s="19" t="s">
        <v>115</v>
      </c>
      <c r="D6" s="26" t="s">
        <v>106</v>
      </c>
      <c r="E6" s="19" t="s">
        <v>118</v>
      </c>
      <c r="F6" s="20"/>
      <c r="G6" s="26">
        <v>66</v>
      </c>
      <c r="H6" s="25"/>
      <c r="I6" s="25"/>
      <c r="J6" s="19"/>
      <c r="K6" s="19"/>
      <c r="L6" s="21" t="s">
        <v>88</v>
      </c>
      <c r="M6" s="21">
        <f>2*0.5616</f>
        <v>1.1232</v>
      </c>
      <c r="N6" s="21">
        <f>2*1.0177</f>
        <v>2.0354000000000001</v>
      </c>
      <c r="O6" s="21"/>
      <c r="P6" s="21" t="s">
        <v>89</v>
      </c>
      <c r="Q6" s="21">
        <f>2*6.442</f>
        <v>12.884</v>
      </c>
      <c r="R6" s="21" t="s">
        <v>88</v>
      </c>
      <c r="S6" s="21" t="s">
        <v>119</v>
      </c>
      <c r="T6" s="21" t="s">
        <v>88</v>
      </c>
      <c r="U6" s="21" t="s">
        <v>92</v>
      </c>
      <c r="V6" s="21">
        <f>2*3.3217</f>
        <v>6.6433999999999997</v>
      </c>
      <c r="W6" s="21" t="s">
        <v>90</v>
      </c>
      <c r="X6" s="21" t="s">
        <v>90</v>
      </c>
      <c r="Y6" s="21" t="s">
        <v>89</v>
      </c>
      <c r="Z6" s="21"/>
      <c r="AA6" s="21" t="s">
        <v>89</v>
      </c>
      <c r="AB6" s="28" t="s">
        <v>119</v>
      </c>
      <c r="AC6" s="21" t="s">
        <v>90</v>
      </c>
      <c r="AD6" s="21" t="s">
        <v>88</v>
      </c>
      <c r="AE6" s="21" t="s">
        <v>90</v>
      </c>
      <c r="AG6" s="21" t="s">
        <v>88</v>
      </c>
      <c r="AH6" s="21" t="s">
        <v>89</v>
      </c>
      <c r="AI6" s="21" t="s">
        <v>90</v>
      </c>
    </row>
    <row r="8" spans="1:35" x14ac:dyDescent="0.35">
      <c r="B8" t="s">
        <v>479</v>
      </c>
    </row>
  </sheetData>
  <phoneticPr fontId="3" type="noConversion"/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7AB34-3EBC-48B7-8611-6FF8C23AF874}">
  <dimension ref="A1:AL51"/>
  <sheetViews>
    <sheetView workbookViewId="0">
      <pane xSplit="1" ySplit="1" topLeftCell="Q5" activePane="bottomRight" state="frozen"/>
      <selection pane="topRight" activeCell="B1" sqref="B1"/>
      <selection pane="bottomLeft" activeCell="A2" sqref="A2"/>
      <selection pane="bottomRight" activeCell="X1" sqref="X1:X1048576"/>
    </sheetView>
  </sheetViews>
  <sheetFormatPr baseColWidth="10" defaultRowHeight="14.5" x14ac:dyDescent="0.35"/>
  <cols>
    <col min="2" max="2" width="11.54296875" bestFit="1" customWidth="1"/>
    <col min="6" max="7" width="11.54296875" bestFit="1" customWidth="1"/>
    <col min="8" max="9" width="18.81640625" style="55" bestFit="1" customWidth="1"/>
    <col min="11" max="11" width="20" customWidth="1"/>
    <col min="12" max="12" width="21.1796875" customWidth="1"/>
    <col min="13" max="15" width="19.453125" customWidth="1"/>
    <col min="16" max="16" width="10" customWidth="1"/>
    <col min="17" max="17" width="8.1796875" customWidth="1"/>
    <col min="18" max="18" width="7.81640625" customWidth="1"/>
    <col min="19" max="19" width="11" bestFit="1" customWidth="1"/>
    <col min="20" max="20" width="6.81640625" customWidth="1"/>
    <col min="21" max="22" width="16.453125" customWidth="1"/>
    <col min="23" max="23" width="13.1796875" customWidth="1"/>
    <col min="24" max="24" width="9" customWidth="1"/>
    <col min="25" max="25" width="19.7265625" customWidth="1"/>
    <col min="26" max="26" width="11.7265625" customWidth="1"/>
    <col min="27" max="27" width="10" bestFit="1" customWidth="1"/>
    <col min="28" max="28" width="13.453125" bestFit="1" customWidth="1"/>
    <col min="29" max="29" width="12.1796875" bestFit="1" customWidth="1"/>
    <col min="30" max="30" width="13" bestFit="1" customWidth="1"/>
    <col min="31" max="31" width="9.1796875" customWidth="1"/>
    <col min="32" max="32" width="14.54296875" bestFit="1" customWidth="1"/>
    <col min="33" max="33" width="8" customWidth="1"/>
    <col min="34" max="34" width="9" bestFit="1" customWidth="1"/>
    <col min="35" max="35" width="14" customWidth="1"/>
    <col min="36" max="36" width="9.453125" bestFit="1" customWidth="1"/>
    <col min="37" max="37" width="7.453125" customWidth="1"/>
  </cols>
  <sheetData>
    <row r="1" spans="1:38" s="10" customFormat="1" ht="47.25" customHeight="1" x14ac:dyDescent="0.35">
      <c r="A1" s="14" t="s">
        <v>172</v>
      </c>
      <c r="B1" s="16" t="s">
        <v>96</v>
      </c>
      <c r="C1" s="15" t="s">
        <v>97</v>
      </c>
      <c r="D1" s="15" t="s">
        <v>98</v>
      </c>
      <c r="E1" s="15" t="s">
        <v>99</v>
      </c>
      <c r="F1" s="16" t="s">
        <v>100</v>
      </c>
      <c r="G1" s="16" t="s">
        <v>101</v>
      </c>
      <c r="H1" s="52" t="s">
        <v>102</v>
      </c>
      <c r="I1" s="52" t="s">
        <v>103</v>
      </c>
      <c r="J1" s="17" t="s">
        <v>104</v>
      </c>
      <c r="K1" s="18" t="s">
        <v>131</v>
      </c>
      <c r="L1" s="18" t="s">
        <v>132</v>
      </c>
      <c r="M1" s="18" t="s">
        <v>133</v>
      </c>
      <c r="N1" s="18" t="s">
        <v>134</v>
      </c>
      <c r="O1" s="18" t="s">
        <v>174</v>
      </c>
      <c r="P1" s="18" t="s">
        <v>48</v>
      </c>
      <c r="Q1" s="18" t="s">
        <v>69</v>
      </c>
      <c r="R1" s="18" t="s">
        <v>63</v>
      </c>
      <c r="S1" s="18" t="s">
        <v>16</v>
      </c>
      <c r="T1" s="18" t="s">
        <v>3</v>
      </c>
      <c r="U1" s="18" t="s">
        <v>74</v>
      </c>
      <c r="V1" s="18" t="s">
        <v>175</v>
      </c>
      <c r="W1" s="18" t="s">
        <v>6</v>
      </c>
      <c r="X1" s="18" t="s">
        <v>54</v>
      </c>
      <c r="Y1" s="18" t="s">
        <v>18</v>
      </c>
      <c r="Z1" s="18" t="s">
        <v>0</v>
      </c>
      <c r="AA1" s="18" t="s">
        <v>45</v>
      </c>
      <c r="AB1" s="18" t="s">
        <v>176</v>
      </c>
      <c r="AC1" s="18" t="s">
        <v>62</v>
      </c>
      <c r="AD1" s="18" t="s">
        <v>68</v>
      </c>
      <c r="AE1" s="18" t="s">
        <v>4</v>
      </c>
      <c r="AF1" s="18" t="s">
        <v>46</v>
      </c>
      <c r="AG1" s="18" t="s">
        <v>42</v>
      </c>
      <c r="AH1" s="18" t="s">
        <v>23</v>
      </c>
      <c r="AI1" s="10" t="s">
        <v>66</v>
      </c>
      <c r="AJ1" s="18" t="s">
        <v>51</v>
      </c>
      <c r="AK1" s="18" t="s">
        <v>39</v>
      </c>
      <c r="AL1" s="18" t="s">
        <v>8</v>
      </c>
    </row>
    <row r="2" spans="1:38" x14ac:dyDescent="0.35">
      <c r="A2" s="11" t="s">
        <v>319</v>
      </c>
      <c r="B2" s="19">
        <v>6463</v>
      </c>
      <c r="C2" s="19" t="s">
        <v>107</v>
      </c>
      <c r="D2" s="19" t="s">
        <v>106</v>
      </c>
      <c r="E2" s="19" t="s">
        <v>118</v>
      </c>
      <c r="F2" s="20">
        <v>45259</v>
      </c>
      <c r="G2" s="19">
        <v>98.8</v>
      </c>
      <c r="H2" s="30">
        <v>50.542935900000003</v>
      </c>
      <c r="I2" s="27">
        <v>6.3495672000000001</v>
      </c>
      <c r="J2" s="19"/>
      <c r="K2" s="21"/>
      <c r="L2" s="21" t="s">
        <v>88</v>
      </c>
      <c r="M2" s="21" t="s">
        <v>119</v>
      </c>
      <c r="N2" s="21"/>
      <c r="O2" s="21"/>
      <c r="P2" s="21" t="s">
        <v>89</v>
      </c>
      <c r="Q2" s="21">
        <v>12.744102178570079</v>
      </c>
      <c r="R2" s="21"/>
      <c r="S2" s="21" t="s">
        <v>119</v>
      </c>
      <c r="T2" s="21" t="s">
        <v>88</v>
      </c>
      <c r="U2" s="21" t="s">
        <v>92</v>
      </c>
      <c r="V2" s="21" t="s">
        <v>119</v>
      </c>
      <c r="W2" s="21"/>
      <c r="X2" s="21" t="s">
        <v>90</v>
      </c>
      <c r="Y2" s="21" t="s">
        <v>90</v>
      </c>
      <c r="Z2" s="21" t="s">
        <v>89</v>
      </c>
      <c r="AA2" s="21">
        <v>2.3593803435648</v>
      </c>
      <c r="AB2" s="21"/>
      <c r="AC2" s="21" t="s">
        <v>89</v>
      </c>
      <c r="AD2" s="28" t="s">
        <v>119</v>
      </c>
      <c r="AE2" s="21" t="s">
        <v>90</v>
      </c>
      <c r="AF2" s="21" t="s">
        <v>88</v>
      </c>
      <c r="AG2" s="21" t="s">
        <v>90</v>
      </c>
      <c r="AH2" s="21"/>
      <c r="AI2" s="21"/>
      <c r="AJ2" s="21" t="s">
        <v>88</v>
      </c>
      <c r="AK2" s="21" t="s">
        <v>89</v>
      </c>
      <c r="AL2" s="36" t="s">
        <v>90</v>
      </c>
    </row>
    <row r="3" spans="1:38" x14ac:dyDescent="0.35">
      <c r="A3" s="11" t="s">
        <v>320</v>
      </c>
      <c r="B3" s="19">
        <v>5089</v>
      </c>
      <c r="C3" s="19" t="s">
        <v>107</v>
      </c>
      <c r="D3" s="19" t="s">
        <v>108</v>
      </c>
      <c r="E3" s="19" t="s">
        <v>130</v>
      </c>
      <c r="F3" s="20">
        <v>45251</v>
      </c>
      <c r="G3" s="19">
        <v>116.5</v>
      </c>
      <c r="H3" s="53">
        <v>50.671473499999998</v>
      </c>
      <c r="I3" s="53">
        <v>6.4622577999999997</v>
      </c>
      <c r="J3" s="19"/>
      <c r="K3" s="21" t="s">
        <v>88</v>
      </c>
      <c r="L3" s="21">
        <v>1.7540823364040841</v>
      </c>
      <c r="M3" s="21">
        <v>2.1746348672079798</v>
      </c>
      <c r="N3" s="21"/>
      <c r="O3" s="21"/>
      <c r="P3" s="21" t="s">
        <v>89</v>
      </c>
      <c r="Q3" s="21">
        <v>11.38119268047102</v>
      </c>
      <c r="R3" s="21"/>
      <c r="S3" s="21">
        <v>4.1962720229543002</v>
      </c>
      <c r="T3" s="21" t="s">
        <v>88</v>
      </c>
      <c r="U3" s="21" t="s">
        <v>92</v>
      </c>
      <c r="V3" s="21"/>
      <c r="W3" s="21" t="s">
        <v>89</v>
      </c>
      <c r="X3" s="21" t="s">
        <v>90</v>
      </c>
      <c r="Y3" s="21" t="s">
        <v>90</v>
      </c>
      <c r="Z3" s="21" t="s">
        <v>89</v>
      </c>
      <c r="AA3" s="21">
        <v>2.2605293166851799</v>
      </c>
      <c r="AB3" s="21"/>
      <c r="AC3" s="21" t="s">
        <v>89</v>
      </c>
      <c r="AD3" s="45" t="s">
        <v>119</v>
      </c>
      <c r="AE3" s="21" t="s">
        <v>90</v>
      </c>
      <c r="AF3" s="21" t="s">
        <v>88</v>
      </c>
      <c r="AG3" s="21" t="s">
        <v>90</v>
      </c>
      <c r="AH3" s="21"/>
      <c r="AI3" s="21" t="s">
        <v>88</v>
      </c>
      <c r="AJ3" s="21" t="s">
        <v>88</v>
      </c>
      <c r="AK3" s="21" t="s">
        <v>89</v>
      </c>
      <c r="AL3" s="35" t="s">
        <v>90</v>
      </c>
    </row>
    <row r="4" spans="1:38" x14ac:dyDescent="0.35">
      <c r="A4" s="11" t="s">
        <v>321</v>
      </c>
      <c r="B4" s="19">
        <v>5088</v>
      </c>
      <c r="C4" s="19" t="s">
        <v>107</v>
      </c>
      <c r="D4" s="19" t="s">
        <v>106</v>
      </c>
      <c r="E4" s="19" t="s">
        <v>109</v>
      </c>
      <c r="F4" s="20">
        <v>45251</v>
      </c>
      <c r="G4" s="19">
        <v>51.4</v>
      </c>
      <c r="H4" s="27">
        <v>50.669171800000001</v>
      </c>
      <c r="I4" s="27">
        <v>6.4574544999999999</v>
      </c>
      <c r="J4" s="19"/>
      <c r="K4" s="21" t="s">
        <v>88</v>
      </c>
      <c r="L4" s="21">
        <v>4.1865865455410596</v>
      </c>
      <c r="M4" s="21">
        <v>56.160795108628761</v>
      </c>
      <c r="N4" s="21"/>
      <c r="O4" s="21"/>
      <c r="P4" s="21" t="s">
        <v>89</v>
      </c>
      <c r="Q4" s="21">
        <v>12.1296878748475</v>
      </c>
      <c r="R4" s="21"/>
      <c r="S4" s="21">
        <v>2.1988984164538601</v>
      </c>
      <c r="T4" s="21" t="s">
        <v>88</v>
      </c>
      <c r="U4" s="21" t="s">
        <v>92</v>
      </c>
      <c r="V4" s="21"/>
      <c r="W4" s="21" t="s">
        <v>89</v>
      </c>
      <c r="X4" s="21"/>
      <c r="Y4" s="21" t="s">
        <v>90</v>
      </c>
      <c r="Z4" s="21">
        <v>4.3097373638059597</v>
      </c>
      <c r="AA4" s="21" t="s">
        <v>72</v>
      </c>
      <c r="AB4" s="21"/>
      <c r="AC4" s="21" t="s">
        <v>89</v>
      </c>
      <c r="AD4" s="28" t="s">
        <v>119</v>
      </c>
      <c r="AE4" s="21" t="s">
        <v>90</v>
      </c>
      <c r="AF4" s="21" t="s">
        <v>88</v>
      </c>
      <c r="AG4" s="21">
        <v>10.857182708260019</v>
      </c>
      <c r="AH4" s="21"/>
      <c r="AI4" s="21"/>
      <c r="AJ4" s="21" t="s">
        <v>88</v>
      </c>
      <c r="AK4" s="21"/>
      <c r="AL4" s="35" t="s">
        <v>90</v>
      </c>
    </row>
    <row r="5" spans="1:38" x14ac:dyDescent="0.35">
      <c r="A5" s="11" t="s">
        <v>322</v>
      </c>
      <c r="B5" s="19">
        <v>6357</v>
      </c>
      <c r="C5" s="19" t="s">
        <v>107</v>
      </c>
      <c r="D5" s="19" t="s">
        <v>108</v>
      </c>
      <c r="E5" s="19" t="s">
        <v>109</v>
      </c>
      <c r="F5" s="20">
        <v>45259</v>
      </c>
      <c r="G5" s="19">
        <v>75.7</v>
      </c>
      <c r="H5" s="23">
        <v>50.533126500000002</v>
      </c>
      <c r="I5" s="23">
        <v>6.3474035000000004</v>
      </c>
      <c r="J5" s="19"/>
      <c r="K5" s="21"/>
      <c r="L5" s="21" t="s">
        <v>88</v>
      </c>
      <c r="M5" s="21" t="s">
        <v>119</v>
      </c>
      <c r="N5" s="21"/>
      <c r="O5" s="21"/>
      <c r="P5" s="21" t="s">
        <v>89</v>
      </c>
      <c r="Q5" s="21"/>
      <c r="R5" s="21"/>
      <c r="S5" s="21" t="s">
        <v>119</v>
      </c>
      <c r="T5" s="21"/>
      <c r="U5" s="21" t="s">
        <v>92</v>
      </c>
      <c r="V5" s="21"/>
      <c r="W5" s="21" t="s">
        <v>89</v>
      </c>
      <c r="X5" s="21" t="s">
        <v>90</v>
      </c>
      <c r="Y5" s="21" t="s">
        <v>90</v>
      </c>
      <c r="Z5" s="21">
        <v>5.5030726186149801</v>
      </c>
      <c r="AA5" s="21"/>
      <c r="AB5" s="21" t="s">
        <v>72</v>
      </c>
      <c r="AC5" s="21" t="s">
        <v>89</v>
      </c>
      <c r="AD5" s="45" t="s">
        <v>119</v>
      </c>
      <c r="AE5" s="21" t="s">
        <v>90</v>
      </c>
      <c r="AF5" s="21" t="s">
        <v>88</v>
      </c>
      <c r="AG5" s="21" t="s">
        <v>90</v>
      </c>
      <c r="AH5" s="21"/>
      <c r="AI5" s="21"/>
      <c r="AJ5" s="21" t="s">
        <v>88</v>
      </c>
      <c r="AK5" s="21"/>
      <c r="AL5" s="35" t="s">
        <v>90</v>
      </c>
    </row>
    <row r="6" spans="1:38" x14ac:dyDescent="0.35">
      <c r="A6" s="11" t="s">
        <v>323</v>
      </c>
      <c r="B6" s="19">
        <v>6451</v>
      </c>
      <c r="C6" s="19" t="s">
        <v>107</v>
      </c>
      <c r="D6" s="19" t="s">
        <v>106</v>
      </c>
      <c r="E6" s="19" t="s">
        <v>118</v>
      </c>
      <c r="F6" s="20">
        <v>45259</v>
      </c>
      <c r="G6" s="19">
        <v>103.3</v>
      </c>
      <c r="H6" s="27">
        <v>50.518354899999999</v>
      </c>
      <c r="I6" s="27">
        <v>6.3427214999999997</v>
      </c>
      <c r="J6" s="19"/>
      <c r="K6" s="21"/>
      <c r="L6" s="21" t="s">
        <v>88</v>
      </c>
      <c r="M6" s="21" t="s">
        <v>119</v>
      </c>
      <c r="N6" s="21"/>
      <c r="O6" s="21"/>
      <c r="P6" s="21" t="s">
        <v>89</v>
      </c>
      <c r="Q6" s="21"/>
      <c r="R6" s="21"/>
      <c r="S6" s="21">
        <v>2.5443222682414999</v>
      </c>
      <c r="T6" s="21" t="s">
        <v>88</v>
      </c>
      <c r="U6" s="21" t="s">
        <v>92</v>
      </c>
      <c r="V6" s="21">
        <v>3.5364601096377601</v>
      </c>
      <c r="W6" s="21"/>
      <c r="X6" s="21" t="s">
        <v>90</v>
      </c>
      <c r="Y6" s="21" t="s">
        <v>90</v>
      </c>
      <c r="Z6" s="21" t="s">
        <v>89</v>
      </c>
      <c r="AA6" s="21">
        <v>2.41603657089252</v>
      </c>
      <c r="AB6" s="21"/>
      <c r="AC6" s="21" t="s">
        <v>89</v>
      </c>
      <c r="AD6" s="28" t="s">
        <v>119</v>
      </c>
      <c r="AE6" s="21" t="s">
        <v>90</v>
      </c>
      <c r="AF6" s="21" t="s">
        <v>88</v>
      </c>
      <c r="AG6" s="21" t="s">
        <v>90</v>
      </c>
      <c r="AH6" s="21"/>
      <c r="AI6" s="21"/>
      <c r="AJ6" s="21" t="s">
        <v>88</v>
      </c>
      <c r="AK6" s="21" t="s">
        <v>89</v>
      </c>
      <c r="AL6" s="35" t="s">
        <v>90</v>
      </c>
    </row>
    <row r="7" spans="1:38" x14ac:dyDescent="0.35">
      <c r="A7" s="11" t="s">
        <v>324</v>
      </c>
      <c r="B7" s="19">
        <v>6455</v>
      </c>
      <c r="C7" s="19" t="s">
        <v>107</v>
      </c>
      <c r="D7" s="19" t="s">
        <v>106</v>
      </c>
      <c r="E7" s="19" t="s">
        <v>118</v>
      </c>
      <c r="F7" s="20">
        <v>45259</v>
      </c>
      <c r="G7" s="19">
        <v>112.1</v>
      </c>
      <c r="H7" s="53">
        <v>50.507122500000001</v>
      </c>
      <c r="I7" s="53">
        <v>6.3354942000000003</v>
      </c>
      <c r="J7" s="19"/>
      <c r="K7" s="21"/>
      <c r="L7" s="21" t="s">
        <v>88</v>
      </c>
      <c r="M7" s="21" t="s">
        <v>119</v>
      </c>
      <c r="N7" s="21"/>
      <c r="O7" s="21"/>
      <c r="P7" s="21" t="s">
        <v>89</v>
      </c>
      <c r="Q7" s="21"/>
      <c r="R7" s="21"/>
      <c r="S7" s="21" t="s">
        <v>119</v>
      </c>
      <c r="T7" s="21" t="s">
        <v>88</v>
      </c>
      <c r="U7" s="21" t="s">
        <v>92</v>
      </c>
      <c r="V7" s="21"/>
      <c r="W7" s="21"/>
      <c r="X7" s="21" t="s">
        <v>90</v>
      </c>
      <c r="Y7" s="21" t="s">
        <v>90</v>
      </c>
      <c r="Z7" s="21" t="s">
        <v>89</v>
      </c>
      <c r="AA7" s="21"/>
      <c r="AB7" s="21"/>
      <c r="AC7" s="21" t="s">
        <v>89</v>
      </c>
      <c r="AD7" s="45" t="s">
        <v>119</v>
      </c>
      <c r="AE7" s="21" t="s">
        <v>90</v>
      </c>
      <c r="AF7" s="21" t="s">
        <v>88</v>
      </c>
      <c r="AG7" s="21" t="s">
        <v>90</v>
      </c>
      <c r="AH7" s="21"/>
      <c r="AI7" s="21"/>
      <c r="AJ7" s="21" t="s">
        <v>88</v>
      </c>
      <c r="AK7" s="21"/>
      <c r="AL7" s="35">
        <v>12.198072516681259</v>
      </c>
    </row>
    <row r="8" spans="1:38" x14ac:dyDescent="0.35">
      <c r="A8" s="11" t="s">
        <v>325</v>
      </c>
      <c r="B8" s="19">
        <v>5087</v>
      </c>
      <c r="C8" s="19" t="s">
        <v>107</v>
      </c>
      <c r="D8" s="19" t="s">
        <v>108</v>
      </c>
      <c r="E8" s="19" t="s">
        <v>130</v>
      </c>
      <c r="F8" s="20">
        <v>45251</v>
      </c>
      <c r="G8" s="26">
        <v>97</v>
      </c>
      <c r="H8" s="27">
        <v>50.674153400000002</v>
      </c>
      <c r="I8" s="27">
        <v>6.4620287000000003</v>
      </c>
      <c r="J8" s="19"/>
      <c r="K8" s="21" t="s">
        <v>88</v>
      </c>
      <c r="L8" s="21">
        <v>1.35557882058264</v>
      </c>
      <c r="M8" s="21" t="s">
        <v>119</v>
      </c>
      <c r="N8" s="21" t="s">
        <v>88</v>
      </c>
      <c r="O8" s="21"/>
      <c r="P8" s="21" t="s">
        <v>89</v>
      </c>
      <c r="Q8" s="21">
        <v>30.211469161278</v>
      </c>
      <c r="R8" s="21"/>
      <c r="S8" s="21" t="s">
        <v>119</v>
      </c>
      <c r="T8" s="21" t="s">
        <v>88</v>
      </c>
      <c r="U8" s="21" t="s">
        <v>92</v>
      </c>
      <c r="V8" s="21"/>
      <c r="W8" s="21" t="s">
        <v>89</v>
      </c>
      <c r="X8" s="21" t="s">
        <v>90</v>
      </c>
      <c r="Y8" s="21" t="s">
        <v>90</v>
      </c>
      <c r="Z8" s="21" t="s">
        <v>89</v>
      </c>
      <c r="AA8" s="21"/>
      <c r="AB8" s="21" t="s">
        <v>88</v>
      </c>
      <c r="AC8" s="21" t="s">
        <v>89</v>
      </c>
      <c r="AD8" s="28" t="s">
        <v>119</v>
      </c>
      <c r="AE8" s="21" t="s">
        <v>90</v>
      </c>
      <c r="AF8" s="21" t="s">
        <v>88</v>
      </c>
      <c r="AG8" s="21" t="s">
        <v>90</v>
      </c>
      <c r="AH8" s="21"/>
      <c r="AI8" s="21"/>
      <c r="AJ8" s="21" t="s">
        <v>88</v>
      </c>
      <c r="AK8" s="21"/>
      <c r="AL8" s="35">
        <v>17.36483021766508</v>
      </c>
    </row>
    <row r="9" spans="1:38" x14ac:dyDescent="0.35">
      <c r="A9" s="11" t="s">
        <v>326</v>
      </c>
      <c r="B9" s="19">
        <v>6459</v>
      </c>
      <c r="C9" s="19" t="s">
        <v>107</v>
      </c>
      <c r="D9" s="19" t="s">
        <v>108</v>
      </c>
      <c r="E9" s="19" t="s">
        <v>130</v>
      </c>
      <c r="F9" s="20">
        <v>45259</v>
      </c>
      <c r="G9" s="19">
        <v>113.9</v>
      </c>
      <c r="H9" s="23">
        <v>50.524289000000003</v>
      </c>
      <c r="I9" s="23">
        <v>6.3506625999999997</v>
      </c>
      <c r="J9" s="19"/>
      <c r="K9" s="21"/>
      <c r="L9" s="21" t="s">
        <v>88</v>
      </c>
      <c r="M9" s="21" t="s">
        <v>119</v>
      </c>
      <c r="N9" s="21"/>
      <c r="O9" s="21"/>
      <c r="P9" s="21" t="s">
        <v>89</v>
      </c>
      <c r="Q9" s="21"/>
      <c r="R9" s="21"/>
      <c r="S9" s="21" t="s">
        <v>119</v>
      </c>
      <c r="T9" s="21"/>
      <c r="U9" s="21" t="s">
        <v>92</v>
      </c>
      <c r="V9" s="21"/>
      <c r="W9" s="21"/>
      <c r="X9" s="21" t="s">
        <v>90</v>
      </c>
      <c r="Y9" s="21" t="s">
        <v>90</v>
      </c>
      <c r="Z9" s="21" t="s">
        <v>89</v>
      </c>
      <c r="AA9" s="21"/>
      <c r="AB9" s="21"/>
      <c r="AC9" s="21" t="s">
        <v>89</v>
      </c>
      <c r="AD9" s="45" t="s">
        <v>119</v>
      </c>
      <c r="AE9" s="21" t="s">
        <v>90</v>
      </c>
      <c r="AF9" s="21" t="s">
        <v>88</v>
      </c>
      <c r="AG9" s="21" t="s">
        <v>90</v>
      </c>
      <c r="AH9" s="21"/>
      <c r="AI9" s="21"/>
      <c r="AJ9" s="21" t="s">
        <v>88</v>
      </c>
      <c r="AK9" s="21"/>
      <c r="AL9" s="35" t="s">
        <v>90</v>
      </c>
    </row>
    <row r="10" spans="1:38" x14ac:dyDescent="0.35">
      <c r="A10" s="11" t="s">
        <v>327</v>
      </c>
      <c r="B10" s="19">
        <v>6444</v>
      </c>
      <c r="C10" s="19" t="s">
        <v>107</v>
      </c>
      <c r="D10" s="19" t="s">
        <v>108</v>
      </c>
      <c r="E10" s="19" t="s">
        <v>130</v>
      </c>
      <c r="F10" s="20">
        <v>45253</v>
      </c>
      <c r="G10" s="19">
        <v>97.6</v>
      </c>
      <c r="H10" s="27">
        <v>50.626085000000003</v>
      </c>
      <c r="I10" s="27">
        <v>6.4361689999999996</v>
      </c>
      <c r="J10" s="19"/>
      <c r="K10" s="21" t="s">
        <v>88</v>
      </c>
      <c r="L10" s="21">
        <v>2.6918677965972999</v>
      </c>
      <c r="M10" s="21">
        <v>3.2538849597219599</v>
      </c>
      <c r="N10" s="21" t="s">
        <v>88</v>
      </c>
      <c r="O10" s="21"/>
      <c r="P10" s="21" t="s">
        <v>89</v>
      </c>
      <c r="Q10" s="21"/>
      <c r="R10" s="21"/>
      <c r="S10" s="21" t="s">
        <v>119</v>
      </c>
      <c r="T10" s="21" t="s">
        <v>88</v>
      </c>
      <c r="U10" s="21" t="s">
        <v>92</v>
      </c>
      <c r="V10" s="21"/>
      <c r="W10" s="21" t="s">
        <v>89</v>
      </c>
      <c r="X10" s="21">
        <v>77.293211784797407</v>
      </c>
      <c r="Y10" s="21" t="s">
        <v>90</v>
      </c>
      <c r="Z10" s="21" t="s">
        <v>89</v>
      </c>
      <c r="AA10" s="21"/>
      <c r="AB10" s="21"/>
      <c r="AC10" s="21" t="s">
        <v>89</v>
      </c>
      <c r="AD10" s="28" t="s">
        <v>119</v>
      </c>
      <c r="AE10" s="21" t="s">
        <v>90</v>
      </c>
      <c r="AF10" s="21" t="s">
        <v>88</v>
      </c>
      <c r="AG10" s="21" t="s">
        <v>90</v>
      </c>
      <c r="AH10" s="21"/>
      <c r="AI10" s="21" t="s">
        <v>88</v>
      </c>
      <c r="AJ10" s="21" t="s">
        <v>88</v>
      </c>
      <c r="AK10" s="21"/>
      <c r="AL10" s="35" t="s">
        <v>90</v>
      </c>
    </row>
    <row r="11" spans="1:38" x14ac:dyDescent="0.35">
      <c r="A11" s="11" t="s">
        <v>328</v>
      </c>
      <c r="B11" s="19">
        <v>6442</v>
      </c>
      <c r="C11" s="19" t="s">
        <v>107</v>
      </c>
      <c r="D11" s="19" t="s">
        <v>108</v>
      </c>
      <c r="E11" s="19" t="s">
        <v>109</v>
      </c>
      <c r="F11" s="20">
        <v>45253</v>
      </c>
      <c r="G11" s="19">
        <v>52.1</v>
      </c>
      <c r="H11" s="53">
        <v>50.6300399</v>
      </c>
      <c r="I11" s="53">
        <v>6.4266525000000003</v>
      </c>
      <c r="J11" s="19"/>
      <c r="K11" s="21" t="s">
        <v>88</v>
      </c>
      <c r="L11" s="21">
        <v>1.787256511607608</v>
      </c>
      <c r="M11" s="21">
        <v>3.7582400804140002</v>
      </c>
      <c r="N11" s="21"/>
      <c r="O11" s="21"/>
      <c r="P11" s="21" t="s">
        <v>89</v>
      </c>
      <c r="Q11" s="21"/>
      <c r="R11" s="21"/>
      <c r="S11" s="21" t="s">
        <v>119</v>
      </c>
      <c r="T11" s="21" t="s">
        <v>88</v>
      </c>
      <c r="U11" s="21" t="s">
        <v>92</v>
      </c>
      <c r="V11" s="21"/>
      <c r="W11" s="21" t="s">
        <v>89</v>
      </c>
      <c r="X11" s="21" t="s">
        <v>90</v>
      </c>
      <c r="Y11" s="21" t="s">
        <v>90</v>
      </c>
      <c r="Z11" s="21">
        <v>9.3123905855448008</v>
      </c>
      <c r="AA11" s="21"/>
      <c r="AB11" s="21"/>
      <c r="AC11" s="21" t="s">
        <v>89</v>
      </c>
      <c r="AD11" s="45" t="s">
        <v>119</v>
      </c>
      <c r="AE11" s="21" t="s">
        <v>90</v>
      </c>
      <c r="AF11" s="21" t="s">
        <v>88</v>
      </c>
      <c r="AG11" s="21" t="s">
        <v>90</v>
      </c>
      <c r="AH11" s="21"/>
      <c r="AI11" s="21"/>
      <c r="AJ11" s="21" t="s">
        <v>88</v>
      </c>
      <c r="AK11" s="21"/>
      <c r="AL11" s="35" t="s">
        <v>90</v>
      </c>
    </row>
    <row r="12" spans="1:38" x14ac:dyDescent="0.35">
      <c r="A12" s="11" t="s">
        <v>329</v>
      </c>
      <c r="B12" s="19">
        <v>6443</v>
      </c>
      <c r="C12" s="19" t="s">
        <v>107</v>
      </c>
      <c r="D12" s="19" t="s">
        <v>106</v>
      </c>
      <c r="E12" s="19" t="s">
        <v>109</v>
      </c>
      <c r="F12" s="20">
        <v>45253</v>
      </c>
      <c r="G12" s="19">
        <v>55.2</v>
      </c>
      <c r="H12" s="27">
        <v>50.625304999999997</v>
      </c>
      <c r="I12" s="27">
        <v>6.4286640000000004</v>
      </c>
      <c r="J12" s="19"/>
      <c r="K12" s="21" t="s">
        <v>88</v>
      </c>
      <c r="L12" s="21">
        <v>1.6069643188573479</v>
      </c>
      <c r="M12" s="21" t="s">
        <v>119</v>
      </c>
      <c r="N12" s="21" t="s">
        <v>88</v>
      </c>
      <c r="O12" s="21"/>
      <c r="P12" s="21" t="s">
        <v>89</v>
      </c>
      <c r="Q12" s="21"/>
      <c r="R12" s="21">
        <v>1.4238902083496361</v>
      </c>
      <c r="S12" s="21" t="s">
        <v>119</v>
      </c>
      <c r="T12" s="21" t="s">
        <v>88</v>
      </c>
      <c r="U12" s="21" t="s">
        <v>92</v>
      </c>
      <c r="V12" s="21"/>
      <c r="W12" s="21"/>
      <c r="X12" s="21" t="s">
        <v>90</v>
      </c>
      <c r="Y12" s="21" t="s">
        <v>90</v>
      </c>
      <c r="Z12" s="21">
        <v>6.4021217618469199</v>
      </c>
      <c r="AA12" s="21"/>
      <c r="AB12" s="21"/>
      <c r="AC12" s="21" t="s">
        <v>89</v>
      </c>
      <c r="AD12" s="28" t="s">
        <v>119</v>
      </c>
      <c r="AE12" s="21" t="s">
        <v>90</v>
      </c>
      <c r="AF12" s="21" t="s">
        <v>88</v>
      </c>
      <c r="AG12" s="21" t="s">
        <v>90</v>
      </c>
      <c r="AH12" s="21"/>
      <c r="AI12" s="21"/>
      <c r="AJ12" s="21" t="s">
        <v>88</v>
      </c>
      <c r="AK12" s="21"/>
      <c r="AL12" s="35" t="s">
        <v>90</v>
      </c>
    </row>
    <row r="13" spans="1:38" x14ac:dyDescent="0.35">
      <c r="A13" s="11" t="s">
        <v>330</v>
      </c>
      <c r="B13" s="19">
        <v>6358</v>
      </c>
      <c r="C13" s="19" t="s">
        <v>107</v>
      </c>
      <c r="D13" s="19" t="s">
        <v>106</v>
      </c>
      <c r="E13" s="19" t="s">
        <v>118</v>
      </c>
      <c r="F13" s="20">
        <v>45259</v>
      </c>
      <c r="G13" s="19">
        <v>113.3</v>
      </c>
      <c r="H13" s="23">
        <v>50.5126992</v>
      </c>
      <c r="I13" s="23">
        <v>6.3554731999999996</v>
      </c>
      <c r="J13" s="19"/>
      <c r="K13" s="21"/>
      <c r="L13" s="21" t="s">
        <v>88</v>
      </c>
      <c r="M13" s="21" t="s">
        <v>119</v>
      </c>
      <c r="N13" s="21"/>
      <c r="O13" s="21"/>
      <c r="P13" s="21" t="s">
        <v>89</v>
      </c>
      <c r="Q13" s="21"/>
      <c r="R13" s="21"/>
      <c r="S13" s="21" t="s">
        <v>119</v>
      </c>
      <c r="T13" s="21" t="s">
        <v>88</v>
      </c>
      <c r="U13" s="21" t="s">
        <v>92</v>
      </c>
      <c r="V13" s="21"/>
      <c r="W13" s="21"/>
      <c r="X13" s="21" t="s">
        <v>90</v>
      </c>
      <c r="Y13" s="21" t="s">
        <v>90</v>
      </c>
      <c r="Z13" s="21">
        <v>4.9621466395061802</v>
      </c>
      <c r="AA13" s="21"/>
      <c r="AB13" s="21"/>
      <c r="AC13" s="21" t="s">
        <v>89</v>
      </c>
      <c r="AD13" s="45" t="s">
        <v>119</v>
      </c>
      <c r="AE13" s="21" t="s">
        <v>90</v>
      </c>
      <c r="AF13" s="21" t="s">
        <v>88</v>
      </c>
      <c r="AG13" s="21" t="s">
        <v>90</v>
      </c>
      <c r="AH13" s="21"/>
      <c r="AI13" s="21"/>
      <c r="AJ13" s="21" t="s">
        <v>88</v>
      </c>
      <c r="AK13" s="21"/>
      <c r="AL13" s="35" t="s">
        <v>90</v>
      </c>
    </row>
    <row r="14" spans="1:38" x14ac:dyDescent="0.35">
      <c r="A14" s="11" t="s">
        <v>331</v>
      </c>
      <c r="B14" s="19">
        <v>5082</v>
      </c>
      <c r="C14" s="19" t="s">
        <v>107</v>
      </c>
      <c r="D14" s="26" t="s">
        <v>108</v>
      </c>
      <c r="E14" s="19" t="s">
        <v>109</v>
      </c>
      <c r="F14" s="20">
        <v>45251</v>
      </c>
      <c r="G14" s="26">
        <v>65</v>
      </c>
      <c r="H14" s="27">
        <v>50.659041600000002</v>
      </c>
      <c r="I14" s="27">
        <v>6.4601989</v>
      </c>
      <c r="J14" s="19"/>
      <c r="K14" s="21" t="s">
        <v>88</v>
      </c>
      <c r="L14" s="21">
        <v>2.5789828869204401</v>
      </c>
      <c r="M14" s="21">
        <v>3.6094150873055999</v>
      </c>
      <c r="N14" s="21" t="s">
        <v>88</v>
      </c>
      <c r="O14" s="21"/>
      <c r="P14" s="21" t="s">
        <v>89</v>
      </c>
      <c r="Q14" s="21"/>
      <c r="R14" s="21"/>
      <c r="S14" s="21">
        <v>2.11526809912292</v>
      </c>
      <c r="T14" s="21" t="s">
        <v>88</v>
      </c>
      <c r="U14" s="21" t="s">
        <v>92</v>
      </c>
      <c r="V14" s="21"/>
      <c r="W14" s="21"/>
      <c r="X14" s="21" t="s">
        <v>90</v>
      </c>
      <c r="Y14" s="21" t="s">
        <v>90</v>
      </c>
      <c r="Z14" s="21" t="s">
        <v>89</v>
      </c>
      <c r="AA14" s="21"/>
      <c r="AB14" s="21"/>
      <c r="AC14" s="21" t="s">
        <v>89</v>
      </c>
      <c r="AD14" s="28" t="s">
        <v>119</v>
      </c>
      <c r="AE14" s="21" t="s">
        <v>90</v>
      </c>
      <c r="AF14" s="21" t="s">
        <v>88</v>
      </c>
      <c r="AG14" s="21" t="s">
        <v>90</v>
      </c>
      <c r="AH14" s="21"/>
      <c r="AI14" s="21"/>
      <c r="AJ14" s="21" t="s">
        <v>88</v>
      </c>
      <c r="AK14" s="21" t="s">
        <v>89</v>
      </c>
      <c r="AL14" s="35" t="s">
        <v>90</v>
      </c>
    </row>
    <row r="15" spans="1:38" x14ac:dyDescent="0.35">
      <c r="A15" s="11" t="s">
        <v>332</v>
      </c>
      <c r="B15" s="19">
        <v>6369</v>
      </c>
      <c r="C15" s="19" t="s">
        <v>107</v>
      </c>
      <c r="D15" s="19" t="s">
        <v>108</v>
      </c>
      <c r="E15" s="19" t="s">
        <v>130</v>
      </c>
      <c r="F15" s="20">
        <v>45259</v>
      </c>
      <c r="G15" s="19">
        <v>96.4</v>
      </c>
      <c r="H15" s="54">
        <v>50.5248347</v>
      </c>
      <c r="I15" s="54">
        <v>6.3564714000000002</v>
      </c>
      <c r="J15" s="19"/>
      <c r="K15" s="21" t="s">
        <v>88</v>
      </c>
      <c r="L15" s="21" t="s">
        <v>88</v>
      </c>
      <c r="M15" s="21" t="s">
        <v>119</v>
      </c>
      <c r="N15" s="21" t="s">
        <v>88</v>
      </c>
      <c r="O15" s="21"/>
      <c r="P15" s="21" t="s">
        <v>89</v>
      </c>
      <c r="Q15" s="21"/>
      <c r="R15" s="21"/>
      <c r="S15" s="21" t="s">
        <v>119</v>
      </c>
      <c r="T15" s="21" t="s">
        <v>88</v>
      </c>
      <c r="U15" s="21" t="s">
        <v>92</v>
      </c>
      <c r="V15" s="21"/>
      <c r="W15" s="21"/>
      <c r="X15" s="21" t="s">
        <v>90</v>
      </c>
      <c r="Y15" s="21" t="s">
        <v>90</v>
      </c>
      <c r="Z15" s="21">
        <v>8.2091818646786798</v>
      </c>
      <c r="AA15" s="21" t="s">
        <v>72</v>
      </c>
      <c r="AB15" s="21"/>
      <c r="AC15" s="21" t="s">
        <v>89</v>
      </c>
      <c r="AD15" s="45" t="s">
        <v>119</v>
      </c>
      <c r="AE15" s="21" t="s">
        <v>90</v>
      </c>
      <c r="AF15" s="21" t="s">
        <v>88</v>
      </c>
      <c r="AG15" s="21" t="s">
        <v>90</v>
      </c>
      <c r="AH15" s="21"/>
      <c r="AI15" s="21"/>
      <c r="AJ15" s="21" t="s">
        <v>88</v>
      </c>
      <c r="AK15" s="21"/>
      <c r="AL15" s="35">
        <v>23.504546173470199</v>
      </c>
    </row>
    <row r="16" spans="1:38" x14ac:dyDescent="0.35">
      <c r="A16" s="11" t="s">
        <v>333</v>
      </c>
      <c r="B16" s="19">
        <v>6458</v>
      </c>
      <c r="C16" s="19" t="s">
        <v>107</v>
      </c>
      <c r="D16" s="19" t="s">
        <v>108</v>
      </c>
      <c r="E16" s="19" t="s">
        <v>130</v>
      </c>
      <c r="F16" s="20">
        <v>45259</v>
      </c>
      <c r="G16" s="26">
        <v>105.1</v>
      </c>
      <c r="H16" s="23">
        <v>50.535340300000001</v>
      </c>
      <c r="I16" s="23">
        <v>6.3424921000000003</v>
      </c>
      <c r="J16" s="19"/>
      <c r="K16" s="21"/>
      <c r="L16" s="21" t="s">
        <v>88</v>
      </c>
      <c r="M16" s="21" t="s">
        <v>119</v>
      </c>
      <c r="N16" s="21"/>
      <c r="O16" s="21"/>
      <c r="P16" s="21" t="s">
        <v>89</v>
      </c>
      <c r="Q16" s="21"/>
      <c r="R16" s="21"/>
      <c r="S16" s="21" t="s">
        <v>119</v>
      </c>
      <c r="T16" s="21" t="s">
        <v>88</v>
      </c>
      <c r="U16" s="21" t="s">
        <v>92</v>
      </c>
      <c r="V16" s="21" t="s">
        <v>119</v>
      </c>
      <c r="W16" s="21" t="s">
        <v>89</v>
      </c>
      <c r="X16" s="21" t="s">
        <v>90</v>
      </c>
      <c r="Y16" s="21" t="s">
        <v>90</v>
      </c>
      <c r="Z16" s="21" t="s">
        <v>89</v>
      </c>
      <c r="AA16" s="21"/>
      <c r="AB16" s="21"/>
      <c r="AC16" s="21" t="s">
        <v>89</v>
      </c>
      <c r="AD16" s="28" t="s">
        <v>119</v>
      </c>
      <c r="AE16" s="21" t="s">
        <v>90</v>
      </c>
      <c r="AF16" s="21" t="s">
        <v>88</v>
      </c>
      <c r="AG16" s="21" t="s">
        <v>90</v>
      </c>
      <c r="AH16" s="21"/>
      <c r="AI16" s="21"/>
      <c r="AJ16" s="21" t="s">
        <v>88</v>
      </c>
      <c r="AK16" s="21" t="s">
        <v>89</v>
      </c>
      <c r="AL16" s="35" t="s">
        <v>90</v>
      </c>
    </row>
    <row r="17" spans="1:38" x14ac:dyDescent="0.35">
      <c r="A17" s="11" t="s">
        <v>334</v>
      </c>
      <c r="B17" s="19">
        <v>6371</v>
      </c>
      <c r="C17" s="19" t="s">
        <v>107</v>
      </c>
      <c r="D17" s="19" t="s">
        <v>106</v>
      </c>
      <c r="E17" s="19" t="s">
        <v>109</v>
      </c>
      <c r="F17" s="20">
        <v>45259</v>
      </c>
      <c r="G17" s="32">
        <v>58.2</v>
      </c>
      <c r="H17" s="23">
        <v>50.521908000000003</v>
      </c>
      <c r="I17" s="23">
        <v>6.3378961</v>
      </c>
      <c r="J17" s="19"/>
      <c r="K17" s="21" t="s">
        <v>88</v>
      </c>
      <c r="L17" s="21">
        <v>1.9310197944241461</v>
      </c>
      <c r="M17" s="21">
        <v>2.4315781955878002</v>
      </c>
      <c r="N17" s="21" t="s">
        <v>88</v>
      </c>
      <c r="O17" s="21"/>
      <c r="P17" s="21" t="s">
        <v>89</v>
      </c>
      <c r="Q17" s="21">
        <v>26.857848343735998</v>
      </c>
      <c r="R17" s="21"/>
      <c r="S17" s="21">
        <v>2.26028068981456</v>
      </c>
      <c r="T17" s="21" t="s">
        <v>88</v>
      </c>
      <c r="U17" s="21" t="s">
        <v>92</v>
      </c>
      <c r="V17" s="21"/>
      <c r="W17" s="21" t="s">
        <v>89</v>
      </c>
      <c r="X17" s="21" t="s">
        <v>90</v>
      </c>
      <c r="Y17" s="21" t="s">
        <v>90</v>
      </c>
      <c r="Z17" s="21">
        <v>39.040598564550002</v>
      </c>
      <c r="AA17" s="21"/>
      <c r="AB17" s="21"/>
      <c r="AC17" s="21" t="s">
        <v>89</v>
      </c>
      <c r="AD17" s="45" t="s">
        <v>119</v>
      </c>
      <c r="AE17" s="21" t="s">
        <v>90</v>
      </c>
      <c r="AF17" s="21" t="s">
        <v>88</v>
      </c>
      <c r="AG17" s="21">
        <v>11.180765449304181</v>
      </c>
      <c r="AH17" s="21"/>
      <c r="AI17" s="21"/>
      <c r="AJ17" s="21" t="s">
        <v>88</v>
      </c>
      <c r="AK17" s="21"/>
      <c r="AL17" s="35">
        <v>33.795325652369598</v>
      </c>
    </row>
    <row r="18" spans="1:38" x14ac:dyDescent="0.35">
      <c r="A18" s="11" t="s">
        <v>335</v>
      </c>
      <c r="B18" s="19">
        <v>6365</v>
      </c>
      <c r="C18" s="19" t="s">
        <v>107</v>
      </c>
      <c r="D18" s="19" t="s">
        <v>108</v>
      </c>
      <c r="E18" s="19" t="s">
        <v>130</v>
      </c>
      <c r="F18" s="20">
        <v>45259</v>
      </c>
      <c r="G18" s="19">
        <v>83</v>
      </c>
      <c r="H18" s="23">
        <v>50.517938100000002</v>
      </c>
      <c r="I18" s="23">
        <v>6.3576740999999997</v>
      </c>
      <c r="J18" s="19"/>
      <c r="K18" s="21" t="s">
        <v>88</v>
      </c>
      <c r="L18" s="21" t="s">
        <v>88</v>
      </c>
      <c r="M18" s="21" t="s">
        <v>119</v>
      </c>
      <c r="N18" s="21" t="s">
        <v>88</v>
      </c>
      <c r="O18" s="21"/>
      <c r="P18" s="21" t="s">
        <v>89</v>
      </c>
      <c r="Q18" s="21"/>
      <c r="R18" s="21"/>
      <c r="S18" s="21" t="s">
        <v>119</v>
      </c>
      <c r="T18" s="21" t="s">
        <v>88</v>
      </c>
      <c r="U18" s="21" t="s">
        <v>92</v>
      </c>
      <c r="V18" s="21"/>
      <c r="W18" s="21"/>
      <c r="X18" s="21" t="s">
        <v>90</v>
      </c>
      <c r="Y18" s="21" t="s">
        <v>90</v>
      </c>
      <c r="Z18" s="21" t="s">
        <v>89</v>
      </c>
      <c r="AA18" s="21"/>
      <c r="AB18" s="21"/>
      <c r="AC18" s="21" t="s">
        <v>89</v>
      </c>
      <c r="AD18" s="28" t="s">
        <v>119</v>
      </c>
      <c r="AE18" s="21" t="s">
        <v>90</v>
      </c>
      <c r="AF18" s="21" t="s">
        <v>88</v>
      </c>
      <c r="AG18" s="21" t="s">
        <v>90</v>
      </c>
      <c r="AH18" s="21"/>
      <c r="AI18" s="21"/>
      <c r="AJ18" s="21" t="s">
        <v>88</v>
      </c>
      <c r="AK18" s="21"/>
      <c r="AL18" s="35" t="s">
        <v>90</v>
      </c>
    </row>
    <row r="19" spans="1:38" x14ac:dyDescent="0.35">
      <c r="A19" s="11" t="s">
        <v>336</v>
      </c>
      <c r="B19" s="19">
        <v>6372</v>
      </c>
      <c r="C19" s="19" t="s">
        <v>107</v>
      </c>
      <c r="D19" s="19" t="s">
        <v>108</v>
      </c>
      <c r="E19" s="19" t="s">
        <v>109</v>
      </c>
      <c r="F19" s="20">
        <v>45259</v>
      </c>
      <c r="G19" s="19">
        <v>68.3</v>
      </c>
      <c r="H19" s="53">
        <v>50.520560600000003</v>
      </c>
      <c r="I19" s="53">
        <v>6.3316023000000001</v>
      </c>
      <c r="J19" s="19"/>
      <c r="K19" s="21" t="s">
        <v>88</v>
      </c>
      <c r="L19" s="21">
        <v>1.2975439947468921</v>
      </c>
      <c r="M19" s="21" t="s">
        <v>119</v>
      </c>
      <c r="N19" s="21" t="s">
        <v>88</v>
      </c>
      <c r="O19" s="21"/>
      <c r="P19" s="21" t="s">
        <v>89</v>
      </c>
      <c r="Q19" s="21"/>
      <c r="R19" s="21"/>
      <c r="S19" s="21" t="s">
        <v>119</v>
      </c>
      <c r="T19" s="21" t="s">
        <v>88</v>
      </c>
      <c r="U19" s="21" t="s">
        <v>92</v>
      </c>
      <c r="V19" s="21" t="s">
        <v>119</v>
      </c>
      <c r="W19" s="21"/>
      <c r="X19" s="21">
        <v>213.301180989004</v>
      </c>
      <c r="Y19" s="21" t="s">
        <v>90</v>
      </c>
      <c r="Z19" s="21">
        <v>10.57603488858852</v>
      </c>
      <c r="AA19" s="21" t="s">
        <v>72</v>
      </c>
      <c r="AB19" s="21"/>
      <c r="AC19" s="21" t="s">
        <v>89</v>
      </c>
      <c r="AD19" s="45" t="s">
        <v>119</v>
      </c>
      <c r="AE19" s="21" t="s">
        <v>90</v>
      </c>
      <c r="AF19" s="21" t="s">
        <v>88</v>
      </c>
      <c r="AG19" s="21" t="s">
        <v>90</v>
      </c>
      <c r="AH19" s="21"/>
      <c r="AI19" s="21"/>
      <c r="AJ19" s="21" t="s">
        <v>88</v>
      </c>
      <c r="AK19" s="21"/>
      <c r="AL19" s="35" t="s">
        <v>90</v>
      </c>
    </row>
    <row r="20" spans="1:38" x14ac:dyDescent="0.35">
      <c r="A20" s="11" t="s">
        <v>337</v>
      </c>
      <c r="B20" s="19">
        <v>6439</v>
      </c>
      <c r="C20" s="19" t="s">
        <v>107</v>
      </c>
      <c r="D20" s="19" t="s">
        <v>106</v>
      </c>
      <c r="E20" s="19" t="s">
        <v>109</v>
      </c>
      <c r="F20" s="20">
        <v>45267</v>
      </c>
      <c r="G20" s="26">
        <v>59.9</v>
      </c>
      <c r="H20" s="23">
        <v>50.5776532</v>
      </c>
      <c r="I20" s="23">
        <v>6.5251092000000002</v>
      </c>
      <c r="J20" s="19"/>
      <c r="K20" s="21" t="s">
        <v>88</v>
      </c>
      <c r="L20" s="21">
        <v>2.99776868684468</v>
      </c>
      <c r="M20" s="21">
        <v>3.9659375410350202</v>
      </c>
      <c r="N20" s="21" t="s">
        <v>88</v>
      </c>
      <c r="O20" s="21"/>
      <c r="P20" s="21" t="s">
        <v>89</v>
      </c>
      <c r="Q20" s="21"/>
      <c r="R20" s="21"/>
      <c r="S20" s="21" t="s">
        <v>119</v>
      </c>
      <c r="T20" s="21" t="s">
        <v>88</v>
      </c>
      <c r="U20" s="21">
        <v>33.033939545580601</v>
      </c>
      <c r="V20" s="21"/>
      <c r="W20" s="21"/>
      <c r="X20" s="21" t="s">
        <v>90</v>
      </c>
      <c r="Y20" s="21" t="s">
        <v>90</v>
      </c>
      <c r="Z20" s="21">
        <v>11.88280069897794</v>
      </c>
      <c r="AA20" s="21"/>
      <c r="AB20" s="21"/>
      <c r="AC20" s="21" t="s">
        <v>89</v>
      </c>
      <c r="AD20" s="28" t="s">
        <v>119</v>
      </c>
      <c r="AE20" s="21" t="s">
        <v>90</v>
      </c>
      <c r="AF20" s="21" t="s">
        <v>88</v>
      </c>
      <c r="AG20" s="21">
        <v>10.201173892529461</v>
      </c>
      <c r="AH20" s="21"/>
      <c r="AI20" s="21"/>
      <c r="AJ20" s="21" t="s">
        <v>88</v>
      </c>
      <c r="AK20" s="21"/>
      <c r="AL20" s="35">
        <v>17.257955095566619</v>
      </c>
    </row>
    <row r="21" spans="1:38" x14ac:dyDescent="0.35">
      <c r="A21" s="11" t="s">
        <v>338</v>
      </c>
      <c r="B21" s="19">
        <v>6374</v>
      </c>
      <c r="C21" s="19" t="s">
        <v>107</v>
      </c>
      <c r="D21" s="19" t="s">
        <v>106</v>
      </c>
      <c r="E21" s="19" t="s">
        <v>109</v>
      </c>
      <c r="F21" s="20">
        <v>45259</v>
      </c>
      <c r="G21" s="19">
        <v>63.4</v>
      </c>
      <c r="H21" s="53">
        <v>50.5263347</v>
      </c>
      <c r="I21" s="53">
        <v>6.3192446000000002</v>
      </c>
      <c r="J21" s="19"/>
      <c r="K21" s="21" t="s">
        <v>88</v>
      </c>
      <c r="L21" s="21">
        <v>1.307562574285114</v>
      </c>
      <c r="M21" s="21" t="s">
        <v>119</v>
      </c>
      <c r="N21" s="21" t="s">
        <v>88</v>
      </c>
      <c r="O21" s="21"/>
      <c r="P21" s="21" t="s">
        <v>89</v>
      </c>
      <c r="Q21" s="21">
        <v>13.189349317649979</v>
      </c>
      <c r="R21" s="21">
        <v>1.912148097146896</v>
      </c>
      <c r="S21" s="21" t="s">
        <v>119</v>
      </c>
      <c r="T21" s="21" t="s">
        <v>88</v>
      </c>
      <c r="U21" s="21" t="s">
        <v>92</v>
      </c>
      <c r="V21" s="21"/>
      <c r="W21" s="21"/>
      <c r="X21" s="21" t="s">
        <v>90</v>
      </c>
      <c r="Y21" s="21" t="s">
        <v>90</v>
      </c>
      <c r="Z21" s="21" t="s">
        <v>89</v>
      </c>
      <c r="AA21" s="21"/>
      <c r="AB21" s="21"/>
      <c r="AC21" s="21" t="s">
        <v>89</v>
      </c>
      <c r="AD21" s="45" t="s">
        <v>119</v>
      </c>
      <c r="AE21" s="21" t="s">
        <v>90</v>
      </c>
      <c r="AF21" s="21" t="s">
        <v>88</v>
      </c>
      <c r="AG21" s="21" t="s">
        <v>90</v>
      </c>
      <c r="AH21" s="21"/>
      <c r="AI21" s="21"/>
      <c r="AJ21" s="21" t="s">
        <v>88</v>
      </c>
      <c r="AK21" s="21" t="s">
        <v>89</v>
      </c>
      <c r="AL21" s="35" t="s">
        <v>90</v>
      </c>
    </row>
    <row r="22" spans="1:38" x14ac:dyDescent="0.35">
      <c r="A22" s="11" t="s">
        <v>339</v>
      </c>
      <c r="B22" s="19">
        <v>6362</v>
      </c>
      <c r="C22" s="19" t="s">
        <v>107</v>
      </c>
      <c r="D22" s="19" t="s">
        <v>106</v>
      </c>
      <c r="E22" s="19" t="s">
        <v>130</v>
      </c>
      <c r="F22" s="20">
        <v>45259</v>
      </c>
      <c r="G22" s="19">
        <v>98.2</v>
      </c>
      <c r="H22" s="27">
        <v>50.524289000000003</v>
      </c>
      <c r="I22" s="27">
        <v>6.3506625999999997</v>
      </c>
      <c r="J22" s="19"/>
      <c r="K22" s="21"/>
      <c r="L22" s="21" t="s">
        <v>88</v>
      </c>
      <c r="M22" s="21" t="s">
        <v>119</v>
      </c>
      <c r="N22" s="21"/>
      <c r="O22" s="21"/>
      <c r="P22" s="21" t="s">
        <v>89</v>
      </c>
      <c r="Q22" s="21"/>
      <c r="R22" s="21"/>
      <c r="S22" s="21"/>
      <c r="T22" s="21"/>
      <c r="U22" s="21" t="s">
        <v>92</v>
      </c>
      <c r="V22" s="21"/>
      <c r="W22" s="21" t="s">
        <v>89</v>
      </c>
      <c r="X22" s="21" t="s">
        <v>90</v>
      </c>
      <c r="Y22" s="21" t="s">
        <v>90</v>
      </c>
      <c r="Z22" s="21" t="s">
        <v>89</v>
      </c>
      <c r="AA22" s="21"/>
      <c r="AB22" s="21"/>
      <c r="AC22" s="21" t="s">
        <v>89</v>
      </c>
      <c r="AD22" s="28" t="s">
        <v>119</v>
      </c>
      <c r="AE22" s="21" t="s">
        <v>90</v>
      </c>
      <c r="AF22" s="21" t="s">
        <v>88</v>
      </c>
      <c r="AG22" s="21" t="s">
        <v>90</v>
      </c>
      <c r="AH22" s="21"/>
      <c r="AI22" s="21"/>
      <c r="AJ22" s="21" t="s">
        <v>88</v>
      </c>
      <c r="AK22" s="21" t="s">
        <v>89</v>
      </c>
      <c r="AL22" s="35" t="s">
        <v>90</v>
      </c>
    </row>
    <row r="23" spans="1:38" x14ac:dyDescent="0.35">
      <c r="A23" s="11" t="s">
        <v>340</v>
      </c>
      <c r="B23" s="19">
        <v>6438</v>
      </c>
      <c r="C23" s="19" t="s">
        <v>107</v>
      </c>
      <c r="D23" s="19" t="s">
        <v>106</v>
      </c>
      <c r="E23" s="19" t="s">
        <v>118</v>
      </c>
      <c r="F23" s="20">
        <v>45267</v>
      </c>
      <c r="G23" s="19">
        <v>96.2</v>
      </c>
      <c r="H23" s="23">
        <v>50.577123899999997</v>
      </c>
      <c r="I23" s="23">
        <v>6.5448434999999998</v>
      </c>
      <c r="J23" s="19"/>
      <c r="K23" s="21" t="s">
        <v>88</v>
      </c>
      <c r="L23" s="21" t="s">
        <v>88</v>
      </c>
      <c r="M23" s="21" t="s">
        <v>119</v>
      </c>
      <c r="N23" s="21" t="s">
        <v>88</v>
      </c>
      <c r="O23" s="21"/>
      <c r="P23" s="21" t="s">
        <v>89</v>
      </c>
      <c r="Q23" s="21" t="s">
        <v>90</v>
      </c>
      <c r="R23" s="21"/>
      <c r="S23" s="21" t="s">
        <v>119</v>
      </c>
      <c r="T23" s="21" t="s">
        <v>88</v>
      </c>
      <c r="U23" s="21" t="s">
        <v>92</v>
      </c>
      <c r="V23" s="21"/>
      <c r="W23" s="21"/>
      <c r="X23" s="21" t="s">
        <v>90</v>
      </c>
      <c r="Y23" s="21" t="s">
        <v>90</v>
      </c>
      <c r="Z23" s="21" t="s">
        <v>89</v>
      </c>
      <c r="AA23" s="21"/>
      <c r="AB23" s="21"/>
      <c r="AC23" s="21" t="s">
        <v>89</v>
      </c>
      <c r="AD23" s="45" t="s">
        <v>119</v>
      </c>
      <c r="AE23" s="21" t="s">
        <v>90</v>
      </c>
      <c r="AF23" s="21" t="s">
        <v>88</v>
      </c>
      <c r="AG23" s="21" t="s">
        <v>90</v>
      </c>
      <c r="AH23" s="21"/>
      <c r="AI23" s="21"/>
      <c r="AJ23" s="21" t="s">
        <v>88</v>
      </c>
      <c r="AK23" s="21"/>
      <c r="AL23" s="35" t="s">
        <v>90</v>
      </c>
    </row>
    <row r="24" spans="1:38" x14ac:dyDescent="0.35">
      <c r="A24" s="11" t="s">
        <v>341</v>
      </c>
      <c r="B24" s="19">
        <v>6089</v>
      </c>
      <c r="C24" s="19" t="s">
        <v>107</v>
      </c>
      <c r="D24" s="19" t="s">
        <v>108</v>
      </c>
      <c r="E24" s="19" t="s">
        <v>109</v>
      </c>
      <c r="F24" s="20">
        <v>45253</v>
      </c>
      <c r="G24" s="21">
        <v>72.2</v>
      </c>
      <c r="H24" s="23">
        <v>50.622740999999998</v>
      </c>
      <c r="I24" s="23">
        <v>6.4371939999999999</v>
      </c>
      <c r="J24" s="19"/>
      <c r="K24" s="21" t="s">
        <v>88</v>
      </c>
      <c r="L24" s="21" t="s">
        <v>88</v>
      </c>
      <c r="M24" s="21" t="s">
        <v>119</v>
      </c>
      <c r="N24" s="21" t="s">
        <v>88</v>
      </c>
      <c r="O24" s="21"/>
      <c r="P24" s="21" t="s">
        <v>89</v>
      </c>
      <c r="Q24" s="21"/>
      <c r="R24" s="21">
        <v>1.0967976101918619</v>
      </c>
      <c r="S24" s="21" t="s">
        <v>119</v>
      </c>
      <c r="T24" s="21" t="s">
        <v>88</v>
      </c>
      <c r="U24" s="21" t="s">
        <v>92</v>
      </c>
      <c r="V24" s="21"/>
      <c r="W24" s="21"/>
      <c r="X24" s="21" t="s">
        <v>90</v>
      </c>
      <c r="Y24" s="21" t="s">
        <v>90</v>
      </c>
      <c r="Z24" s="21" t="s">
        <v>89</v>
      </c>
      <c r="AA24" s="21"/>
      <c r="AB24" s="21"/>
      <c r="AC24" s="21" t="s">
        <v>89</v>
      </c>
      <c r="AD24" s="28" t="s">
        <v>119</v>
      </c>
      <c r="AE24" s="21" t="s">
        <v>90</v>
      </c>
      <c r="AF24" s="21" t="s">
        <v>88</v>
      </c>
      <c r="AG24" s="21" t="s">
        <v>90</v>
      </c>
      <c r="AH24" s="21"/>
      <c r="AI24" s="21"/>
      <c r="AJ24" s="21" t="s">
        <v>88</v>
      </c>
      <c r="AK24" s="21"/>
      <c r="AL24" s="35" t="s">
        <v>90</v>
      </c>
    </row>
    <row r="25" spans="1:38" x14ac:dyDescent="0.35">
      <c r="A25" s="11" t="s">
        <v>342</v>
      </c>
      <c r="B25" s="19">
        <v>6424</v>
      </c>
      <c r="C25" s="19" t="s">
        <v>107</v>
      </c>
      <c r="D25" s="19" t="s">
        <v>106</v>
      </c>
      <c r="E25" s="19" t="s">
        <v>109</v>
      </c>
      <c r="F25" s="20">
        <v>45267</v>
      </c>
      <c r="G25" s="19">
        <v>34.200000000000003</v>
      </c>
      <c r="H25" s="53">
        <v>50.591456000000001</v>
      </c>
      <c r="I25" s="53">
        <v>6.5261665999999998</v>
      </c>
      <c r="J25" s="19"/>
      <c r="K25" s="21">
        <v>1.7831089952866119</v>
      </c>
      <c r="L25" s="21">
        <v>8.3311540937935593</v>
      </c>
      <c r="M25" s="21">
        <v>10.491968752604601</v>
      </c>
      <c r="N25" s="21" t="s">
        <v>88</v>
      </c>
      <c r="O25" s="21"/>
      <c r="P25" s="21" t="s">
        <v>89</v>
      </c>
      <c r="Q25" s="21"/>
      <c r="R25" s="21"/>
      <c r="S25" s="21" t="s">
        <v>119</v>
      </c>
      <c r="T25" s="21">
        <v>1.586647540726742</v>
      </c>
      <c r="U25" s="21" t="s">
        <v>92</v>
      </c>
      <c r="V25" s="21"/>
      <c r="W25" s="21"/>
      <c r="X25" s="21" t="s">
        <v>90</v>
      </c>
      <c r="Y25" s="21" t="s">
        <v>90</v>
      </c>
      <c r="Z25" s="21" t="s">
        <v>89</v>
      </c>
      <c r="AA25" s="21"/>
      <c r="AB25" s="21"/>
      <c r="AC25" s="21" t="s">
        <v>89</v>
      </c>
      <c r="AD25" s="45" t="s">
        <v>119</v>
      </c>
      <c r="AE25" s="21" t="s">
        <v>90</v>
      </c>
      <c r="AF25" s="21" t="s">
        <v>88</v>
      </c>
      <c r="AG25" s="21" t="s">
        <v>90</v>
      </c>
      <c r="AH25" s="21"/>
      <c r="AI25" s="21"/>
      <c r="AJ25" s="21" t="s">
        <v>88</v>
      </c>
      <c r="AK25" s="21" t="s">
        <v>89</v>
      </c>
      <c r="AL25" s="35" t="s">
        <v>90</v>
      </c>
    </row>
    <row r="26" spans="1:38" x14ac:dyDescent="0.35">
      <c r="A26" s="11" t="s">
        <v>343</v>
      </c>
      <c r="B26" s="19">
        <v>6423</v>
      </c>
      <c r="C26" s="19" t="s">
        <v>107</v>
      </c>
      <c r="D26" s="19" t="s">
        <v>108</v>
      </c>
      <c r="E26" s="19" t="s">
        <v>109</v>
      </c>
      <c r="F26" s="20">
        <v>45267</v>
      </c>
      <c r="G26" s="19">
        <v>67.900000000000006</v>
      </c>
      <c r="H26" s="27">
        <v>50.589975099999997</v>
      </c>
      <c r="I26" s="27">
        <v>6.5219462999999998</v>
      </c>
      <c r="J26" s="19"/>
      <c r="K26" s="21"/>
      <c r="L26" s="21">
        <v>1.2612805063900721</v>
      </c>
      <c r="M26" s="21">
        <v>2.4846764604799398</v>
      </c>
      <c r="N26" s="21" t="s">
        <v>88</v>
      </c>
      <c r="O26" s="21"/>
      <c r="P26" s="21" t="s">
        <v>89</v>
      </c>
      <c r="Q26" s="21"/>
      <c r="R26" s="21"/>
      <c r="S26" s="21">
        <v>2.7764620394889201</v>
      </c>
      <c r="T26" s="21" t="s">
        <v>88</v>
      </c>
      <c r="U26" s="21" t="s">
        <v>92</v>
      </c>
      <c r="V26" s="21"/>
      <c r="W26" s="21" t="s">
        <v>89</v>
      </c>
      <c r="X26" s="21"/>
      <c r="Y26" s="21" t="s">
        <v>90</v>
      </c>
      <c r="Z26" s="21">
        <v>16.736315978636021</v>
      </c>
      <c r="AA26" s="21"/>
      <c r="AB26" s="21"/>
      <c r="AC26" s="21" t="s">
        <v>89</v>
      </c>
      <c r="AD26" s="28" t="s">
        <v>119</v>
      </c>
      <c r="AE26" s="21" t="s">
        <v>90</v>
      </c>
      <c r="AF26" s="21" t="s">
        <v>88</v>
      </c>
      <c r="AG26" s="21" t="s">
        <v>90</v>
      </c>
      <c r="AH26" s="21"/>
      <c r="AI26" s="21"/>
      <c r="AJ26" s="21" t="s">
        <v>88</v>
      </c>
      <c r="AK26" s="21"/>
      <c r="AL26" s="35">
        <v>34.8110347617448</v>
      </c>
    </row>
    <row r="27" spans="1:38" x14ac:dyDescent="0.35">
      <c r="A27" s="11" t="s">
        <v>344</v>
      </c>
      <c r="B27" s="19">
        <v>6422</v>
      </c>
      <c r="C27" s="19" t="s">
        <v>107</v>
      </c>
      <c r="D27" s="19" t="s">
        <v>106</v>
      </c>
      <c r="E27" s="19" t="s">
        <v>118</v>
      </c>
      <c r="F27" s="20">
        <v>45267</v>
      </c>
      <c r="G27" s="19">
        <v>106.5</v>
      </c>
      <c r="H27" s="53">
        <v>50.591456000000001</v>
      </c>
      <c r="I27" s="53">
        <v>6.5261665999999998</v>
      </c>
      <c r="J27" s="19"/>
      <c r="K27" s="21"/>
      <c r="L27" s="21" t="s">
        <v>88</v>
      </c>
      <c r="M27" s="21" t="s">
        <v>119</v>
      </c>
      <c r="N27" s="21"/>
      <c r="O27" s="21"/>
      <c r="P27" s="21" t="s">
        <v>89</v>
      </c>
      <c r="Q27" s="21"/>
      <c r="R27" s="21"/>
      <c r="S27" s="21" t="s">
        <v>119</v>
      </c>
      <c r="T27" s="21" t="s">
        <v>88</v>
      </c>
      <c r="U27" s="21" t="s">
        <v>92</v>
      </c>
      <c r="V27" s="21"/>
      <c r="W27" s="21" t="s">
        <v>89</v>
      </c>
      <c r="X27" s="21" t="s">
        <v>90</v>
      </c>
      <c r="Y27" s="21" t="s">
        <v>90</v>
      </c>
      <c r="Z27" s="21" t="s">
        <v>89</v>
      </c>
      <c r="AA27" s="21"/>
      <c r="AB27" s="21"/>
      <c r="AC27" s="21" t="s">
        <v>89</v>
      </c>
      <c r="AD27" s="45" t="s">
        <v>119</v>
      </c>
      <c r="AE27" s="21" t="s">
        <v>90</v>
      </c>
      <c r="AF27" s="21" t="s">
        <v>88</v>
      </c>
      <c r="AG27" s="21">
        <v>10.78728602771274</v>
      </c>
      <c r="AH27" s="21"/>
      <c r="AI27" s="21"/>
      <c r="AJ27" s="21" t="s">
        <v>88</v>
      </c>
      <c r="AK27" s="21"/>
      <c r="AL27" s="35" t="s">
        <v>90</v>
      </c>
    </row>
    <row r="28" spans="1:38" x14ac:dyDescent="0.35">
      <c r="A28" s="11" t="s">
        <v>345</v>
      </c>
      <c r="B28" s="19">
        <v>6436</v>
      </c>
      <c r="C28" s="19" t="s">
        <v>107</v>
      </c>
      <c r="D28" s="19" t="s">
        <v>108</v>
      </c>
      <c r="E28" s="19" t="s">
        <v>109</v>
      </c>
      <c r="F28" s="20">
        <v>45267</v>
      </c>
      <c r="G28" s="19"/>
      <c r="H28" s="30">
        <v>50.585551600000002</v>
      </c>
      <c r="I28" s="30">
        <v>6.5207560999999998</v>
      </c>
      <c r="J28" s="19" t="s">
        <v>478</v>
      </c>
      <c r="K28" s="21" t="s">
        <v>88</v>
      </c>
      <c r="L28" s="21">
        <v>1.574151693597666</v>
      </c>
      <c r="M28" s="21">
        <v>2.3126035733743802</v>
      </c>
      <c r="N28" s="21" t="s">
        <v>88</v>
      </c>
      <c r="O28" s="21"/>
      <c r="P28" s="21" t="s">
        <v>89</v>
      </c>
      <c r="Q28" s="21"/>
      <c r="R28" s="21"/>
      <c r="S28" s="21" t="s">
        <v>119</v>
      </c>
      <c r="T28" s="21" t="s">
        <v>88</v>
      </c>
      <c r="U28" s="21" t="s">
        <v>92</v>
      </c>
      <c r="V28" s="21"/>
      <c r="W28" s="21"/>
      <c r="X28" s="21" t="s">
        <v>90</v>
      </c>
      <c r="Y28" s="21" t="s">
        <v>90</v>
      </c>
      <c r="Z28" s="21" t="s">
        <v>89</v>
      </c>
      <c r="AA28" s="21"/>
      <c r="AB28" s="21"/>
      <c r="AC28" s="21" t="s">
        <v>89</v>
      </c>
      <c r="AD28" s="28" t="s">
        <v>119</v>
      </c>
      <c r="AE28" s="21" t="s">
        <v>90</v>
      </c>
      <c r="AF28" s="21" t="s">
        <v>88</v>
      </c>
      <c r="AG28" s="21" t="s">
        <v>90</v>
      </c>
      <c r="AH28" s="21"/>
      <c r="AI28" s="21"/>
      <c r="AJ28" s="21" t="s">
        <v>88</v>
      </c>
      <c r="AK28" s="21" t="s">
        <v>89</v>
      </c>
      <c r="AL28" s="35" t="s">
        <v>90</v>
      </c>
    </row>
    <row r="29" spans="1:38" x14ac:dyDescent="0.35">
      <c r="A29" s="11" t="s">
        <v>346</v>
      </c>
      <c r="B29" s="19">
        <v>6421</v>
      </c>
      <c r="C29" s="19" t="s">
        <v>107</v>
      </c>
      <c r="D29" s="19" t="s">
        <v>108</v>
      </c>
      <c r="E29" s="19" t="s">
        <v>109</v>
      </c>
      <c r="F29" s="20">
        <v>45267</v>
      </c>
      <c r="G29" s="19">
        <v>57.6</v>
      </c>
      <c r="H29" s="23">
        <v>50.583315599999999</v>
      </c>
      <c r="I29" s="23">
        <v>6.5410237999999996</v>
      </c>
      <c r="J29" s="19"/>
      <c r="K29" s="21" t="s">
        <v>88</v>
      </c>
      <c r="L29" s="21">
        <v>1.705079051131952</v>
      </c>
      <c r="M29" s="21">
        <v>2.2862188238525798</v>
      </c>
      <c r="N29" s="21" t="s">
        <v>88</v>
      </c>
      <c r="O29" s="21"/>
      <c r="P29" s="21" t="s">
        <v>89</v>
      </c>
      <c r="Q29" s="21">
        <v>13.90448999414704</v>
      </c>
      <c r="R29" s="21"/>
      <c r="S29" s="21" t="s">
        <v>119</v>
      </c>
      <c r="T29" s="21" t="s">
        <v>88</v>
      </c>
      <c r="U29" s="21" t="s">
        <v>92</v>
      </c>
      <c r="V29" s="21"/>
      <c r="W29" s="21"/>
      <c r="X29" s="21" t="s">
        <v>90</v>
      </c>
      <c r="Y29" s="21" t="s">
        <v>90</v>
      </c>
      <c r="Z29" s="21" t="s">
        <v>89</v>
      </c>
      <c r="AA29" s="21">
        <v>3.5556521936349399</v>
      </c>
      <c r="AB29" s="21"/>
      <c r="AC29" s="21" t="s">
        <v>89</v>
      </c>
      <c r="AD29" s="45" t="s">
        <v>119</v>
      </c>
      <c r="AE29" s="21" t="s">
        <v>90</v>
      </c>
      <c r="AF29" s="21" t="s">
        <v>88</v>
      </c>
      <c r="AG29" s="21">
        <v>10.78229742379744</v>
      </c>
      <c r="AH29" s="21"/>
      <c r="AI29" s="21"/>
      <c r="AJ29" s="21" t="s">
        <v>88</v>
      </c>
      <c r="AK29" s="21" t="s">
        <v>89</v>
      </c>
      <c r="AL29" s="35" t="s">
        <v>90</v>
      </c>
    </row>
    <row r="30" spans="1:38" x14ac:dyDescent="0.35">
      <c r="A30" s="11" t="s">
        <v>347</v>
      </c>
      <c r="B30" s="19">
        <v>6061</v>
      </c>
      <c r="C30" s="19" t="s">
        <v>107</v>
      </c>
      <c r="D30" s="19" t="s">
        <v>106</v>
      </c>
      <c r="E30" s="19" t="s">
        <v>109</v>
      </c>
      <c r="F30" s="20">
        <v>45276</v>
      </c>
      <c r="G30" s="19">
        <v>50.5</v>
      </c>
      <c r="H30" s="23">
        <v>50.617913999999999</v>
      </c>
      <c r="I30" s="23">
        <v>6.4614560000000001</v>
      </c>
      <c r="J30" s="19"/>
      <c r="K30" s="21" t="s">
        <v>88</v>
      </c>
      <c r="L30" s="21">
        <v>1.9251496207879819</v>
      </c>
      <c r="M30" s="21">
        <v>2.2549631922584199</v>
      </c>
      <c r="N30" s="21" t="s">
        <v>88</v>
      </c>
      <c r="O30" s="21"/>
      <c r="P30" s="21" t="s">
        <v>89</v>
      </c>
      <c r="Q30" s="21" t="s">
        <v>90</v>
      </c>
      <c r="R30" s="21"/>
      <c r="S30" s="21" t="s">
        <v>119</v>
      </c>
      <c r="T30" s="21" t="s">
        <v>88</v>
      </c>
      <c r="U30" s="21" t="s">
        <v>92</v>
      </c>
      <c r="V30" s="21"/>
      <c r="W30" s="21"/>
      <c r="X30" s="21" t="s">
        <v>90</v>
      </c>
      <c r="Y30" s="21" t="s">
        <v>90</v>
      </c>
      <c r="Z30" s="21" t="s">
        <v>89</v>
      </c>
      <c r="AA30" s="21"/>
      <c r="AB30" s="21"/>
      <c r="AC30" s="21" t="s">
        <v>89</v>
      </c>
      <c r="AD30" s="28" t="s">
        <v>119</v>
      </c>
      <c r="AE30" s="21" t="s">
        <v>90</v>
      </c>
      <c r="AF30" s="21" t="s">
        <v>88</v>
      </c>
      <c r="AG30" s="21" t="s">
        <v>90</v>
      </c>
      <c r="AH30" s="21"/>
      <c r="AI30" s="21"/>
      <c r="AJ30" s="21" t="s">
        <v>88</v>
      </c>
      <c r="AK30" s="21"/>
      <c r="AL30" s="35" t="s">
        <v>90</v>
      </c>
    </row>
    <row r="31" spans="1:38" x14ac:dyDescent="0.35">
      <c r="A31" s="11" t="s">
        <v>348</v>
      </c>
      <c r="B31" s="19">
        <v>6437</v>
      </c>
      <c r="C31" s="19" t="s">
        <v>107</v>
      </c>
      <c r="D31" s="19" t="s">
        <v>108</v>
      </c>
      <c r="E31" s="19" t="s">
        <v>109</v>
      </c>
      <c r="F31" s="20">
        <v>45267</v>
      </c>
      <c r="G31" s="19">
        <v>62</v>
      </c>
      <c r="H31" s="54" t="s">
        <v>476</v>
      </c>
      <c r="I31" s="54">
        <v>6.5366504000000001</v>
      </c>
      <c r="J31" s="19"/>
      <c r="K31" s="21" t="s">
        <v>88</v>
      </c>
      <c r="L31" s="21">
        <v>3.3888870424618598</v>
      </c>
      <c r="M31" s="21">
        <v>3.5829567610190001</v>
      </c>
      <c r="N31" s="21" t="s">
        <v>88</v>
      </c>
      <c r="O31" s="21"/>
      <c r="P31" s="21" t="s">
        <v>89</v>
      </c>
      <c r="Q31" s="21"/>
      <c r="R31" s="21"/>
      <c r="S31" s="21">
        <v>2.4014388675715201</v>
      </c>
      <c r="T31" s="21" t="s">
        <v>88</v>
      </c>
      <c r="U31" s="21" t="s">
        <v>92</v>
      </c>
      <c r="V31" s="21"/>
      <c r="W31" s="21" t="s">
        <v>89</v>
      </c>
      <c r="X31" s="21" t="s">
        <v>90</v>
      </c>
      <c r="Y31" s="21" t="s">
        <v>90</v>
      </c>
      <c r="Z31" s="21" t="s">
        <v>89</v>
      </c>
      <c r="AA31" s="21"/>
      <c r="AB31" s="21"/>
      <c r="AC31" s="21" t="s">
        <v>89</v>
      </c>
      <c r="AD31" s="45" t="s">
        <v>119</v>
      </c>
      <c r="AE31" s="21" t="s">
        <v>90</v>
      </c>
      <c r="AF31" s="21" t="s">
        <v>88</v>
      </c>
      <c r="AG31" s="21" t="s">
        <v>90</v>
      </c>
      <c r="AH31" s="21"/>
      <c r="AI31" s="21"/>
      <c r="AJ31" s="21" t="s">
        <v>88</v>
      </c>
      <c r="AK31" s="21"/>
      <c r="AL31" s="35" t="s">
        <v>90</v>
      </c>
    </row>
    <row r="32" spans="1:38" x14ac:dyDescent="0.35">
      <c r="A32" s="11" t="s">
        <v>349</v>
      </c>
      <c r="B32" s="19">
        <v>6063</v>
      </c>
      <c r="C32" s="19" t="s">
        <v>107</v>
      </c>
      <c r="D32" s="19" t="s">
        <v>108</v>
      </c>
      <c r="E32" s="19" t="s">
        <v>109</v>
      </c>
      <c r="F32" s="20">
        <v>45225</v>
      </c>
      <c r="G32" s="19">
        <v>50.4</v>
      </c>
      <c r="H32" s="23">
        <v>50.624673999999999</v>
      </c>
      <c r="I32" s="23">
        <v>6.4904809999999999</v>
      </c>
      <c r="J32" s="19"/>
      <c r="K32" s="21" t="s">
        <v>88</v>
      </c>
      <c r="L32" s="21">
        <v>2.7004916181857999</v>
      </c>
      <c r="M32" s="21">
        <v>3.00917636826882</v>
      </c>
      <c r="N32" s="21" t="s">
        <v>88</v>
      </c>
      <c r="O32" s="21"/>
      <c r="P32" s="21" t="s">
        <v>89</v>
      </c>
      <c r="Q32" s="21">
        <v>11.69981373648918</v>
      </c>
      <c r="R32" s="21"/>
      <c r="S32" s="21" t="s">
        <v>119</v>
      </c>
      <c r="T32" s="21" t="s">
        <v>88</v>
      </c>
      <c r="U32" s="21" t="s">
        <v>92</v>
      </c>
      <c r="V32" s="21"/>
      <c r="W32" s="21"/>
      <c r="X32" s="21" t="s">
        <v>90</v>
      </c>
      <c r="Y32" s="21" t="s">
        <v>90</v>
      </c>
      <c r="Z32" s="21" t="s">
        <v>89</v>
      </c>
      <c r="AA32" s="21"/>
      <c r="AB32" s="21"/>
      <c r="AC32" s="21" t="s">
        <v>89</v>
      </c>
      <c r="AD32" s="28" t="s">
        <v>119</v>
      </c>
      <c r="AE32" s="21" t="s">
        <v>90</v>
      </c>
      <c r="AF32" s="21" t="s">
        <v>88</v>
      </c>
      <c r="AG32" s="21" t="s">
        <v>90</v>
      </c>
      <c r="AH32" s="21"/>
      <c r="AI32" s="21" t="s">
        <v>88</v>
      </c>
      <c r="AJ32" s="21" t="s">
        <v>88</v>
      </c>
      <c r="AK32" s="21" t="s">
        <v>89</v>
      </c>
      <c r="AL32" s="35" t="s">
        <v>90</v>
      </c>
    </row>
    <row r="33" spans="1:38" x14ac:dyDescent="0.35">
      <c r="A33" s="11" t="s">
        <v>350</v>
      </c>
      <c r="B33" s="19">
        <v>6064</v>
      </c>
      <c r="C33" s="19" t="s">
        <v>107</v>
      </c>
      <c r="D33" s="19" t="s">
        <v>108</v>
      </c>
      <c r="E33" s="19" t="s">
        <v>109</v>
      </c>
      <c r="F33" s="20">
        <v>45225</v>
      </c>
      <c r="G33" s="19">
        <v>67.5</v>
      </c>
      <c r="H33" s="23">
        <v>50.624673999999999</v>
      </c>
      <c r="I33" s="23">
        <v>6.4904809999999999</v>
      </c>
      <c r="J33" s="19"/>
      <c r="K33" s="21" t="s">
        <v>88</v>
      </c>
      <c r="L33" s="21">
        <v>2.9479025199935198</v>
      </c>
      <c r="M33" s="21">
        <v>5.88493740860934</v>
      </c>
      <c r="N33" s="21" t="s">
        <v>88</v>
      </c>
      <c r="O33" s="21"/>
      <c r="P33" s="21" t="s">
        <v>89</v>
      </c>
      <c r="Q33" s="21"/>
      <c r="R33" s="21"/>
      <c r="S33" s="21">
        <v>3.2480662533403399</v>
      </c>
      <c r="T33" s="21" t="s">
        <v>88</v>
      </c>
      <c r="U33" s="21">
        <v>99.763880770680004</v>
      </c>
      <c r="V33" s="21"/>
      <c r="W33" s="21"/>
      <c r="X33" s="21" t="s">
        <v>90</v>
      </c>
      <c r="Y33" s="21" t="s">
        <v>90</v>
      </c>
      <c r="Z33" s="21">
        <v>20.930252709129402</v>
      </c>
      <c r="AA33" s="21"/>
      <c r="AB33" s="21"/>
      <c r="AC33" s="21" t="s">
        <v>89</v>
      </c>
      <c r="AD33" s="45" t="s">
        <v>119</v>
      </c>
      <c r="AE33" s="21" t="s">
        <v>90</v>
      </c>
      <c r="AF33" s="21" t="s">
        <v>88</v>
      </c>
      <c r="AG33" s="21" t="s">
        <v>90</v>
      </c>
      <c r="AH33" s="21"/>
      <c r="AI33" s="21"/>
      <c r="AJ33" s="21" t="s">
        <v>88</v>
      </c>
      <c r="AK33" s="21"/>
      <c r="AL33" s="35">
        <v>23.510115246665201</v>
      </c>
    </row>
    <row r="34" spans="1:38" x14ac:dyDescent="0.35">
      <c r="A34" s="11" t="s">
        <v>351</v>
      </c>
      <c r="B34" s="19">
        <v>6461</v>
      </c>
      <c r="C34" s="19" t="s">
        <v>107</v>
      </c>
      <c r="D34" s="19" t="s">
        <v>106</v>
      </c>
      <c r="E34" s="19" t="s">
        <v>109</v>
      </c>
      <c r="F34" s="20">
        <v>45259</v>
      </c>
      <c r="G34" s="19">
        <v>58.2</v>
      </c>
      <c r="H34" s="27">
        <v>50.542935900000003</v>
      </c>
      <c r="I34" s="27">
        <v>6.3495672000000001</v>
      </c>
      <c r="J34" s="19"/>
      <c r="K34" s="21"/>
      <c r="L34" s="21" t="s">
        <v>88</v>
      </c>
      <c r="M34" s="21" t="s">
        <v>119</v>
      </c>
      <c r="N34" s="21"/>
      <c r="O34" s="21"/>
      <c r="P34" s="21" t="s">
        <v>89</v>
      </c>
      <c r="Q34" s="21"/>
      <c r="R34" s="21"/>
      <c r="S34" s="21">
        <v>2.5934746631438199</v>
      </c>
      <c r="T34" s="21" t="s">
        <v>88</v>
      </c>
      <c r="U34" s="21" t="s">
        <v>92</v>
      </c>
      <c r="V34" s="21"/>
      <c r="W34" s="21"/>
      <c r="X34" s="21" t="s">
        <v>90</v>
      </c>
      <c r="Y34" s="21" t="s">
        <v>90</v>
      </c>
      <c r="Z34" s="21">
        <v>16.025365724713421</v>
      </c>
      <c r="AA34" s="21"/>
      <c r="AB34" s="21"/>
      <c r="AC34" s="21" t="s">
        <v>89</v>
      </c>
      <c r="AD34" s="28" t="s">
        <v>119</v>
      </c>
      <c r="AE34" s="21" t="s">
        <v>90</v>
      </c>
      <c r="AF34" s="21" t="s">
        <v>88</v>
      </c>
      <c r="AG34" s="21">
        <v>10.6131112972257</v>
      </c>
      <c r="AH34" s="21"/>
      <c r="AI34" s="21"/>
      <c r="AJ34" s="21" t="s">
        <v>88</v>
      </c>
      <c r="AK34" s="21"/>
      <c r="AL34" s="35" t="s">
        <v>90</v>
      </c>
    </row>
    <row r="35" spans="1:38" x14ac:dyDescent="0.35">
      <c r="A35" s="11" t="s">
        <v>352</v>
      </c>
      <c r="B35" s="19">
        <v>6440</v>
      </c>
      <c r="C35" s="19" t="s">
        <v>107</v>
      </c>
      <c r="D35" s="19" t="s">
        <v>106</v>
      </c>
      <c r="E35" s="19" t="s">
        <v>109</v>
      </c>
      <c r="F35" s="20">
        <v>45267</v>
      </c>
      <c r="G35" s="19">
        <v>58.4</v>
      </c>
      <c r="H35" s="23">
        <v>50.585960800000002</v>
      </c>
      <c r="I35" s="23">
        <v>6.5349133000000004</v>
      </c>
      <c r="J35" s="19"/>
      <c r="K35" s="21" t="s">
        <v>88</v>
      </c>
      <c r="L35" s="21">
        <v>1.5541078992508619</v>
      </c>
      <c r="M35" s="21">
        <v>2.0515444210619802</v>
      </c>
      <c r="N35" s="21" t="s">
        <v>88</v>
      </c>
      <c r="O35" s="21"/>
      <c r="P35" s="21" t="s">
        <v>89</v>
      </c>
      <c r="Q35" s="21"/>
      <c r="R35" s="21"/>
      <c r="S35" s="21" t="s">
        <v>119</v>
      </c>
      <c r="T35" s="21" t="s">
        <v>88</v>
      </c>
      <c r="U35" s="21" t="s">
        <v>92</v>
      </c>
      <c r="V35" s="21"/>
      <c r="W35" s="21" t="s">
        <v>89</v>
      </c>
      <c r="X35" s="21" t="s">
        <v>90</v>
      </c>
      <c r="Y35" s="21" t="s">
        <v>90</v>
      </c>
      <c r="Z35" s="21" t="s">
        <v>89</v>
      </c>
      <c r="AA35" s="21" t="s">
        <v>72</v>
      </c>
      <c r="AB35" s="21"/>
      <c r="AC35" s="21" t="s">
        <v>89</v>
      </c>
      <c r="AD35" s="45" t="s">
        <v>119</v>
      </c>
      <c r="AE35" s="21" t="s">
        <v>90</v>
      </c>
      <c r="AF35" s="21" t="s">
        <v>88</v>
      </c>
      <c r="AG35" s="21" t="s">
        <v>90</v>
      </c>
      <c r="AH35" s="21"/>
      <c r="AI35" s="21"/>
      <c r="AJ35" s="21" t="s">
        <v>88</v>
      </c>
      <c r="AK35" s="21"/>
      <c r="AL35" s="35" t="s">
        <v>90</v>
      </c>
    </row>
    <row r="36" spans="1:38" x14ac:dyDescent="0.35">
      <c r="A36" s="11" t="s">
        <v>353</v>
      </c>
      <c r="B36" s="19">
        <v>6379</v>
      </c>
      <c r="C36" s="19" t="s">
        <v>107</v>
      </c>
      <c r="D36" s="26" t="s">
        <v>108</v>
      </c>
      <c r="E36" s="19" t="s">
        <v>109</v>
      </c>
      <c r="F36" s="20">
        <v>45259</v>
      </c>
      <c r="G36" s="26">
        <v>53.8</v>
      </c>
      <c r="H36" s="27">
        <v>50.516933600000002</v>
      </c>
      <c r="I36" s="27">
        <v>6.3322535000000002</v>
      </c>
      <c r="J36" s="19"/>
      <c r="K36" s="21" t="s">
        <v>88</v>
      </c>
      <c r="L36" s="21">
        <v>1.405507979233974</v>
      </c>
      <c r="M36" s="21">
        <v>2.0680904318633999</v>
      </c>
      <c r="N36" s="21" t="s">
        <v>88</v>
      </c>
      <c r="O36" s="21"/>
      <c r="P36" s="21" t="s">
        <v>89</v>
      </c>
      <c r="Q36" s="21"/>
      <c r="R36" s="21"/>
      <c r="S36" s="21">
        <v>2.1838285356054601</v>
      </c>
      <c r="T36" s="21" t="s">
        <v>88</v>
      </c>
      <c r="U36" s="21" t="s">
        <v>92</v>
      </c>
      <c r="V36" s="21"/>
      <c r="W36" s="21"/>
      <c r="X36" s="21">
        <v>17.078577524927599</v>
      </c>
      <c r="Y36" s="21" t="s">
        <v>90</v>
      </c>
      <c r="Z36" s="21">
        <v>7.3698006775562197</v>
      </c>
      <c r="AA36" s="21"/>
      <c r="AB36" s="21"/>
      <c r="AC36" s="21" t="s">
        <v>89</v>
      </c>
      <c r="AD36" s="21" t="s">
        <v>119</v>
      </c>
      <c r="AE36" s="21" t="s">
        <v>90</v>
      </c>
      <c r="AF36" s="21" t="s">
        <v>88</v>
      </c>
      <c r="AG36" s="21" t="s">
        <v>90</v>
      </c>
      <c r="AH36" s="21"/>
      <c r="AI36" s="21"/>
      <c r="AJ36" s="21" t="s">
        <v>88</v>
      </c>
      <c r="AK36" s="21"/>
      <c r="AL36" s="35">
        <v>12.514651891419399</v>
      </c>
    </row>
    <row r="37" spans="1:38" x14ac:dyDescent="0.35">
      <c r="A37" s="11" t="s">
        <v>354</v>
      </c>
      <c r="B37" s="19">
        <v>6472</v>
      </c>
      <c r="C37" s="19" t="s">
        <v>107</v>
      </c>
      <c r="D37" s="19" t="s">
        <v>108</v>
      </c>
      <c r="E37" s="19" t="s">
        <v>109</v>
      </c>
      <c r="F37" s="20">
        <v>45267</v>
      </c>
      <c r="G37" s="19">
        <v>57.6</v>
      </c>
      <c r="H37" s="53">
        <v>50.513680700000002</v>
      </c>
      <c r="I37" s="53">
        <v>6.3360861999999996</v>
      </c>
      <c r="J37" s="19"/>
      <c r="K37" s="21"/>
      <c r="L37" s="21" t="s">
        <v>88</v>
      </c>
      <c r="M37" s="21" t="s">
        <v>119</v>
      </c>
      <c r="N37" s="21"/>
      <c r="O37" s="21"/>
      <c r="P37" s="21" t="s">
        <v>89</v>
      </c>
      <c r="Q37" s="21"/>
      <c r="R37" s="21"/>
      <c r="S37" s="21" t="s">
        <v>119</v>
      </c>
      <c r="T37" s="21" t="s">
        <v>88</v>
      </c>
      <c r="U37" s="21" t="s">
        <v>92</v>
      </c>
      <c r="V37" s="21"/>
      <c r="W37" s="21" t="s">
        <v>89</v>
      </c>
      <c r="X37" s="21" t="s">
        <v>90</v>
      </c>
      <c r="Y37" s="21" t="s">
        <v>90</v>
      </c>
      <c r="Z37" s="21" t="s">
        <v>89</v>
      </c>
      <c r="AA37" s="21"/>
      <c r="AB37" s="21"/>
      <c r="AC37" s="21" t="s">
        <v>89</v>
      </c>
      <c r="AD37" s="45" t="s">
        <v>119</v>
      </c>
      <c r="AE37" s="21" t="s">
        <v>90</v>
      </c>
      <c r="AF37" s="21" t="s">
        <v>88</v>
      </c>
      <c r="AG37" s="21" t="s">
        <v>90</v>
      </c>
      <c r="AH37" s="21"/>
      <c r="AI37" s="21"/>
      <c r="AJ37" s="21" t="s">
        <v>88</v>
      </c>
      <c r="AK37" s="21"/>
      <c r="AL37" s="35" t="s">
        <v>90</v>
      </c>
    </row>
    <row r="38" spans="1:38" x14ac:dyDescent="0.35">
      <c r="A38" s="11" t="s">
        <v>355</v>
      </c>
      <c r="B38" s="19">
        <v>6380</v>
      </c>
      <c r="C38" s="19" t="s">
        <v>107</v>
      </c>
      <c r="D38" s="19" t="s">
        <v>108</v>
      </c>
      <c r="E38" s="19" t="s">
        <v>109</v>
      </c>
      <c r="F38" s="20">
        <v>45259</v>
      </c>
      <c r="G38" s="19">
        <v>66.3</v>
      </c>
      <c r="H38" s="27">
        <v>50.533643900000001</v>
      </c>
      <c r="I38" s="27">
        <v>6.3510153000000003</v>
      </c>
      <c r="J38" s="19"/>
      <c r="K38" s="21"/>
      <c r="L38" s="21" t="s">
        <v>88</v>
      </c>
      <c r="M38" s="21" t="s">
        <v>119</v>
      </c>
      <c r="N38" s="21"/>
      <c r="O38" s="21"/>
      <c r="P38" s="21" t="s">
        <v>89</v>
      </c>
      <c r="Q38" s="21"/>
      <c r="R38" s="21"/>
      <c r="S38" s="21" t="s">
        <v>119</v>
      </c>
      <c r="T38" s="21" t="s">
        <v>88</v>
      </c>
      <c r="U38" s="21" t="s">
        <v>92</v>
      </c>
      <c r="V38" s="21"/>
      <c r="W38" s="21" t="s">
        <v>89</v>
      </c>
      <c r="X38" s="21" t="s">
        <v>90</v>
      </c>
      <c r="Y38" s="21" t="s">
        <v>90</v>
      </c>
      <c r="Z38" s="21" t="s">
        <v>89</v>
      </c>
      <c r="AA38" s="21"/>
      <c r="AB38" s="21"/>
      <c r="AC38" s="21" t="s">
        <v>89</v>
      </c>
      <c r="AD38" s="28" t="s">
        <v>119</v>
      </c>
      <c r="AE38" s="21" t="s">
        <v>90</v>
      </c>
      <c r="AF38" s="21" t="s">
        <v>88</v>
      </c>
      <c r="AG38" s="21" t="s">
        <v>90</v>
      </c>
      <c r="AH38" s="21"/>
      <c r="AI38" s="21"/>
      <c r="AJ38" s="21" t="s">
        <v>88</v>
      </c>
      <c r="AK38" s="21" t="s">
        <v>89</v>
      </c>
      <c r="AL38" s="35" t="s">
        <v>90</v>
      </c>
    </row>
    <row r="39" spans="1:38" x14ac:dyDescent="0.35">
      <c r="A39" s="11" t="s">
        <v>356</v>
      </c>
      <c r="B39" s="19">
        <v>6375</v>
      </c>
      <c r="C39" s="19" t="s">
        <v>107</v>
      </c>
      <c r="D39" s="19" t="s">
        <v>106</v>
      </c>
      <c r="E39" s="19" t="s">
        <v>118</v>
      </c>
      <c r="F39" s="20">
        <v>45259</v>
      </c>
      <c r="G39" s="19">
        <v>106.1</v>
      </c>
      <c r="H39" s="23">
        <v>50.523774299999999</v>
      </c>
      <c r="I39" s="23">
        <v>6.3218489</v>
      </c>
      <c r="J39" s="19"/>
      <c r="K39" s="21"/>
      <c r="L39" s="21" t="s">
        <v>88</v>
      </c>
      <c r="M39" s="21" t="s">
        <v>119</v>
      </c>
      <c r="N39" s="21"/>
      <c r="O39" s="21" t="s">
        <v>88</v>
      </c>
      <c r="P39" s="21" t="s">
        <v>89</v>
      </c>
      <c r="Q39" s="21"/>
      <c r="R39" s="21">
        <v>1.6912704212413081</v>
      </c>
      <c r="S39" s="21" t="s">
        <v>119</v>
      </c>
      <c r="T39" s="21" t="s">
        <v>88</v>
      </c>
      <c r="U39" s="21">
        <v>142.8149508652852</v>
      </c>
      <c r="V39" s="21">
        <v>2.0320848843431198</v>
      </c>
      <c r="W39" s="21" t="s">
        <v>89</v>
      </c>
      <c r="X39" s="21">
        <v>17.768676294081839</v>
      </c>
      <c r="Y39" s="21" t="s">
        <v>90</v>
      </c>
      <c r="Z39" s="21">
        <v>7.8439226439363798</v>
      </c>
      <c r="AA39" s="21"/>
      <c r="AB39" s="21" t="s">
        <v>72</v>
      </c>
      <c r="AC39" s="21" t="s">
        <v>89</v>
      </c>
      <c r="AD39" s="45" t="s">
        <v>119</v>
      </c>
      <c r="AE39" s="21" t="s">
        <v>90</v>
      </c>
      <c r="AF39" s="21" t="s">
        <v>88</v>
      </c>
      <c r="AG39" s="21" t="s">
        <v>90</v>
      </c>
      <c r="AH39" s="21"/>
      <c r="AI39" s="21"/>
      <c r="AJ39" s="21" t="s">
        <v>88</v>
      </c>
      <c r="AK39" s="21"/>
      <c r="AL39" s="35" t="s">
        <v>90</v>
      </c>
    </row>
    <row r="40" spans="1:38" x14ac:dyDescent="0.35">
      <c r="A40" s="11" t="s">
        <v>357</v>
      </c>
      <c r="B40" s="19">
        <v>6450</v>
      </c>
      <c r="C40" s="19" t="s">
        <v>107</v>
      </c>
      <c r="D40" s="19" t="s">
        <v>106</v>
      </c>
      <c r="E40" s="19" t="s">
        <v>118</v>
      </c>
      <c r="F40" s="20">
        <v>45253</v>
      </c>
      <c r="G40" s="19">
        <v>96.3</v>
      </c>
      <c r="H40" s="23">
        <v>50.614176999999998</v>
      </c>
      <c r="I40" s="23">
        <v>6.4331069999999997</v>
      </c>
      <c r="J40" s="19"/>
      <c r="K40" s="21"/>
      <c r="L40" s="21" t="s">
        <v>88</v>
      </c>
      <c r="M40" s="21" t="s">
        <v>119</v>
      </c>
      <c r="N40" s="21"/>
      <c r="O40" s="21"/>
      <c r="P40" s="21" t="s">
        <v>89</v>
      </c>
      <c r="Q40" s="21" t="s">
        <v>90</v>
      </c>
      <c r="R40" s="21"/>
      <c r="S40" s="21">
        <v>2.39858781072278</v>
      </c>
      <c r="T40" s="21" t="s">
        <v>88</v>
      </c>
      <c r="U40" s="21" t="s">
        <v>92</v>
      </c>
      <c r="V40" s="21"/>
      <c r="W40" s="21"/>
      <c r="X40" s="21">
        <v>27.335751593297001</v>
      </c>
      <c r="Y40" s="21" t="s">
        <v>90</v>
      </c>
      <c r="Z40" s="21">
        <v>24.416032226631199</v>
      </c>
      <c r="AA40" s="21"/>
      <c r="AB40" s="21"/>
      <c r="AC40" s="21" t="s">
        <v>89</v>
      </c>
      <c r="AD40" s="28" t="s">
        <v>119</v>
      </c>
      <c r="AE40" s="21" t="s">
        <v>90</v>
      </c>
      <c r="AF40" s="21" t="s">
        <v>88</v>
      </c>
      <c r="AG40" s="21">
        <v>10.09369139676042</v>
      </c>
      <c r="AH40" s="21"/>
      <c r="AI40" s="21"/>
      <c r="AJ40" s="21" t="s">
        <v>88</v>
      </c>
      <c r="AK40" s="21"/>
      <c r="AL40" s="35">
        <v>65.184711057927601</v>
      </c>
    </row>
    <row r="41" spans="1:38" x14ac:dyDescent="0.35">
      <c r="A41" s="11" t="s">
        <v>358</v>
      </c>
      <c r="B41" s="19">
        <v>6445</v>
      </c>
      <c r="C41" s="19" t="s">
        <v>107</v>
      </c>
      <c r="D41" s="19" t="s">
        <v>108</v>
      </c>
      <c r="E41" s="19" t="s">
        <v>109</v>
      </c>
      <c r="F41" s="20">
        <v>45253</v>
      </c>
      <c r="G41" s="19">
        <v>56.7</v>
      </c>
      <c r="H41" s="53">
        <v>50.610666600000002</v>
      </c>
      <c r="I41" s="53">
        <v>6.4179443000000003</v>
      </c>
      <c r="J41" s="19"/>
      <c r="K41" s="21" t="s">
        <v>88</v>
      </c>
      <c r="L41" s="21">
        <v>1.3466678343798</v>
      </c>
      <c r="M41" s="21">
        <v>2.3464362968175401</v>
      </c>
      <c r="N41" s="21"/>
      <c r="O41" s="21"/>
      <c r="P41" s="21" t="s">
        <v>89</v>
      </c>
      <c r="Q41" s="21"/>
      <c r="R41" s="21"/>
      <c r="S41" s="21" t="s">
        <v>119</v>
      </c>
      <c r="T41" s="21" t="s">
        <v>88</v>
      </c>
      <c r="U41" s="21" t="s">
        <v>92</v>
      </c>
      <c r="V41" s="21" t="s">
        <v>72</v>
      </c>
      <c r="W41" s="21"/>
      <c r="X41" s="21" t="s">
        <v>90</v>
      </c>
      <c r="Y41" s="21" t="s">
        <v>90</v>
      </c>
      <c r="Z41" s="21">
        <v>6.7220681332336198</v>
      </c>
      <c r="AA41" s="21"/>
      <c r="AB41" s="21"/>
      <c r="AC41" s="21" t="s">
        <v>89</v>
      </c>
      <c r="AD41" s="45" t="s">
        <v>119</v>
      </c>
      <c r="AE41" s="21" t="s">
        <v>90</v>
      </c>
      <c r="AF41" s="21" t="s">
        <v>88</v>
      </c>
      <c r="AG41" s="21" t="s">
        <v>90</v>
      </c>
      <c r="AH41" s="21"/>
      <c r="AI41" s="21"/>
      <c r="AJ41" s="21" t="s">
        <v>88</v>
      </c>
      <c r="AK41" s="21"/>
      <c r="AL41" s="35" t="s">
        <v>90</v>
      </c>
    </row>
    <row r="42" spans="1:38" x14ac:dyDescent="0.35">
      <c r="A42" s="11" t="s">
        <v>359</v>
      </c>
      <c r="B42" s="19">
        <v>6446</v>
      </c>
      <c r="C42" s="19" t="s">
        <v>107</v>
      </c>
      <c r="D42" s="19" t="s">
        <v>108</v>
      </c>
      <c r="E42" s="19" t="s">
        <v>130</v>
      </c>
      <c r="F42" s="20">
        <v>45253</v>
      </c>
      <c r="G42" s="26">
        <v>80.900000000000006</v>
      </c>
      <c r="H42" s="23">
        <v>50.610683000000002</v>
      </c>
      <c r="I42" s="23">
        <v>6.4007969999999998</v>
      </c>
      <c r="J42" s="19"/>
      <c r="K42" s="21" t="s">
        <v>88</v>
      </c>
      <c r="L42" s="21">
        <v>1.0628730931816719</v>
      </c>
      <c r="M42" s="21" t="s">
        <v>119</v>
      </c>
      <c r="N42" s="21"/>
      <c r="O42" s="21"/>
      <c r="P42" s="21" t="s">
        <v>89</v>
      </c>
      <c r="Q42" s="21">
        <v>10.46671312824544</v>
      </c>
      <c r="R42" s="21"/>
      <c r="S42" s="21">
        <v>2.8291117814080402</v>
      </c>
      <c r="T42" s="21" t="s">
        <v>88</v>
      </c>
      <c r="U42" s="21" t="s">
        <v>92</v>
      </c>
      <c r="V42" s="21"/>
      <c r="W42" s="21"/>
      <c r="X42" s="21" t="s">
        <v>90</v>
      </c>
      <c r="Y42" s="21" t="s">
        <v>90</v>
      </c>
      <c r="Z42" s="21" t="s">
        <v>89</v>
      </c>
      <c r="AA42" s="21"/>
      <c r="AB42" s="21"/>
      <c r="AC42" s="21" t="s">
        <v>89</v>
      </c>
      <c r="AD42" s="28" t="s">
        <v>119</v>
      </c>
      <c r="AE42" s="21" t="s">
        <v>90</v>
      </c>
      <c r="AF42" s="21" t="s">
        <v>88</v>
      </c>
      <c r="AG42" s="21" t="s">
        <v>90</v>
      </c>
      <c r="AH42" s="21"/>
      <c r="AI42" s="21"/>
      <c r="AJ42" s="21" t="s">
        <v>88</v>
      </c>
      <c r="AK42" s="21" t="s">
        <v>89</v>
      </c>
      <c r="AL42" s="35" t="s">
        <v>90</v>
      </c>
    </row>
    <row r="43" spans="1:38" x14ac:dyDescent="0.35">
      <c r="A43" s="11" t="s">
        <v>360</v>
      </c>
      <c r="B43" s="19">
        <v>6448</v>
      </c>
      <c r="C43" s="19" t="s">
        <v>107</v>
      </c>
      <c r="D43" s="32" t="s">
        <v>106</v>
      </c>
      <c r="E43" s="32" t="s">
        <v>109</v>
      </c>
      <c r="F43" s="33">
        <v>45253</v>
      </c>
      <c r="G43" s="32">
        <v>51.6</v>
      </c>
      <c r="H43" s="53">
        <v>50.610683000000002</v>
      </c>
      <c r="I43" s="53">
        <v>6.4007969999999998</v>
      </c>
      <c r="J43" s="19"/>
      <c r="K43" s="21" t="s">
        <v>88</v>
      </c>
      <c r="L43" s="21">
        <v>2.2792636814840201</v>
      </c>
      <c r="M43" s="21" t="s">
        <v>119</v>
      </c>
      <c r="N43" s="21" t="s">
        <v>88</v>
      </c>
      <c r="O43" s="21"/>
      <c r="P43" s="21" t="s">
        <v>89</v>
      </c>
      <c r="Q43" s="21"/>
      <c r="R43" s="21"/>
      <c r="S43" s="21">
        <v>3.1140941778537798</v>
      </c>
      <c r="T43" s="21" t="s">
        <v>88</v>
      </c>
      <c r="U43" s="21" t="s">
        <v>92</v>
      </c>
      <c r="V43" s="21" t="s">
        <v>72</v>
      </c>
      <c r="W43" s="21" t="s">
        <v>89</v>
      </c>
      <c r="X43" s="21">
        <v>22.6238712121784</v>
      </c>
      <c r="Y43" s="21" t="s">
        <v>90</v>
      </c>
      <c r="Z43" s="21">
        <v>8.0612350526085592</v>
      </c>
      <c r="AA43" s="21"/>
      <c r="AB43" s="21"/>
      <c r="AC43" s="21" t="s">
        <v>89</v>
      </c>
      <c r="AD43" s="45" t="s">
        <v>119</v>
      </c>
      <c r="AE43" s="21" t="s">
        <v>90</v>
      </c>
      <c r="AF43" s="21" t="s">
        <v>88</v>
      </c>
      <c r="AG43" s="21">
        <v>12.764346274852119</v>
      </c>
      <c r="AH43" s="21"/>
      <c r="AI43" s="21"/>
      <c r="AJ43" s="21" t="s">
        <v>88</v>
      </c>
      <c r="AK43" s="21" t="s">
        <v>89</v>
      </c>
      <c r="AL43" s="35" t="s">
        <v>90</v>
      </c>
    </row>
    <row r="44" spans="1:38" x14ac:dyDescent="0.35">
      <c r="A44" s="11" t="s">
        <v>361</v>
      </c>
      <c r="B44" s="19">
        <v>6449</v>
      </c>
      <c r="C44" s="19" t="s">
        <v>107</v>
      </c>
      <c r="D44" s="19" t="s">
        <v>108</v>
      </c>
      <c r="E44" s="19" t="s">
        <v>130</v>
      </c>
      <c r="F44" s="20">
        <v>45253</v>
      </c>
      <c r="G44" s="19">
        <v>86</v>
      </c>
      <c r="H44" s="23">
        <v>50.614176999999998</v>
      </c>
      <c r="I44" s="23">
        <v>6.4331069999999997</v>
      </c>
      <c r="J44" s="19"/>
      <c r="K44" s="21" t="s">
        <v>88</v>
      </c>
      <c r="L44" s="21">
        <v>1.257621169089592</v>
      </c>
      <c r="M44" s="21" t="s">
        <v>119</v>
      </c>
      <c r="N44" s="21"/>
      <c r="O44" s="21"/>
      <c r="P44" s="21" t="s">
        <v>89</v>
      </c>
      <c r="Q44" s="21"/>
      <c r="R44" s="21"/>
      <c r="S44" s="21" t="s">
        <v>119</v>
      </c>
      <c r="T44" s="21">
        <v>1.904343775567652</v>
      </c>
      <c r="U44" s="21" t="s">
        <v>92</v>
      </c>
      <c r="V44" s="21"/>
      <c r="W44" s="21"/>
      <c r="X44" s="21" t="s">
        <v>90</v>
      </c>
      <c r="Y44" s="21" t="s">
        <v>90</v>
      </c>
      <c r="Z44" s="21">
        <v>20.6603877121536</v>
      </c>
      <c r="AA44" s="21"/>
      <c r="AB44" s="21"/>
      <c r="AC44" s="21" t="s">
        <v>89</v>
      </c>
      <c r="AD44" s="28" t="s">
        <v>119</v>
      </c>
      <c r="AE44" s="21" t="s">
        <v>90</v>
      </c>
      <c r="AF44" s="21" t="s">
        <v>88</v>
      </c>
      <c r="AG44" s="21">
        <v>10.19476073494002</v>
      </c>
      <c r="AH44" s="21"/>
      <c r="AI44" s="21"/>
      <c r="AJ44" s="21">
        <v>4.8009464099591597</v>
      </c>
      <c r="AK44" s="21"/>
      <c r="AL44" s="35">
        <v>44.536311383380003</v>
      </c>
    </row>
    <row r="45" spans="1:38" x14ac:dyDescent="0.35">
      <c r="A45" s="11" t="s">
        <v>362</v>
      </c>
      <c r="B45" s="19">
        <v>6447</v>
      </c>
      <c r="C45" s="19" t="s">
        <v>107</v>
      </c>
      <c r="D45" s="32" t="s">
        <v>106</v>
      </c>
      <c r="E45" s="32" t="s">
        <v>109</v>
      </c>
      <c r="F45" s="33">
        <v>45253</v>
      </c>
      <c r="G45" s="32">
        <v>52.8</v>
      </c>
      <c r="H45" s="53">
        <v>50.609949</v>
      </c>
      <c r="I45" s="53">
        <v>6.403607</v>
      </c>
      <c r="J45" s="19"/>
      <c r="K45" s="21" t="s">
        <v>88</v>
      </c>
      <c r="L45" s="21">
        <v>1.1674668877439141</v>
      </c>
      <c r="M45" s="21" t="s">
        <v>119</v>
      </c>
      <c r="N45" s="21"/>
      <c r="O45" s="21"/>
      <c r="P45" s="21" t="s">
        <v>89</v>
      </c>
      <c r="Q45" s="21"/>
      <c r="R45" s="21" t="s">
        <v>88</v>
      </c>
      <c r="S45" s="21" t="s">
        <v>119</v>
      </c>
      <c r="T45" s="21" t="s">
        <v>88</v>
      </c>
      <c r="U45" s="21" t="s">
        <v>92</v>
      </c>
      <c r="V45" s="21"/>
      <c r="W45" s="21"/>
      <c r="X45" s="21">
        <v>23.977236107258399</v>
      </c>
      <c r="Y45" s="21" t="s">
        <v>90</v>
      </c>
      <c r="Z45" s="21">
        <v>16.805095038293999</v>
      </c>
      <c r="AA45" s="21"/>
      <c r="AB45" s="21"/>
      <c r="AC45" s="21" t="s">
        <v>89</v>
      </c>
      <c r="AD45" s="45" t="s">
        <v>119</v>
      </c>
      <c r="AE45" s="21" t="s">
        <v>90</v>
      </c>
      <c r="AF45" s="21" t="s">
        <v>88</v>
      </c>
      <c r="AG45" s="21" t="s">
        <v>90</v>
      </c>
      <c r="AH45" s="21"/>
      <c r="AI45" s="21"/>
      <c r="AJ45" s="21" t="s">
        <v>88</v>
      </c>
      <c r="AK45" s="21"/>
      <c r="AL45" s="35">
        <v>24.355057353477001</v>
      </c>
    </row>
    <row r="46" spans="1:38" x14ac:dyDescent="0.35">
      <c r="A46" s="11" t="s">
        <v>363</v>
      </c>
      <c r="B46" s="19">
        <v>6070</v>
      </c>
      <c r="C46" s="19" t="s">
        <v>107</v>
      </c>
      <c r="D46" s="19" t="s">
        <v>106</v>
      </c>
      <c r="E46" s="32" t="s">
        <v>109</v>
      </c>
      <c r="F46" s="20">
        <v>45225</v>
      </c>
      <c r="G46" s="26">
        <v>45.3</v>
      </c>
      <c r="H46" s="23">
        <v>50.599873000000002</v>
      </c>
      <c r="I46" s="23">
        <v>6.4943650000000002</v>
      </c>
      <c r="J46" s="19"/>
      <c r="K46" s="21">
        <v>3.3235874935639198</v>
      </c>
      <c r="L46" s="21">
        <v>12.24310347604828</v>
      </c>
      <c r="M46" s="21">
        <v>11.26962669439356</v>
      </c>
      <c r="N46" s="21" t="s">
        <v>88</v>
      </c>
      <c r="O46" s="21"/>
      <c r="P46" s="21" t="s">
        <v>89</v>
      </c>
      <c r="Q46" s="21">
        <v>11.10400652156482</v>
      </c>
      <c r="R46" s="21"/>
      <c r="S46" s="21">
        <v>6.3686062495905196</v>
      </c>
      <c r="T46" s="21" t="s">
        <v>88</v>
      </c>
      <c r="U46" s="21" t="s">
        <v>92</v>
      </c>
      <c r="V46" s="21"/>
      <c r="W46" s="21"/>
      <c r="X46" s="21" t="s">
        <v>90</v>
      </c>
      <c r="Y46" s="21" t="s">
        <v>90</v>
      </c>
      <c r="Z46" s="21" t="s">
        <v>89</v>
      </c>
      <c r="AA46" s="21"/>
      <c r="AB46" s="21"/>
      <c r="AC46" s="21" t="s">
        <v>89</v>
      </c>
      <c r="AD46" s="28" t="s">
        <v>119</v>
      </c>
      <c r="AE46" s="21" t="s">
        <v>90</v>
      </c>
      <c r="AF46" s="21" t="s">
        <v>88</v>
      </c>
      <c r="AG46" s="21" t="s">
        <v>90</v>
      </c>
      <c r="AH46" s="21"/>
      <c r="AI46" s="21"/>
      <c r="AJ46" s="21" t="s">
        <v>88</v>
      </c>
      <c r="AK46" s="21"/>
      <c r="AL46" s="35" t="s">
        <v>90</v>
      </c>
    </row>
    <row r="47" spans="1:38" x14ac:dyDescent="0.35">
      <c r="A47" s="11" t="s">
        <v>364</v>
      </c>
      <c r="B47" s="19">
        <v>6062</v>
      </c>
      <c r="C47" s="19" t="s">
        <v>107</v>
      </c>
      <c r="D47" s="19" t="s">
        <v>108</v>
      </c>
      <c r="E47" s="32" t="s">
        <v>109</v>
      </c>
      <c r="F47" s="20">
        <v>45225</v>
      </c>
      <c r="G47" s="19">
        <v>70.400000000000006</v>
      </c>
      <c r="H47" s="23">
        <v>50.612966999999998</v>
      </c>
      <c r="I47" s="23">
        <v>6.4656269999999996</v>
      </c>
      <c r="J47" s="19"/>
      <c r="K47" s="21" t="s">
        <v>88</v>
      </c>
      <c r="L47" s="21">
        <v>1.33627567835038</v>
      </c>
      <c r="M47" s="21">
        <v>2.6340790983003202</v>
      </c>
      <c r="N47" s="21"/>
      <c r="O47" s="21"/>
      <c r="P47" s="21" t="s">
        <v>89</v>
      </c>
      <c r="Q47" s="21"/>
      <c r="R47" s="21"/>
      <c r="S47" s="21" t="s">
        <v>119</v>
      </c>
      <c r="T47" s="21"/>
      <c r="U47" s="21" t="s">
        <v>92</v>
      </c>
      <c r="V47" s="21"/>
      <c r="W47" s="21" t="s">
        <v>89</v>
      </c>
      <c r="X47" s="21">
        <v>11.28052236048018</v>
      </c>
      <c r="Y47" s="21" t="s">
        <v>90</v>
      </c>
      <c r="Z47" s="21" t="s">
        <v>89</v>
      </c>
      <c r="AA47" s="21"/>
      <c r="AB47" s="21"/>
      <c r="AC47" s="21" t="s">
        <v>89</v>
      </c>
      <c r="AD47" s="45" t="s">
        <v>119</v>
      </c>
      <c r="AE47" s="21" t="s">
        <v>90</v>
      </c>
      <c r="AF47" s="21" t="s">
        <v>88</v>
      </c>
      <c r="AG47" s="21" t="s">
        <v>90</v>
      </c>
      <c r="AH47" s="21"/>
      <c r="AI47" s="21"/>
      <c r="AJ47" s="21" t="s">
        <v>88</v>
      </c>
      <c r="AK47" s="21"/>
      <c r="AL47" s="35" t="s">
        <v>90</v>
      </c>
    </row>
    <row r="48" spans="1:38" x14ac:dyDescent="0.35">
      <c r="A48" s="11" t="s">
        <v>365</v>
      </c>
      <c r="B48" s="19">
        <v>6068</v>
      </c>
      <c r="C48" s="19" t="s">
        <v>107</v>
      </c>
      <c r="D48" s="19" t="s">
        <v>106</v>
      </c>
      <c r="E48" s="32" t="s">
        <v>109</v>
      </c>
      <c r="F48" s="20">
        <v>45225</v>
      </c>
      <c r="G48" s="19">
        <v>50.5</v>
      </c>
      <c r="H48" s="27"/>
      <c r="I48" s="27"/>
      <c r="J48" s="19" t="s">
        <v>477</v>
      </c>
      <c r="K48" s="21" t="s">
        <v>88</v>
      </c>
      <c r="L48" s="21">
        <v>1.74339526671069</v>
      </c>
      <c r="M48" s="21">
        <v>3.9151754131544201</v>
      </c>
      <c r="N48" s="21" t="s">
        <v>88</v>
      </c>
      <c r="O48" s="21"/>
      <c r="P48" s="21" t="s">
        <v>89</v>
      </c>
      <c r="Q48" s="21" t="s">
        <v>72</v>
      </c>
      <c r="R48" s="21"/>
      <c r="S48" s="21">
        <v>2.2608527538124998</v>
      </c>
      <c r="T48" s="21" t="s">
        <v>88</v>
      </c>
      <c r="U48" s="21" t="s">
        <v>92</v>
      </c>
      <c r="V48" s="21"/>
      <c r="W48" s="21"/>
      <c r="X48" s="21"/>
      <c r="Y48" s="21" t="s">
        <v>90</v>
      </c>
      <c r="Z48" s="21">
        <v>8.4540063959632405</v>
      </c>
      <c r="AA48" s="21"/>
      <c r="AB48" s="21"/>
      <c r="AC48" s="21" t="s">
        <v>89</v>
      </c>
      <c r="AD48" s="28" t="s">
        <v>119</v>
      </c>
      <c r="AE48" s="21" t="s">
        <v>90</v>
      </c>
      <c r="AF48" s="21" t="s">
        <v>88</v>
      </c>
      <c r="AG48" s="21" t="s">
        <v>90</v>
      </c>
      <c r="AH48" s="21"/>
      <c r="AI48" s="21"/>
      <c r="AJ48" s="21" t="s">
        <v>88</v>
      </c>
      <c r="AK48" s="21"/>
      <c r="AL48" s="35" t="s">
        <v>90</v>
      </c>
    </row>
    <row r="49" spans="1:38" x14ac:dyDescent="0.35">
      <c r="A49" s="11" t="s">
        <v>366</v>
      </c>
      <c r="B49" s="19">
        <v>6065</v>
      </c>
      <c r="C49" s="19" t="s">
        <v>107</v>
      </c>
      <c r="D49" s="19" t="s">
        <v>106</v>
      </c>
      <c r="E49" s="19" t="s">
        <v>118</v>
      </c>
      <c r="F49" s="20">
        <v>45225</v>
      </c>
      <c r="G49" s="19">
        <v>96</v>
      </c>
      <c r="H49" s="23">
        <v>50.622419999999998</v>
      </c>
      <c r="I49" s="23">
        <v>6.4932879999999997</v>
      </c>
      <c r="J49" s="19"/>
      <c r="K49" s="21"/>
      <c r="L49" s="21" t="s">
        <v>88</v>
      </c>
      <c r="M49" s="21" t="s">
        <v>119</v>
      </c>
      <c r="N49" s="21"/>
      <c r="O49" s="21"/>
      <c r="P49" s="21" t="s">
        <v>89</v>
      </c>
      <c r="Q49" s="21">
        <v>15.77147020317836</v>
      </c>
      <c r="R49" s="21"/>
      <c r="S49" s="21" t="s">
        <v>119</v>
      </c>
      <c r="T49" s="21" t="s">
        <v>88</v>
      </c>
      <c r="U49" s="21" t="s">
        <v>92</v>
      </c>
      <c r="V49" s="21"/>
      <c r="W49" s="21" t="s">
        <v>89</v>
      </c>
      <c r="X49" s="21" t="s">
        <v>90</v>
      </c>
      <c r="Y49" s="21">
        <v>25.3820304753764</v>
      </c>
      <c r="Z49" s="21" t="s">
        <v>89</v>
      </c>
      <c r="AA49" s="21"/>
      <c r="AB49" s="21"/>
      <c r="AC49" s="21" t="s">
        <v>89</v>
      </c>
      <c r="AD49" s="45" t="s">
        <v>119</v>
      </c>
      <c r="AE49" s="21" t="s">
        <v>90</v>
      </c>
      <c r="AF49" s="21" t="s">
        <v>88</v>
      </c>
      <c r="AG49" s="21" t="s">
        <v>90</v>
      </c>
      <c r="AH49" s="21" t="s">
        <v>119</v>
      </c>
      <c r="AI49" s="21" t="s">
        <v>88</v>
      </c>
      <c r="AJ49" s="21" t="s">
        <v>88</v>
      </c>
      <c r="AK49" s="21" t="s">
        <v>89</v>
      </c>
      <c r="AL49" s="35" t="s">
        <v>90</v>
      </c>
    </row>
    <row r="50" spans="1:38" x14ac:dyDescent="0.35">
      <c r="A50" s="11" t="s">
        <v>367</v>
      </c>
      <c r="B50" s="19">
        <v>6066</v>
      </c>
      <c r="C50" s="19" t="s">
        <v>107</v>
      </c>
      <c r="D50" s="19" t="s">
        <v>106</v>
      </c>
      <c r="E50" s="19" t="s">
        <v>109</v>
      </c>
      <c r="F50" s="20">
        <v>45225</v>
      </c>
      <c r="G50" s="26">
        <v>54.6</v>
      </c>
      <c r="H50" s="23">
        <v>50.620325000000001</v>
      </c>
      <c r="I50" s="23">
        <v>6.4717580000000003</v>
      </c>
      <c r="J50" s="19"/>
      <c r="K50" s="21" t="s">
        <v>88</v>
      </c>
      <c r="L50" s="21">
        <v>2.0250610339069399</v>
      </c>
      <c r="M50" s="21">
        <v>2.5624310152830398</v>
      </c>
      <c r="N50" s="21" t="s">
        <v>88</v>
      </c>
      <c r="O50" s="21"/>
      <c r="P50" s="21" t="s">
        <v>89</v>
      </c>
      <c r="Q50" s="21"/>
      <c r="R50" s="21"/>
      <c r="S50" s="21" t="s">
        <v>119</v>
      </c>
      <c r="T50" s="21" t="s">
        <v>88</v>
      </c>
      <c r="U50" s="21" t="s">
        <v>92</v>
      </c>
      <c r="V50" s="21"/>
      <c r="W50" s="21" t="s">
        <v>89</v>
      </c>
      <c r="X50" s="21" t="s">
        <v>90</v>
      </c>
      <c r="Y50" s="21" t="s">
        <v>90</v>
      </c>
      <c r="Z50" s="21" t="s">
        <v>89</v>
      </c>
      <c r="AA50" s="21"/>
      <c r="AB50" s="21"/>
      <c r="AC50" s="21" t="s">
        <v>89</v>
      </c>
      <c r="AD50" s="28" t="s">
        <v>119</v>
      </c>
      <c r="AE50" s="21" t="s">
        <v>90</v>
      </c>
      <c r="AF50" s="21" t="s">
        <v>88</v>
      </c>
      <c r="AG50" s="21" t="s">
        <v>90</v>
      </c>
      <c r="AH50" s="21"/>
      <c r="AI50" s="21"/>
      <c r="AJ50" s="21" t="s">
        <v>88</v>
      </c>
      <c r="AK50" s="21" t="s">
        <v>89</v>
      </c>
      <c r="AL50" s="35" t="s">
        <v>90</v>
      </c>
    </row>
    <row r="51" spans="1:38" x14ac:dyDescent="0.35">
      <c r="A51" s="11" t="s">
        <v>368</v>
      </c>
      <c r="B51" s="19" t="s">
        <v>173</v>
      </c>
      <c r="C51" s="19" t="s">
        <v>107</v>
      </c>
      <c r="D51" s="19" t="s">
        <v>108</v>
      </c>
      <c r="E51" s="19" t="s">
        <v>130</v>
      </c>
      <c r="F51" s="20">
        <v>45253</v>
      </c>
      <c r="G51" s="19">
        <v>107.6</v>
      </c>
      <c r="H51" s="53">
        <v>50.633004999999997</v>
      </c>
      <c r="I51" s="53">
        <v>6.4246939999999997</v>
      </c>
      <c r="J51" s="19"/>
      <c r="K51" s="21" t="s">
        <v>88</v>
      </c>
      <c r="L51" s="21">
        <v>1.524060457133996</v>
      </c>
      <c r="M51" s="21">
        <v>2.6896811305485802</v>
      </c>
      <c r="N51" s="21" t="s">
        <v>88</v>
      </c>
      <c r="O51" s="21"/>
      <c r="P51" s="21" t="s">
        <v>89</v>
      </c>
      <c r="Q51" s="21"/>
      <c r="R51" s="21"/>
      <c r="S51" s="21" t="s">
        <v>119</v>
      </c>
      <c r="T51" s="21" t="s">
        <v>88</v>
      </c>
      <c r="U51" s="21" t="s">
        <v>92</v>
      </c>
      <c r="V51" s="21"/>
      <c r="W51" s="21" t="s">
        <v>89</v>
      </c>
      <c r="X51" s="21" t="s">
        <v>90</v>
      </c>
      <c r="Y51" s="21" t="s">
        <v>90</v>
      </c>
      <c r="Z51" s="21" t="s">
        <v>89</v>
      </c>
      <c r="AA51" s="21"/>
      <c r="AB51" s="21"/>
      <c r="AC51" s="21" t="s">
        <v>89</v>
      </c>
      <c r="AD51" s="45" t="s">
        <v>119</v>
      </c>
      <c r="AE51" s="21" t="s">
        <v>90</v>
      </c>
      <c r="AF51" s="21" t="s">
        <v>88</v>
      </c>
      <c r="AG51" s="21" t="s">
        <v>90</v>
      </c>
      <c r="AH51" s="21"/>
      <c r="AI51" s="21"/>
      <c r="AJ51" s="21" t="s">
        <v>88</v>
      </c>
      <c r="AK51" s="21"/>
      <c r="AL51" s="37" t="s">
        <v>90</v>
      </c>
    </row>
  </sheetData>
  <phoneticPr fontId="3" type="noConversion"/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CB9A-4C84-4065-A6DF-EA95C9216C1F}">
  <dimension ref="A1:I43"/>
  <sheetViews>
    <sheetView workbookViewId="0">
      <selection activeCell="D15" sqref="D15"/>
    </sheetView>
  </sheetViews>
  <sheetFormatPr baseColWidth="10" defaultRowHeight="14.5" x14ac:dyDescent="0.35"/>
  <cols>
    <col min="1" max="1" width="42.7265625" bestFit="1" customWidth="1"/>
    <col min="2" max="2" width="28.1796875" bestFit="1" customWidth="1"/>
    <col min="3" max="3" width="28.1796875" customWidth="1"/>
    <col min="4" max="4" width="24.7265625" bestFit="1" customWidth="1"/>
  </cols>
  <sheetData>
    <row r="1" spans="1:9" ht="15.5" x14ac:dyDescent="0.35">
      <c r="A1" s="60" t="s">
        <v>568</v>
      </c>
      <c r="B1" s="60" t="s">
        <v>596</v>
      </c>
      <c r="C1" s="60" t="s">
        <v>597</v>
      </c>
      <c r="D1" s="60" t="s">
        <v>578</v>
      </c>
      <c r="E1" s="60" t="s">
        <v>598</v>
      </c>
      <c r="H1" t="s">
        <v>589</v>
      </c>
    </row>
    <row r="2" spans="1:9" x14ac:dyDescent="0.35">
      <c r="A2" s="59" t="s">
        <v>49</v>
      </c>
      <c r="B2" s="59" t="s">
        <v>583</v>
      </c>
      <c r="C2" s="59" t="s">
        <v>599</v>
      </c>
      <c r="D2" s="59" t="s">
        <v>584</v>
      </c>
      <c r="E2" s="61">
        <v>2</v>
      </c>
      <c r="H2" t="s">
        <v>579</v>
      </c>
      <c r="I2" t="s">
        <v>590</v>
      </c>
    </row>
    <row r="3" spans="1:9" x14ac:dyDescent="0.35">
      <c r="A3" s="59" t="s">
        <v>582</v>
      </c>
      <c r="B3" s="59" t="s">
        <v>583</v>
      </c>
      <c r="C3" s="59"/>
      <c r="D3" s="59" t="s">
        <v>585</v>
      </c>
      <c r="E3" s="59">
        <v>10</v>
      </c>
      <c r="H3" t="s">
        <v>569</v>
      </c>
      <c r="I3" t="s">
        <v>591</v>
      </c>
    </row>
    <row r="4" spans="1:9" x14ac:dyDescent="0.35">
      <c r="A4" s="63" t="s">
        <v>58</v>
      </c>
      <c r="B4" s="63" t="s">
        <v>579</v>
      </c>
      <c r="C4" s="63"/>
      <c r="D4" s="63" t="s">
        <v>580</v>
      </c>
      <c r="E4" s="59">
        <v>1</v>
      </c>
      <c r="H4" t="s">
        <v>570</v>
      </c>
      <c r="I4" t="s">
        <v>592</v>
      </c>
    </row>
    <row r="5" spans="1:9" x14ac:dyDescent="0.35">
      <c r="A5" s="64" t="s">
        <v>131</v>
      </c>
      <c r="B5" s="64" t="s">
        <v>569</v>
      </c>
      <c r="C5" s="64"/>
      <c r="D5" s="64"/>
      <c r="E5" s="59">
        <v>1</v>
      </c>
      <c r="H5" t="s">
        <v>574</v>
      </c>
      <c r="I5" t="s">
        <v>593</v>
      </c>
    </row>
    <row r="6" spans="1:9" x14ac:dyDescent="0.35">
      <c r="A6" s="63" t="s">
        <v>132</v>
      </c>
      <c r="B6" s="63" t="s">
        <v>569</v>
      </c>
      <c r="C6" s="63"/>
      <c r="D6" s="63"/>
      <c r="E6" s="59">
        <v>1</v>
      </c>
    </row>
    <row r="7" spans="1:9" x14ac:dyDescent="0.35">
      <c r="A7" s="64" t="s">
        <v>133</v>
      </c>
      <c r="B7" s="64" t="s">
        <v>569</v>
      </c>
      <c r="C7" s="64"/>
      <c r="D7" s="64"/>
      <c r="E7" s="59">
        <v>2</v>
      </c>
    </row>
    <row r="8" spans="1:9" x14ac:dyDescent="0.35">
      <c r="A8" s="63" t="s">
        <v>181</v>
      </c>
      <c r="B8" s="63" t="s">
        <v>569</v>
      </c>
      <c r="C8" s="63" t="s">
        <v>594</v>
      </c>
      <c r="D8" s="63" t="s">
        <v>577</v>
      </c>
      <c r="E8" s="59">
        <v>1</v>
      </c>
    </row>
    <row r="9" spans="1:9" x14ac:dyDescent="0.35">
      <c r="A9" s="64" t="s">
        <v>134</v>
      </c>
      <c r="B9" s="64" t="s">
        <v>569</v>
      </c>
      <c r="C9" s="64"/>
      <c r="D9" s="64"/>
      <c r="E9" s="59">
        <v>1</v>
      </c>
    </row>
    <row r="10" spans="1:9" x14ac:dyDescent="0.35">
      <c r="A10" s="63" t="s">
        <v>417</v>
      </c>
      <c r="B10" s="63" t="s">
        <v>569</v>
      </c>
      <c r="C10" s="63"/>
      <c r="D10" s="63"/>
      <c r="E10" s="59">
        <v>2</v>
      </c>
    </row>
    <row r="11" spans="1:9" x14ac:dyDescent="0.35">
      <c r="A11" s="64" t="s">
        <v>174</v>
      </c>
      <c r="B11" s="64" t="s">
        <v>569</v>
      </c>
      <c r="C11" s="64"/>
      <c r="D11" s="64"/>
      <c r="E11" s="59">
        <v>1</v>
      </c>
    </row>
    <row r="12" spans="1:9" x14ac:dyDescent="0.35">
      <c r="A12" s="63" t="s">
        <v>48</v>
      </c>
      <c r="B12" s="63" t="s">
        <v>570</v>
      </c>
      <c r="C12" s="63"/>
      <c r="D12" s="63"/>
      <c r="E12" s="59">
        <v>4</v>
      </c>
    </row>
    <row r="13" spans="1:9" x14ac:dyDescent="0.35">
      <c r="A13" s="64" t="s">
        <v>69</v>
      </c>
      <c r="B13" s="64" t="s">
        <v>574</v>
      </c>
      <c r="C13" s="64"/>
      <c r="D13" s="64" t="s">
        <v>576</v>
      </c>
      <c r="E13" s="59">
        <v>10</v>
      </c>
    </row>
    <row r="14" spans="1:9" x14ac:dyDescent="0.35">
      <c r="A14" s="63" t="s">
        <v>63</v>
      </c>
      <c r="B14" s="63" t="s">
        <v>569</v>
      </c>
      <c r="C14" s="63" t="s">
        <v>572</v>
      </c>
      <c r="D14" s="63" t="s">
        <v>586</v>
      </c>
      <c r="E14" s="59">
        <v>1</v>
      </c>
    </row>
    <row r="15" spans="1:9" x14ac:dyDescent="0.35">
      <c r="A15" s="59" t="s">
        <v>182</v>
      </c>
      <c r="B15" s="59" t="s">
        <v>572</v>
      </c>
      <c r="C15" s="59"/>
      <c r="D15" s="59" t="s">
        <v>573</v>
      </c>
      <c r="E15" s="59">
        <v>1</v>
      </c>
    </row>
    <row r="16" spans="1:9" x14ac:dyDescent="0.35">
      <c r="A16" s="59" t="s">
        <v>16</v>
      </c>
      <c r="B16" s="59" t="s">
        <v>583</v>
      </c>
      <c r="C16" s="59" t="s">
        <v>599</v>
      </c>
      <c r="D16" s="59"/>
      <c r="E16" s="59">
        <v>2</v>
      </c>
    </row>
    <row r="17" spans="1:5" x14ac:dyDescent="0.35">
      <c r="A17" s="59" t="s">
        <v>91</v>
      </c>
      <c r="B17" s="59" t="s">
        <v>572</v>
      </c>
      <c r="C17" s="59"/>
      <c r="D17" s="59" t="s">
        <v>586</v>
      </c>
      <c r="E17" s="59">
        <v>1</v>
      </c>
    </row>
    <row r="18" spans="1:5" x14ac:dyDescent="0.35">
      <c r="A18" s="63" t="s">
        <v>3</v>
      </c>
      <c r="B18" s="63" t="s">
        <v>569</v>
      </c>
      <c r="C18" s="63" t="s">
        <v>572</v>
      </c>
      <c r="D18" s="63" t="s">
        <v>586</v>
      </c>
      <c r="E18" s="59">
        <v>1</v>
      </c>
    </row>
    <row r="19" spans="1:5" x14ac:dyDescent="0.35">
      <c r="A19" s="64" t="s">
        <v>74</v>
      </c>
      <c r="B19" s="64" t="s">
        <v>571</v>
      </c>
      <c r="C19" s="64"/>
      <c r="D19" s="64"/>
      <c r="E19" s="59">
        <v>20</v>
      </c>
    </row>
    <row r="20" spans="1:5" x14ac:dyDescent="0.35">
      <c r="A20" s="63" t="s">
        <v>175</v>
      </c>
      <c r="B20" s="63" t="s">
        <v>569</v>
      </c>
      <c r="C20" s="63" t="s">
        <v>572</v>
      </c>
      <c r="D20" s="63" t="s">
        <v>586</v>
      </c>
      <c r="E20" s="59">
        <v>2</v>
      </c>
    </row>
    <row r="21" spans="1:5" x14ac:dyDescent="0.35">
      <c r="A21" s="64" t="s">
        <v>6</v>
      </c>
      <c r="B21" s="64" t="s">
        <v>571</v>
      </c>
      <c r="C21" s="64"/>
      <c r="D21" s="64"/>
      <c r="E21" s="59">
        <v>4</v>
      </c>
    </row>
    <row r="22" spans="1:5" x14ac:dyDescent="0.35">
      <c r="A22" s="63" t="s">
        <v>581</v>
      </c>
      <c r="B22" s="63" t="s">
        <v>594</v>
      </c>
      <c r="C22" s="63" t="s">
        <v>599</v>
      </c>
      <c r="D22" s="63" t="s">
        <v>595</v>
      </c>
      <c r="E22" s="59">
        <v>10</v>
      </c>
    </row>
    <row r="23" spans="1:5" x14ac:dyDescent="0.35">
      <c r="A23" s="64" t="s">
        <v>18</v>
      </c>
      <c r="B23" s="64" t="s">
        <v>571</v>
      </c>
      <c r="C23" s="64"/>
      <c r="D23" s="64"/>
      <c r="E23" s="59">
        <v>10</v>
      </c>
    </row>
    <row r="24" spans="1:5" x14ac:dyDescent="0.35">
      <c r="A24" s="63" t="s">
        <v>0</v>
      </c>
      <c r="B24" s="63" t="s">
        <v>574</v>
      </c>
      <c r="C24" s="63"/>
      <c r="D24" s="63" t="s">
        <v>576</v>
      </c>
      <c r="E24" s="59">
        <v>4</v>
      </c>
    </row>
    <row r="25" spans="1:5" x14ac:dyDescent="0.35">
      <c r="A25" s="59" t="s">
        <v>33</v>
      </c>
      <c r="B25" s="59" t="s">
        <v>572</v>
      </c>
      <c r="C25" s="59"/>
      <c r="D25" s="59" t="s">
        <v>573</v>
      </c>
      <c r="E25" s="59">
        <v>1</v>
      </c>
    </row>
    <row r="26" spans="1:5" x14ac:dyDescent="0.35">
      <c r="A26" s="59" t="s">
        <v>45</v>
      </c>
      <c r="B26" s="63" t="s">
        <v>579</v>
      </c>
      <c r="C26" s="63"/>
      <c r="D26" s="63" t="s">
        <v>580</v>
      </c>
      <c r="E26" s="59">
        <v>2</v>
      </c>
    </row>
    <row r="27" spans="1:5" x14ac:dyDescent="0.35">
      <c r="A27" s="59" t="s">
        <v>9</v>
      </c>
      <c r="B27" s="59" t="s">
        <v>572</v>
      </c>
      <c r="C27" s="59"/>
      <c r="D27" s="59" t="s">
        <v>586</v>
      </c>
      <c r="E27" s="59">
        <v>1</v>
      </c>
    </row>
    <row r="28" spans="1:5" x14ac:dyDescent="0.35">
      <c r="A28" s="59" t="s">
        <v>11</v>
      </c>
      <c r="B28" s="59" t="s">
        <v>572</v>
      </c>
      <c r="C28" s="59"/>
      <c r="D28" s="59" t="s">
        <v>573</v>
      </c>
      <c r="E28" s="59">
        <v>1</v>
      </c>
    </row>
    <row r="29" spans="1:5" x14ac:dyDescent="0.35">
      <c r="A29" s="59" t="s">
        <v>176</v>
      </c>
      <c r="B29" s="59" t="s">
        <v>572</v>
      </c>
      <c r="C29" s="59"/>
      <c r="D29" s="59" t="s">
        <v>573</v>
      </c>
      <c r="E29" s="59">
        <v>1</v>
      </c>
    </row>
    <row r="30" spans="1:5" x14ac:dyDescent="0.35">
      <c r="A30" s="63" t="s">
        <v>62</v>
      </c>
      <c r="B30" s="63" t="s">
        <v>570</v>
      </c>
      <c r="C30" s="63"/>
      <c r="D30" s="63"/>
      <c r="E30" s="59">
        <v>4</v>
      </c>
    </row>
    <row r="31" spans="1:5" x14ac:dyDescent="0.35">
      <c r="A31" s="64" t="s">
        <v>68</v>
      </c>
      <c r="B31" s="64" t="s">
        <v>574</v>
      </c>
      <c r="C31" s="64"/>
      <c r="D31" s="64" t="s">
        <v>575</v>
      </c>
      <c r="E31" s="59">
        <v>2</v>
      </c>
    </row>
    <row r="32" spans="1:5" x14ac:dyDescent="0.35">
      <c r="A32" s="63" t="s">
        <v>4</v>
      </c>
      <c r="B32" s="63" t="s">
        <v>574</v>
      </c>
      <c r="C32" s="63"/>
      <c r="D32" s="63" t="s">
        <v>576</v>
      </c>
      <c r="E32" s="59">
        <v>10</v>
      </c>
    </row>
    <row r="33" spans="1:5" x14ac:dyDescent="0.35">
      <c r="A33" s="64" t="s">
        <v>46</v>
      </c>
      <c r="B33" s="64" t="s">
        <v>574</v>
      </c>
      <c r="C33" s="64"/>
      <c r="D33" s="64" t="s">
        <v>576</v>
      </c>
      <c r="E33" s="59">
        <v>1</v>
      </c>
    </row>
    <row r="34" spans="1:5" x14ac:dyDescent="0.35">
      <c r="A34" s="63" t="s">
        <v>42</v>
      </c>
      <c r="B34" s="63" t="s">
        <v>570</v>
      </c>
      <c r="C34" s="63"/>
      <c r="D34" s="63"/>
      <c r="E34" s="59">
        <v>10</v>
      </c>
    </row>
    <row r="35" spans="1:5" x14ac:dyDescent="0.35">
      <c r="A35" s="59" t="s">
        <v>169</v>
      </c>
      <c r="B35" s="59" t="s">
        <v>572</v>
      </c>
      <c r="C35" s="59"/>
      <c r="D35" s="59" t="s">
        <v>587</v>
      </c>
      <c r="E35" s="59">
        <v>2</v>
      </c>
    </row>
    <row r="36" spans="1:5" x14ac:dyDescent="0.35">
      <c r="A36" s="63" t="s">
        <v>23</v>
      </c>
      <c r="B36" s="63" t="s">
        <v>594</v>
      </c>
      <c r="C36" s="63"/>
      <c r="D36" s="63" t="s">
        <v>577</v>
      </c>
      <c r="E36" s="59">
        <v>2</v>
      </c>
    </row>
    <row r="37" spans="1:5" x14ac:dyDescent="0.35">
      <c r="A37" s="59" t="s">
        <v>43</v>
      </c>
      <c r="B37" s="59" t="s">
        <v>572</v>
      </c>
      <c r="C37" s="59"/>
      <c r="D37" s="59" t="s">
        <v>573</v>
      </c>
      <c r="E37" s="59">
        <v>2</v>
      </c>
    </row>
    <row r="38" spans="1:5" x14ac:dyDescent="0.35">
      <c r="A38" s="59" t="s">
        <v>66</v>
      </c>
      <c r="B38" s="59" t="s">
        <v>572</v>
      </c>
      <c r="C38" s="59"/>
      <c r="D38" s="59" t="s">
        <v>573</v>
      </c>
      <c r="E38" s="59">
        <v>1</v>
      </c>
    </row>
    <row r="39" spans="1:5" x14ac:dyDescent="0.35">
      <c r="A39" s="64" t="s">
        <v>171</v>
      </c>
      <c r="B39" s="64" t="s">
        <v>574</v>
      </c>
      <c r="C39" s="64"/>
      <c r="D39" s="64" t="s">
        <v>575</v>
      </c>
      <c r="E39" s="59">
        <v>1</v>
      </c>
    </row>
    <row r="40" spans="1:5" x14ac:dyDescent="0.35">
      <c r="A40" s="63" t="s">
        <v>170</v>
      </c>
      <c r="B40" s="63" t="s">
        <v>579</v>
      </c>
      <c r="C40" s="63"/>
      <c r="D40" s="63" t="s">
        <v>588</v>
      </c>
      <c r="E40" s="59">
        <v>1</v>
      </c>
    </row>
    <row r="41" spans="1:5" x14ac:dyDescent="0.35">
      <c r="A41" s="64" t="s">
        <v>51</v>
      </c>
      <c r="B41" s="64" t="s">
        <v>594</v>
      </c>
      <c r="C41" s="64"/>
      <c r="D41" s="64" t="s">
        <v>577</v>
      </c>
      <c r="E41" s="59">
        <v>1</v>
      </c>
    </row>
    <row r="42" spans="1:5" x14ac:dyDescent="0.35">
      <c r="A42" s="63" t="s">
        <v>39</v>
      </c>
      <c r="B42" s="63" t="s">
        <v>569</v>
      </c>
      <c r="C42" s="63" t="s">
        <v>574</v>
      </c>
      <c r="D42" s="63" t="s">
        <v>576</v>
      </c>
      <c r="E42" s="59">
        <v>4</v>
      </c>
    </row>
    <row r="43" spans="1:5" x14ac:dyDescent="0.35">
      <c r="A43" s="64" t="s">
        <v>8</v>
      </c>
      <c r="B43" s="64" t="s">
        <v>574</v>
      </c>
      <c r="C43" s="64"/>
      <c r="D43" s="64" t="s">
        <v>576</v>
      </c>
      <c r="E43" s="62">
        <v>10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D33"/>
  <sheetViews>
    <sheetView topLeftCell="AI1" zoomScaleNormal="100" workbookViewId="0">
      <selection activeCell="B1" sqref="B1:BD1"/>
    </sheetView>
  </sheetViews>
  <sheetFormatPr baseColWidth="10" defaultColWidth="9.1796875" defaultRowHeight="14.5" x14ac:dyDescent="0.35"/>
  <cols>
    <col min="1" max="1" width="46.1796875" customWidth="1"/>
    <col min="2" max="2" width="12" customWidth="1"/>
    <col min="3" max="56" width="9.26953125" customWidth="1"/>
  </cols>
  <sheetData>
    <row r="1" spans="1:56" ht="16.5" customHeight="1" x14ac:dyDescent="0.35">
      <c r="A1" s="6" t="s">
        <v>30</v>
      </c>
      <c r="B1" s="7" t="s">
        <v>94</v>
      </c>
      <c r="C1" s="7" t="s">
        <v>31</v>
      </c>
      <c r="D1" s="7" t="s">
        <v>55</v>
      </c>
      <c r="E1" s="7" t="s">
        <v>7</v>
      </c>
      <c r="F1" s="7" t="s">
        <v>5</v>
      </c>
      <c r="G1" s="7" t="s">
        <v>19</v>
      </c>
      <c r="H1" s="7" t="s">
        <v>65</v>
      </c>
      <c r="I1" s="7" t="s">
        <v>87</v>
      </c>
      <c r="J1" s="7" t="s">
        <v>84</v>
      </c>
      <c r="K1" s="7" t="s">
        <v>73</v>
      </c>
      <c r="L1" s="7" t="s">
        <v>76</v>
      </c>
      <c r="M1" s="7" t="s">
        <v>14</v>
      </c>
      <c r="N1" s="7" t="s">
        <v>56</v>
      </c>
      <c r="O1" s="7" t="s">
        <v>61</v>
      </c>
      <c r="P1" s="7" t="s">
        <v>37</v>
      </c>
      <c r="Q1" s="7" t="s">
        <v>28</v>
      </c>
      <c r="R1" s="7" t="s">
        <v>85</v>
      </c>
      <c r="S1" s="7" t="s">
        <v>82</v>
      </c>
      <c r="T1" s="7" t="s">
        <v>78</v>
      </c>
      <c r="U1" s="7" t="s">
        <v>12</v>
      </c>
      <c r="V1" s="7" t="s">
        <v>77</v>
      </c>
      <c r="W1" s="7" t="s">
        <v>38</v>
      </c>
      <c r="X1" s="7" t="s">
        <v>71</v>
      </c>
      <c r="Y1" s="7" t="s">
        <v>22</v>
      </c>
      <c r="Z1" s="7" t="s">
        <v>26</v>
      </c>
      <c r="AA1" s="7" t="s">
        <v>53</v>
      </c>
      <c r="AB1" s="7" t="s">
        <v>25</v>
      </c>
      <c r="AC1" s="7" t="s">
        <v>40</v>
      </c>
      <c r="AD1" s="7" t="s">
        <v>81</v>
      </c>
      <c r="AE1" s="7" t="s">
        <v>35</v>
      </c>
      <c r="AF1" s="7" t="s">
        <v>86</v>
      </c>
      <c r="AG1" s="7" t="s">
        <v>17</v>
      </c>
      <c r="AH1" s="7" t="s">
        <v>36</v>
      </c>
      <c r="AI1" s="7" t="s">
        <v>34</v>
      </c>
      <c r="AJ1" s="7" t="s">
        <v>83</v>
      </c>
      <c r="AK1" s="7" t="s">
        <v>59</v>
      </c>
      <c r="AL1" s="7" t="s">
        <v>67</v>
      </c>
      <c r="AM1" s="7" t="s">
        <v>50</v>
      </c>
      <c r="AN1" s="7" t="s">
        <v>80</v>
      </c>
      <c r="AO1" s="7" t="s">
        <v>29</v>
      </c>
      <c r="AP1" s="7" t="s">
        <v>13</v>
      </c>
      <c r="AQ1" s="7" t="s">
        <v>70</v>
      </c>
      <c r="AR1" s="7" t="s">
        <v>15</v>
      </c>
      <c r="AS1" s="7" t="s">
        <v>41</v>
      </c>
      <c r="AT1" s="7" t="s">
        <v>10</v>
      </c>
      <c r="AU1" s="7" t="s">
        <v>2</v>
      </c>
      <c r="AV1" s="7" t="s">
        <v>20</v>
      </c>
      <c r="AW1" s="7" t="s">
        <v>24</v>
      </c>
      <c r="AX1" s="7" t="s">
        <v>75</v>
      </c>
      <c r="AY1" s="7" t="s">
        <v>32</v>
      </c>
      <c r="AZ1" s="7" t="s">
        <v>21</v>
      </c>
      <c r="BA1" s="7" t="s">
        <v>27</v>
      </c>
      <c r="BB1" s="7" t="s">
        <v>44</v>
      </c>
      <c r="BC1" s="7" t="s">
        <v>1</v>
      </c>
      <c r="BD1" s="7" t="s">
        <v>60</v>
      </c>
    </row>
    <row r="2" spans="1:56" x14ac:dyDescent="0.35">
      <c r="A2" s="5" t="s">
        <v>49</v>
      </c>
      <c r="B2" s="4"/>
      <c r="C2" s="4"/>
      <c r="D2" s="4">
        <v>9.0225710526774403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>
        <v>10.9915351209645</v>
      </c>
      <c r="T2" s="4"/>
      <c r="U2" s="4"/>
      <c r="V2" s="4">
        <v>10.027304272081301</v>
      </c>
      <c r="W2" s="4"/>
      <c r="X2" s="4">
        <v>29.839753961405499</v>
      </c>
      <c r="Y2" s="4">
        <v>12.462209040901501</v>
      </c>
      <c r="Z2" s="4"/>
      <c r="AA2" s="4"/>
      <c r="AB2" s="4"/>
      <c r="AC2" s="4"/>
      <c r="AD2" s="4">
        <v>4.4499152102204604</v>
      </c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>
        <v>50.3668477988967</v>
      </c>
      <c r="AQ2" s="4">
        <v>19.618121863304399</v>
      </c>
      <c r="AR2" s="4"/>
      <c r="AS2" s="4"/>
      <c r="AT2" s="4"/>
      <c r="AU2" s="4"/>
      <c r="AV2" s="4"/>
      <c r="AW2" s="4">
        <v>40.216665025078001</v>
      </c>
      <c r="AX2" s="4"/>
      <c r="AY2" s="4"/>
      <c r="AZ2" s="4"/>
      <c r="BA2" s="4"/>
      <c r="BB2" s="4"/>
      <c r="BC2" s="4"/>
      <c r="BD2" s="4"/>
    </row>
    <row r="3" spans="1:56" x14ac:dyDescent="0.35">
      <c r="A3" s="5" t="s">
        <v>58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>
        <v>1.4</v>
      </c>
      <c r="AQ3" s="4"/>
      <c r="AR3" s="4">
        <v>9.3000000000000007</v>
      </c>
      <c r="AS3" s="4"/>
      <c r="AT3" s="4"/>
      <c r="AU3" s="4"/>
      <c r="AV3" s="4"/>
      <c r="AW3" s="4"/>
      <c r="AX3" s="4"/>
      <c r="AY3" s="4"/>
      <c r="AZ3" s="4">
        <v>1.8</v>
      </c>
      <c r="BA3" s="4"/>
      <c r="BB3" s="4"/>
      <c r="BC3" s="4"/>
      <c r="BD3" s="4"/>
    </row>
    <row r="4" spans="1:56" x14ac:dyDescent="0.35">
      <c r="A4" s="5" t="s">
        <v>57</v>
      </c>
      <c r="B4" s="4" t="s">
        <v>88</v>
      </c>
      <c r="C4" s="4"/>
      <c r="D4" s="4" t="s">
        <v>88</v>
      </c>
      <c r="E4" s="4" t="s">
        <v>88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 t="s">
        <v>88</v>
      </c>
      <c r="AC4" s="4"/>
      <c r="AD4" s="4"/>
      <c r="AE4" s="4"/>
      <c r="AF4" s="4"/>
      <c r="AG4" s="4"/>
      <c r="AH4" s="4"/>
      <c r="AI4" s="4" t="s">
        <v>88</v>
      </c>
      <c r="AJ4" s="4"/>
      <c r="AK4" s="4" t="s">
        <v>88</v>
      </c>
      <c r="AL4" s="4"/>
      <c r="AM4" s="4"/>
      <c r="AN4" s="4"/>
      <c r="AO4" s="4"/>
      <c r="AP4" s="4"/>
      <c r="AQ4" s="4"/>
      <c r="AR4" s="4"/>
      <c r="AS4" s="4"/>
      <c r="AT4" s="4"/>
      <c r="AU4" s="4"/>
      <c r="AV4" s="4" t="s">
        <v>88</v>
      </c>
      <c r="AW4" s="4"/>
      <c r="AX4" s="4"/>
      <c r="AY4" s="4"/>
      <c r="AZ4" s="4"/>
      <c r="BA4" s="4" t="s">
        <v>88</v>
      </c>
      <c r="BB4" s="4"/>
      <c r="BC4" s="4" t="s">
        <v>88</v>
      </c>
      <c r="BD4" s="4"/>
    </row>
    <row r="5" spans="1:56" x14ac:dyDescent="0.35">
      <c r="A5" s="5" t="s">
        <v>64</v>
      </c>
      <c r="B5" s="4">
        <v>0.974019169068429</v>
      </c>
      <c r="C5" s="4">
        <v>1.0242220775983999</v>
      </c>
      <c r="D5" s="4">
        <v>1.28363820445182</v>
      </c>
      <c r="E5" s="4">
        <v>2.1821232846259702</v>
      </c>
      <c r="F5" s="4">
        <v>1.25645205383467</v>
      </c>
      <c r="G5" s="4" t="s">
        <v>88</v>
      </c>
      <c r="H5" s="4" t="s">
        <v>88</v>
      </c>
      <c r="I5" s="4" t="s">
        <v>88</v>
      </c>
      <c r="J5" s="4" t="s">
        <v>88</v>
      </c>
      <c r="K5" s="4">
        <v>1.06312161620882</v>
      </c>
      <c r="L5" s="4"/>
      <c r="M5" s="4" t="s">
        <v>88</v>
      </c>
      <c r="N5" s="4" t="s">
        <v>88</v>
      </c>
      <c r="O5" s="4" t="s">
        <v>88</v>
      </c>
      <c r="P5" s="4" t="s">
        <v>88</v>
      </c>
      <c r="Q5" s="4">
        <v>1.1137933326274101</v>
      </c>
      <c r="R5" s="4" t="s">
        <v>88</v>
      </c>
      <c r="S5" s="4">
        <v>1.15850829771571</v>
      </c>
      <c r="T5" s="4" t="s">
        <v>88</v>
      </c>
      <c r="U5" s="4" t="s">
        <v>88</v>
      </c>
      <c r="V5" s="4" t="s">
        <v>88</v>
      </c>
      <c r="W5" s="4" t="s">
        <v>88</v>
      </c>
      <c r="X5" s="4" t="s">
        <v>88</v>
      </c>
      <c r="Y5" s="4"/>
      <c r="Z5" s="4" t="s">
        <v>88</v>
      </c>
      <c r="AA5" s="4" t="s">
        <v>88</v>
      </c>
      <c r="AB5" s="4">
        <v>1.2160122456792799</v>
      </c>
      <c r="AC5" s="4" t="s">
        <v>88</v>
      </c>
      <c r="AD5" s="4" t="s">
        <v>88</v>
      </c>
      <c r="AE5" s="4" t="s">
        <v>88</v>
      </c>
      <c r="AF5" s="4" t="s">
        <v>88</v>
      </c>
      <c r="AG5" s="4" t="s">
        <v>88</v>
      </c>
      <c r="AH5" s="4" t="s">
        <v>88</v>
      </c>
      <c r="AI5" s="4" t="s">
        <v>88</v>
      </c>
      <c r="AJ5" s="4" t="s">
        <v>88</v>
      </c>
      <c r="AK5" s="4">
        <v>1.1175766107151901</v>
      </c>
      <c r="AL5" s="4" t="s">
        <v>88</v>
      </c>
      <c r="AM5" s="4" t="s">
        <v>88</v>
      </c>
      <c r="AN5" s="4" t="s">
        <v>88</v>
      </c>
      <c r="AO5" s="4" t="s">
        <v>88</v>
      </c>
      <c r="AP5" s="4" t="s">
        <v>88</v>
      </c>
      <c r="AQ5" s="4" t="s">
        <v>88</v>
      </c>
      <c r="AR5" s="4" t="s">
        <v>88</v>
      </c>
      <c r="AS5" s="4" t="s">
        <v>88</v>
      </c>
      <c r="AT5" s="4" t="s">
        <v>88</v>
      </c>
      <c r="AU5" s="4" t="s">
        <v>88</v>
      </c>
      <c r="AV5" s="4">
        <v>1.1672958262061299</v>
      </c>
      <c r="AW5" s="4" t="s">
        <v>88</v>
      </c>
      <c r="AX5" s="4">
        <v>1.0323827416993501</v>
      </c>
      <c r="AY5" s="4" t="s">
        <v>88</v>
      </c>
      <c r="AZ5" s="4" t="s">
        <v>88</v>
      </c>
      <c r="BA5" s="4">
        <v>1.6299536048550001</v>
      </c>
      <c r="BB5" s="4" t="s">
        <v>88</v>
      </c>
      <c r="BC5" s="4">
        <v>1.58781303922678</v>
      </c>
      <c r="BD5" s="4" t="s">
        <v>88</v>
      </c>
    </row>
    <row r="6" spans="1:56" x14ac:dyDescent="0.35">
      <c r="A6" s="5" t="s">
        <v>79</v>
      </c>
      <c r="B6" s="4">
        <v>1.14560260240712</v>
      </c>
      <c r="C6" s="4">
        <v>1.38102050108065</v>
      </c>
      <c r="D6" s="4">
        <v>1.4289813710123001</v>
      </c>
      <c r="E6" s="4">
        <v>1.19212431011757</v>
      </c>
      <c r="F6" s="4">
        <v>1.47718456576694</v>
      </c>
      <c r="G6" s="4" t="s">
        <v>88</v>
      </c>
      <c r="H6" s="4" t="s">
        <v>88</v>
      </c>
      <c r="I6" s="4" t="s">
        <v>88</v>
      </c>
      <c r="J6" s="4" t="s">
        <v>88</v>
      </c>
      <c r="K6" s="4">
        <v>1.1806413634467201</v>
      </c>
      <c r="L6" s="4" t="s">
        <v>88</v>
      </c>
      <c r="M6" s="4" t="s">
        <v>88</v>
      </c>
      <c r="N6" s="4" t="s">
        <v>88</v>
      </c>
      <c r="O6" s="4" t="s">
        <v>88</v>
      </c>
      <c r="P6" s="4" t="s">
        <v>88</v>
      </c>
      <c r="Q6" s="4">
        <v>1.30197818760118</v>
      </c>
      <c r="R6" s="4" t="s">
        <v>88</v>
      </c>
      <c r="S6" s="4">
        <v>1.3351096805153799</v>
      </c>
      <c r="T6" s="4" t="s">
        <v>88</v>
      </c>
      <c r="U6" s="4" t="s">
        <v>88</v>
      </c>
      <c r="V6" s="4" t="s">
        <v>88</v>
      </c>
      <c r="W6" s="4" t="s">
        <v>88</v>
      </c>
      <c r="X6" s="4" t="s">
        <v>88</v>
      </c>
      <c r="Y6" s="4" t="s">
        <v>88</v>
      </c>
      <c r="Z6" s="4" t="s">
        <v>88</v>
      </c>
      <c r="AA6" s="4" t="s">
        <v>88</v>
      </c>
      <c r="AB6" s="4">
        <v>1.6133686056740399</v>
      </c>
      <c r="AC6" s="4" t="s">
        <v>88</v>
      </c>
      <c r="AD6" s="4" t="s">
        <v>88</v>
      </c>
      <c r="AE6" s="4" t="s">
        <v>88</v>
      </c>
      <c r="AF6" s="4" t="s">
        <v>88</v>
      </c>
      <c r="AG6" s="4" t="s">
        <v>88</v>
      </c>
      <c r="AH6" s="4" t="s">
        <v>88</v>
      </c>
      <c r="AI6" s="4" t="s">
        <v>88</v>
      </c>
      <c r="AJ6" s="4" t="s">
        <v>88</v>
      </c>
      <c r="AK6" s="4">
        <v>1.2112831362313601</v>
      </c>
      <c r="AL6" s="4" t="s">
        <v>88</v>
      </c>
      <c r="AM6" s="4" t="s">
        <v>88</v>
      </c>
      <c r="AN6" s="4" t="s">
        <v>88</v>
      </c>
      <c r="AO6" s="4">
        <v>1.01366255075013</v>
      </c>
      <c r="AP6" s="4" t="s">
        <v>88</v>
      </c>
      <c r="AQ6" s="4" t="s">
        <v>88</v>
      </c>
      <c r="AR6" s="4" t="s">
        <v>88</v>
      </c>
      <c r="AS6" s="4" t="s">
        <v>88</v>
      </c>
      <c r="AT6" s="4" t="s">
        <v>88</v>
      </c>
      <c r="AU6" s="4" t="s">
        <v>88</v>
      </c>
      <c r="AV6" s="4">
        <v>1.3802889071205</v>
      </c>
      <c r="AW6" s="4" t="s">
        <v>88</v>
      </c>
      <c r="AX6" s="4">
        <v>1.07364321727012</v>
      </c>
      <c r="AY6" s="4" t="s">
        <v>88</v>
      </c>
      <c r="AZ6" s="4" t="s">
        <v>88</v>
      </c>
      <c r="BA6" s="4">
        <v>2.2593226146991201</v>
      </c>
      <c r="BB6" s="4" t="s">
        <v>88</v>
      </c>
      <c r="BC6" s="4">
        <v>2.4438399567059199</v>
      </c>
      <c r="BD6" s="4" t="s">
        <v>88</v>
      </c>
    </row>
    <row r="7" spans="1:56" x14ac:dyDescent="0.35">
      <c r="A7" s="5" t="s">
        <v>48</v>
      </c>
      <c r="B7" s="4" t="s">
        <v>89</v>
      </c>
      <c r="C7" s="4" t="s">
        <v>89</v>
      </c>
      <c r="D7" s="4" t="s">
        <v>89</v>
      </c>
      <c r="E7" s="4" t="s">
        <v>89</v>
      </c>
      <c r="F7" s="4" t="s">
        <v>89</v>
      </c>
      <c r="G7" s="4" t="s">
        <v>89</v>
      </c>
      <c r="H7" s="4" t="s">
        <v>89</v>
      </c>
      <c r="I7" s="4" t="s">
        <v>89</v>
      </c>
      <c r="J7" s="4" t="s">
        <v>89</v>
      </c>
      <c r="K7" s="4" t="s">
        <v>89</v>
      </c>
      <c r="L7" s="4" t="s">
        <v>89</v>
      </c>
      <c r="M7" s="4" t="s">
        <v>89</v>
      </c>
      <c r="N7" s="4" t="s">
        <v>89</v>
      </c>
      <c r="O7" s="4" t="s">
        <v>89</v>
      </c>
      <c r="P7" s="4" t="s">
        <v>89</v>
      </c>
      <c r="Q7" s="4" t="s">
        <v>89</v>
      </c>
      <c r="R7" s="4" t="s">
        <v>89</v>
      </c>
      <c r="S7" s="4" t="s">
        <v>89</v>
      </c>
      <c r="T7" s="4" t="s">
        <v>89</v>
      </c>
      <c r="U7" s="4" t="s">
        <v>89</v>
      </c>
      <c r="V7" s="4" t="s">
        <v>89</v>
      </c>
      <c r="W7" s="4" t="s">
        <v>89</v>
      </c>
      <c r="X7" s="4" t="s">
        <v>89</v>
      </c>
      <c r="Y7" s="4" t="s">
        <v>89</v>
      </c>
      <c r="Z7" s="4" t="s">
        <v>89</v>
      </c>
      <c r="AA7" s="4">
        <v>6.14</v>
      </c>
      <c r="AB7" s="4" t="s">
        <v>89</v>
      </c>
      <c r="AC7" s="4" t="s">
        <v>89</v>
      </c>
      <c r="AD7" s="4" t="s">
        <v>89</v>
      </c>
      <c r="AE7" s="4" t="s">
        <v>89</v>
      </c>
      <c r="AF7" s="4" t="s">
        <v>89</v>
      </c>
      <c r="AG7" s="4" t="s">
        <v>89</v>
      </c>
      <c r="AH7" s="4" t="s">
        <v>89</v>
      </c>
      <c r="AI7" s="4" t="s">
        <v>89</v>
      </c>
      <c r="AJ7" s="4" t="s">
        <v>89</v>
      </c>
      <c r="AK7" s="4" t="s">
        <v>89</v>
      </c>
      <c r="AL7" s="4" t="s">
        <v>89</v>
      </c>
      <c r="AM7" s="4" t="s">
        <v>89</v>
      </c>
      <c r="AN7" s="4" t="s">
        <v>89</v>
      </c>
      <c r="AO7" s="4">
        <v>4.0599999999999996</v>
      </c>
      <c r="AP7" s="4" t="s">
        <v>89</v>
      </c>
      <c r="AQ7" s="4" t="s">
        <v>89</v>
      </c>
      <c r="AR7" s="4" t="s">
        <v>89</v>
      </c>
      <c r="AS7" s="4" t="s">
        <v>89</v>
      </c>
      <c r="AT7" s="4" t="s">
        <v>89</v>
      </c>
      <c r="AU7" s="4" t="s">
        <v>89</v>
      </c>
      <c r="AV7" s="4" t="s">
        <v>89</v>
      </c>
      <c r="AW7" s="4" t="s">
        <v>89</v>
      </c>
      <c r="AX7" s="4" t="s">
        <v>89</v>
      </c>
      <c r="AY7" s="4" t="s">
        <v>89</v>
      </c>
      <c r="AZ7" s="4" t="s">
        <v>89</v>
      </c>
      <c r="BA7" s="4" t="s">
        <v>89</v>
      </c>
      <c r="BB7" s="4" t="s">
        <v>89</v>
      </c>
      <c r="BC7" s="4" t="s">
        <v>89</v>
      </c>
      <c r="BD7" s="4" t="s">
        <v>89</v>
      </c>
    </row>
    <row r="8" spans="1:56" x14ac:dyDescent="0.35">
      <c r="A8" s="5" t="s">
        <v>69</v>
      </c>
      <c r="B8" s="4">
        <v>23.16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 t="s">
        <v>90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 t="s">
        <v>90</v>
      </c>
      <c r="AY8" s="4"/>
      <c r="AZ8" s="4"/>
      <c r="BA8" s="4"/>
      <c r="BB8" s="4"/>
      <c r="BC8" s="4" t="s">
        <v>72</v>
      </c>
      <c r="BD8" s="4" t="s">
        <v>90</v>
      </c>
    </row>
    <row r="9" spans="1:56" x14ac:dyDescent="0.35">
      <c r="A9" s="5" t="s">
        <v>63</v>
      </c>
      <c r="B9" s="4"/>
      <c r="C9" s="4"/>
      <c r="D9" s="4"/>
      <c r="E9" s="4"/>
      <c r="F9" s="4" t="s">
        <v>88</v>
      </c>
      <c r="G9" s="4"/>
      <c r="H9" s="4"/>
      <c r="I9" s="4"/>
      <c r="J9" s="4"/>
      <c r="K9" s="4"/>
      <c r="L9" s="4"/>
      <c r="M9" s="4"/>
      <c r="N9" s="4"/>
      <c r="O9" s="4"/>
      <c r="P9" s="4"/>
      <c r="Q9" s="4" t="s">
        <v>88</v>
      </c>
      <c r="R9" s="4"/>
      <c r="S9" s="4"/>
      <c r="T9" s="4"/>
      <c r="U9" s="4"/>
      <c r="V9" s="4" t="s">
        <v>88</v>
      </c>
      <c r="W9" s="4"/>
      <c r="X9" s="4"/>
      <c r="Y9" s="4"/>
      <c r="Z9" s="4"/>
      <c r="AA9" s="4"/>
      <c r="AB9" s="4" t="s">
        <v>88</v>
      </c>
      <c r="AC9" s="4"/>
      <c r="AD9" s="4"/>
      <c r="AE9" s="4"/>
      <c r="AF9" s="4"/>
      <c r="AG9" s="4"/>
      <c r="AH9" s="4"/>
      <c r="AI9" s="4" t="s">
        <v>88</v>
      </c>
      <c r="AJ9" s="4"/>
      <c r="AK9" s="4"/>
      <c r="AL9" s="4"/>
      <c r="AM9" s="4"/>
      <c r="AN9" s="4" t="s">
        <v>88</v>
      </c>
      <c r="AO9" s="4"/>
      <c r="AP9" s="4" t="s">
        <v>88</v>
      </c>
      <c r="AQ9" s="4"/>
      <c r="AR9" s="4"/>
      <c r="AS9" s="4"/>
      <c r="AT9" s="4"/>
      <c r="AU9" s="4"/>
      <c r="AV9" s="4"/>
      <c r="AW9" s="4"/>
      <c r="AX9" s="4" t="s">
        <v>88</v>
      </c>
      <c r="AY9" s="4"/>
      <c r="AZ9" s="4" t="s">
        <v>88</v>
      </c>
      <c r="BA9" s="4" t="s">
        <v>88</v>
      </c>
      <c r="BB9" s="4"/>
      <c r="BC9" s="4"/>
      <c r="BD9" s="4"/>
    </row>
    <row r="10" spans="1:56" x14ac:dyDescent="0.35">
      <c r="A10" s="5" t="s">
        <v>16</v>
      </c>
      <c r="B10" s="4" t="s">
        <v>89</v>
      </c>
      <c r="C10" s="4" t="s">
        <v>89</v>
      </c>
      <c r="D10" s="4">
        <v>10.65</v>
      </c>
      <c r="E10" s="4" t="s">
        <v>89</v>
      </c>
      <c r="F10" s="4" t="s">
        <v>89</v>
      </c>
      <c r="G10" s="4" t="s">
        <v>89</v>
      </c>
      <c r="H10" s="4" t="s">
        <v>89</v>
      </c>
      <c r="I10" s="4">
        <v>32.25</v>
      </c>
      <c r="J10" s="4" t="s">
        <v>89</v>
      </c>
      <c r="K10" s="4" t="s">
        <v>89</v>
      </c>
      <c r="L10" s="4" t="s">
        <v>89</v>
      </c>
      <c r="M10" s="4" t="s">
        <v>89</v>
      </c>
      <c r="N10" s="4" t="s">
        <v>89</v>
      </c>
      <c r="O10" s="4" t="s">
        <v>89</v>
      </c>
      <c r="P10" s="4" t="s">
        <v>89</v>
      </c>
      <c r="Q10" s="4" t="s">
        <v>89</v>
      </c>
      <c r="R10" s="4" t="s">
        <v>89</v>
      </c>
      <c r="S10" s="4">
        <v>6.57</v>
      </c>
      <c r="T10" s="4">
        <v>4.95</v>
      </c>
      <c r="U10" s="4">
        <v>29.52</v>
      </c>
      <c r="V10" s="4">
        <v>8.15</v>
      </c>
      <c r="W10" s="4">
        <v>4.63</v>
      </c>
      <c r="X10" s="4">
        <v>52.07</v>
      </c>
      <c r="Y10" s="4">
        <v>4.21</v>
      </c>
      <c r="Z10" s="4" t="s">
        <v>89</v>
      </c>
      <c r="AA10" s="4" t="s">
        <v>89</v>
      </c>
      <c r="AB10" s="4" t="s">
        <v>89</v>
      </c>
      <c r="AC10" s="4" t="s">
        <v>89</v>
      </c>
      <c r="AD10" s="4">
        <v>9.9700000000000006</v>
      </c>
      <c r="AE10" s="4">
        <v>11.58</v>
      </c>
      <c r="AF10" s="4" t="s">
        <v>89</v>
      </c>
      <c r="AG10" s="4" t="s">
        <v>89</v>
      </c>
      <c r="AH10" s="4">
        <v>11.58</v>
      </c>
      <c r="AI10" s="4" t="s">
        <v>89</v>
      </c>
      <c r="AJ10" s="4" t="s">
        <v>89</v>
      </c>
      <c r="AK10" s="4" t="s">
        <v>89</v>
      </c>
      <c r="AL10" s="4" t="s">
        <v>89</v>
      </c>
      <c r="AM10" s="4" t="s">
        <v>89</v>
      </c>
      <c r="AN10" s="4" t="s">
        <v>89</v>
      </c>
      <c r="AO10" s="4" t="s">
        <v>89</v>
      </c>
      <c r="AP10" s="4">
        <v>13.88</v>
      </c>
      <c r="AQ10" s="4">
        <v>4.78</v>
      </c>
      <c r="AR10" s="4" t="s">
        <v>89</v>
      </c>
      <c r="AS10" s="4">
        <v>4.1100000000000003</v>
      </c>
      <c r="AT10" s="4" t="s">
        <v>89</v>
      </c>
      <c r="AU10" s="4">
        <v>8.3699999999999992</v>
      </c>
      <c r="AV10" s="4">
        <v>5.71</v>
      </c>
      <c r="AW10" s="4">
        <v>9.84</v>
      </c>
      <c r="AX10" s="4" t="s">
        <v>89</v>
      </c>
      <c r="AY10" s="4" t="s">
        <v>89</v>
      </c>
      <c r="AZ10" s="4" t="s">
        <v>89</v>
      </c>
      <c r="BA10" s="4" t="s">
        <v>89</v>
      </c>
      <c r="BB10" s="4" t="s">
        <v>89</v>
      </c>
      <c r="BC10" s="4" t="s">
        <v>89</v>
      </c>
      <c r="BD10" s="4" t="s">
        <v>89</v>
      </c>
    </row>
    <row r="11" spans="1:56" x14ac:dyDescent="0.35">
      <c r="A11" s="5" t="s">
        <v>91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>
        <v>3.75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</row>
    <row r="12" spans="1:56" x14ac:dyDescent="0.35">
      <c r="A12" s="5" t="s">
        <v>3</v>
      </c>
      <c r="B12" s="4" t="s">
        <v>88</v>
      </c>
      <c r="C12" s="4" t="s">
        <v>88</v>
      </c>
      <c r="D12" s="4" t="s">
        <v>88</v>
      </c>
      <c r="E12" s="4">
        <v>1.8964980217218601</v>
      </c>
      <c r="F12" s="4" t="s">
        <v>88</v>
      </c>
      <c r="G12" s="4">
        <v>2.3458698856812101</v>
      </c>
      <c r="H12" s="4" t="s">
        <v>88</v>
      </c>
      <c r="I12" s="4" t="s">
        <v>88</v>
      </c>
      <c r="J12" s="4" t="s">
        <v>88</v>
      </c>
      <c r="K12" s="4" t="s">
        <v>88</v>
      </c>
      <c r="L12" s="4" t="s">
        <v>88</v>
      </c>
      <c r="M12" s="4" t="s">
        <v>88</v>
      </c>
      <c r="N12" s="4" t="s">
        <v>88</v>
      </c>
      <c r="O12" s="4" t="s">
        <v>88</v>
      </c>
      <c r="P12" s="4" t="s">
        <v>88</v>
      </c>
      <c r="Q12" s="4" t="s">
        <v>88</v>
      </c>
      <c r="R12" s="4" t="s">
        <v>88</v>
      </c>
      <c r="S12" s="4" t="s">
        <v>88</v>
      </c>
      <c r="T12" s="4" t="s">
        <v>88</v>
      </c>
      <c r="U12" s="4" t="s">
        <v>88</v>
      </c>
      <c r="V12" s="4" t="s">
        <v>88</v>
      </c>
      <c r="W12" s="4" t="s">
        <v>88</v>
      </c>
      <c r="X12" s="4" t="s">
        <v>88</v>
      </c>
      <c r="Y12" s="4" t="s">
        <v>88</v>
      </c>
      <c r="Z12" s="4" t="s">
        <v>88</v>
      </c>
      <c r="AA12" s="4" t="s">
        <v>88</v>
      </c>
      <c r="AB12" s="4" t="s">
        <v>88</v>
      </c>
      <c r="AC12" s="4" t="s">
        <v>88</v>
      </c>
      <c r="AD12" s="4" t="s">
        <v>88</v>
      </c>
      <c r="AE12" s="4" t="s">
        <v>88</v>
      </c>
      <c r="AF12" s="4" t="s">
        <v>88</v>
      </c>
      <c r="AG12" s="4" t="s">
        <v>88</v>
      </c>
      <c r="AH12" s="4" t="s">
        <v>88</v>
      </c>
      <c r="AI12" s="4" t="s">
        <v>88</v>
      </c>
      <c r="AJ12" s="4" t="s">
        <v>88</v>
      </c>
      <c r="AK12" s="4" t="s">
        <v>88</v>
      </c>
      <c r="AL12" s="4" t="s">
        <v>88</v>
      </c>
      <c r="AM12" s="4" t="s">
        <v>88</v>
      </c>
      <c r="AN12" s="4" t="s">
        <v>88</v>
      </c>
      <c r="AO12" s="4" t="s">
        <v>88</v>
      </c>
      <c r="AP12" s="4" t="s">
        <v>88</v>
      </c>
      <c r="AQ12" s="4" t="s">
        <v>88</v>
      </c>
      <c r="AR12" s="4" t="s">
        <v>88</v>
      </c>
      <c r="AS12" s="4" t="s">
        <v>88</v>
      </c>
      <c r="AT12" s="4" t="s">
        <v>88</v>
      </c>
      <c r="AU12" s="4" t="s">
        <v>88</v>
      </c>
      <c r="AV12" s="4" t="s">
        <v>88</v>
      </c>
      <c r="AW12" s="4" t="s">
        <v>88</v>
      </c>
      <c r="AX12" s="4" t="s">
        <v>88</v>
      </c>
      <c r="AY12" s="4" t="s">
        <v>88</v>
      </c>
      <c r="AZ12" s="4" t="s">
        <v>88</v>
      </c>
      <c r="BA12" s="4" t="s">
        <v>88</v>
      </c>
      <c r="BB12" s="4" t="s">
        <v>88</v>
      </c>
      <c r="BC12" s="4" t="s">
        <v>88</v>
      </c>
      <c r="BD12" s="4" t="s">
        <v>88</v>
      </c>
    </row>
    <row r="13" spans="1:56" x14ac:dyDescent="0.35">
      <c r="A13" s="5" t="s">
        <v>74</v>
      </c>
      <c r="B13" s="4" t="s">
        <v>92</v>
      </c>
      <c r="C13" s="4" t="s">
        <v>92</v>
      </c>
      <c r="D13" s="4" t="s">
        <v>92</v>
      </c>
      <c r="E13" s="4" t="s">
        <v>92</v>
      </c>
      <c r="F13" s="4" t="s">
        <v>92</v>
      </c>
      <c r="G13" s="4" t="s">
        <v>92</v>
      </c>
      <c r="H13" s="4" t="s">
        <v>92</v>
      </c>
      <c r="I13" s="4" t="s">
        <v>92</v>
      </c>
      <c r="J13" s="4" t="s">
        <v>92</v>
      </c>
      <c r="K13" s="4">
        <v>26.035186865222201</v>
      </c>
      <c r="L13" s="4" t="s">
        <v>92</v>
      </c>
      <c r="M13" s="4" t="s">
        <v>92</v>
      </c>
      <c r="N13" s="4">
        <v>38.033940370266102</v>
      </c>
      <c r="O13" s="4" t="s">
        <v>92</v>
      </c>
      <c r="P13" s="4" t="s">
        <v>92</v>
      </c>
      <c r="Q13" s="4" t="s">
        <v>92</v>
      </c>
      <c r="R13" s="4" t="s">
        <v>92</v>
      </c>
      <c r="S13" s="4" t="s">
        <v>92</v>
      </c>
      <c r="T13" s="4" t="s">
        <v>92</v>
      </c>
      <c r="U13" s="4" t="s">
        <v>92</v>
      </c>
      <c r="V13" s="4" t="s">
        <v>92</v>
      </c>
      <c r="W13" s="4" t="s">
        <v>92</v>
      </c>
      <c r="X13" s="4">
        <v>31.824850255098099</v>
      </c>
      <c r="Y13" s="4" t="s">
        <v>92</v>
      </c>
      <c r="Z13" s="4" t="s">
        <v>92</v>
      </c>
      <c r="AA13" s="4" t="s">
        <v>92</v>
      </c>
      <c r="AB13" s="4" t="s">
        <v>92</v>
      </c>
      <c r="AC13" s="4" t="s">
        <v>92</v>
      </c>
      <c r="AD13" s="4" t="s">
        <v>92</v>
      </c>
      <c r="AE13" s="4" t="s">
        <v>92</v>
      </c>
      <c r="AF13" s="4" t="s">
        <v>92</v>
      </c>
      <c r="AG13" s="4" t="s">
        <v>92</v>
      </c>
      <c r="AH13" s="4" t="s">
        <v>92</v>
      </c>
      <c r="AI13" s="4" t="s">
        <v>92</v>
      </c>
      <c r="AJ13" s="4" t="s">
        <v>92</v>
      </c>
      <c r="AK13" s="4" t="s">
        <v>92</v>
      </c>
      <c r="AL13" s="4" t="s">
        <v>92</v>
      </c>
      <c r="AM13" s="4" t="s">
        <v>92</v>
      </c>
      <c r="AN13" s="4" t="s">
        <v>92</v>
      </c>
      <c r="AO13" s="4" t="s">
        <v>92</v>
      </c>
      <c r="AP13" s="4" t="s">
        <v>92</v>
      </c>
      <c r="AQ13" s="4" t="s">
        <v>92</v>
      </c>
      <c r="AR13" s="4" t="s">
        <v>92</v>
      </c>
      <c r="AS13" s="4" t="s">
        <v>92</v>
      </c>
      <c r="AT13" s="4" t="s">
        <v>92</v>
      </c>
      <c r="AU13" s="4" t="s">
        <v>92</v>
      </c>
      <c r="AV13" s="4" t="s">
        <v>92</v>
      </c>
      <c r="AW13" s="4" t="s">
        <v>92</v>
      </c>
      <c r="AX13" s="4" t="s">
        <v>92</v>
      </c>
      <c r="AY13" s="4" t="s">
        <v>92</v>
      </c>
      <c r="AZ13" s="4">
        <v>29.223384338285499</v>
      </c>
      <c r="BA13" s="4" t="s">
        <v>92</v>
      </c>
      <c r="BB13" s="4" t="s">
        <v>92</v>
      </c>
      <c r="BC13" s="4" t="s">
        <v>92</v>
      </c>
      <c r="BD13" s="4" t="s">
        <v>92</v>
      </c>
    </row>
    <row r="14" spans="1:56" x14ac:dyDescent="0.35">
      <c r="A14" s="5" t="s">
        <v>6</v>
      </c>
      <c r="B14" s="4"/>
      <c r="C14" s="4"/>
      <c r="D14" s="4">
        <v>6.4891030376112298</v>
      </c>
      <c r="E14" s="4"/>
      <c r="F14" s="4">
        <v>7.1114088234580404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8.5661383890271008</v>
      </c>
      <c r="R14" s="4"/>
      <c r="S14" s="4"/>
      <c r="T14" s="4">
        <v>6.4424456385236297</v>
      </c>
      <c r="U14" s="4"/>
      <c r="V14" s="4"/>
      <c r="W14" s="4"/>
      <c r="X14" s="4"/>
      <c r="Y14" s="4" t="s">
        <v>89</v>
      </c>
      <c r="Z14" s="4"/>
      <c r="AA14" s="4"/>
      <c r="AB14" s="4"/>
      <c r="AC14" s="4"/>
      <c r="AD14" s="4"/>
      <c r="AE14" s="4"/>
      <c r="AF14" s="4"/>
      <c r="AG14" s="4">
        <v>5.3606352740391499</v>
      </c>
      <c r="AH14" s="4"/>
      <c r="AI14" s="4"/>
      <c r="AJ14" s="4">
        <v>4.4849661288753202</v>
      </c>
      <c r="AK14" s="4"/>
      <c r="AL14" s="4">
        <v>16.9114945836609</v>
      </c>
      <c r="AM14" s="4"/>
      <c r="AN14" s="4">
        <v>6.9042763780322396</v>
      </c>
      <c r="AO14" s="4"/>
      <c r="AP14" s="4">
        <v>8.2465455177531108</v>
      </c>
      <c r="AQ14" s="4"/>
      <c r="AR14" s="4"/>
      <c r="AS14" s="4"/>
      <c r="AT14" s="4"/>
      <c r="AU14" s="4"/>
      <c r="AV14" s="4"/>
      <c r="AW14" s="4">
        <v>7.7730390596407197</v>
      </c>
      <c r="AX14" s="4">
        <v>10.4752578342324</v>
      </c>
      <c r="AY14" s="4"/>
      <c r="AZ14" s="4">
        <v>4.1997902009149204</v>
      </c>
      <c r="BA14" s="4">
        <v>7.7478672128013901</v>
      </c>
      <c r="BB14" s="4">
        <v>12.2289498253276</v>
      </c>
      <c r="BC14" s="4">
        <v>16.445724711989499</v>
      </c>
      <c r="BD14" s="4">
        <v>13.2258086511959</v>
      </c>
    </row>
    <row r="15" spans="1:56" x14ac:dyDescent="0.35">
      <c r="A15" s="5" t="s">
        <v>54</v>
      </c>
      <c r="B15" s="4"/>
      <c r="C15" s="4"/>
      <c r="D15" s="4"/>
      <c r="E15" s="4" t="s">
        <v>90</v>
      </c>
      <c r="F15" s="4"/>
      <c r="G15" s="4" t="s">
        <v>90</v>
      </c>
      <c r="H15" s="4" t="s">
        <v>90</v>
      </c>
      <c r="I15" s="4"/>
      <c r="J15" s="4" t="s">
        <v>90</v>
      </c>
      <c r="K15" s="4" t="s">
        <v>90</v>
      </c>
      <c r="L15" s="4" t="s">
        <v>90</v>
      </c>
      <c r="M15" s="4" t="s">
        <v>90</v>
      </c>
      <c r="N15" s="4" t="s">
        <v>90</v>
      </c>
      <c r="O15" s="4"/>
      <c r="P15" s="4" t="s">
        <v>90</v>
      </c>
      <c r="Q15" s="4"/>
      <c r="R15" s="4"/>
      <c r="S15" s="4" t="s">
        <v>90</v>
      </c>
      <c r="T15" s="4" t="s">
        <v>90</v>
      </c>
      <c r="U15" s="4" t="s">
        <v>90</v>
      </c>
      <c r="V15" s="4"/>
      <c r="W15" s="4"/>
      <c r="X15" s="4"/>
      <c r="Y15" s="4"/>
      <c r="Z15" s="4"/>
      <c r="AA15" s="4"/>
      <c r="AB15" s="4" t="s">
        <v>90</v>
      </c>
      <c r="AC15" s="4" t="s">
        <v>90</v>
      </c>
      <c r="AD15" s="4"/>
      <c r="AE15" s="4" t="s">
        <v>90</v>
      </c>
      <c r="AF15" s="4"/>
      <c r="AG15" s="4" t="s">
        <v>90</v>
      </c>
      <c r="AH15" s="4" t="s">
        <v>90</v>
      </c>
      <c r="AI15" s="4" t="s">
        <v>90</v>
      </c>
      <c r="AJ15" s="4" t="s">
        <v>90</v>
      </c>
      <c r="AK15" s="4" t="s">
        <v>90</v>
      </c>
      <c r="AL15" s="4"/>
      <c r="AM15" s="4"/>
      <c r="AN15" s="4" t="s">
        <v>90</v>
      </c>
      <c r="AO15" s="4" t="s">
        <v>90</v>
      </c>
      <c r="AP15" s="4" t="s">
        <v>90</v>
      </c>
      <c r="AQ15" s="4"/>
      <c r="AR15" s="4"/>
      <c r="AS15" s="4"/>
      <c r="AT15" s="4" t="s">
        <v>90</v>
      </c>
      <c r="AU15" s="4" t="s">
        <v>90</v>
      </c>
      <c r="AV15" s="4" t="s">
        <v>90</v>
      </c>
      <c r="AW15" s="4" t="s">
        <v>90</v>
      </c>
      <c r="AX15" s="4" t="s">
        <v>90</v>
      </c>
      <c r="AY15" s="4"/>
      <c r="AZ15" s="4" t="s">
        <v>90</v>
      </c>
      <c r="BA15" s="4" t="s">
        <v>90</v>
      </c>
      <c r="BB15" s="4"/>
      <c r="BC15" s="4"/>
      <c r="BD15" s="4"/>
    </row>
    <row r="16" spans="1:56" x14ac:dyDescent="0.35">
      <c r="A16" s="5" t="s">
        <v>18</v>
      </c>
      <c r="B16" s="4" t="s">
        <v>90</v>
      </c>
      <c r="C16" s="4" t="s">
        <v>90</v>
      </c>
      <c r="D16" s="4" t="s">
        <v>90</v>
      </c>
      <c r="E16" s="4" t="s">
        <v>90</v>
      </c>
      <c r="F16" s="4" t="s">
        <v>90</v>
      </c>
      <c r="G16" s="4" t="s">
        <v>90</v>
      </c>
      <c r="H16" s="4" t="s">
        <v>90</v>
      </c>
      <c r="I16" s="4" t="s">
        <v>90</v>
      </c>
      <c r="J16" s="4" t="s">
        <v>90</v>
      </c>
      <c r="K16" s="4" t="s">
        <v>90</v>
      </c>
      <c r="L16" s="4" t="s">
        <v>90</v>
      </c>
      <c r="M16" s="4" t="s">
        <v>90</v>
      </c>
      <c r="N16" s="4" t="s">
        <v>90</v>
      </c>
      <c r="O16" s="4" t="s">
        <v>90</v>
      </c>
      <c r="P16" s="4" t="s">
        <v>90</v>
      </c>
      <c r="Q16" s="4" t="s">
        <v>90</v>
      </c>
      <c r="R16" s="4" t="s">
        <v>90</v>
      </c>
      <c r="S16" s="4" t="s">
        <v>90</v>
      </c>
      <c r="T16" s="4" t="s">
        <v>90</v>
      </c>
      <c r="U16" s="4" t="s">
        <v>90</v>
      </c>
      <c r="V16" s="4" t="s">
        <v>90</v>
      </c>
      <c r="W16" s="4" t="s">
        <v>90</v>
      </c>
      <c r="X16" s="4">
        <v>17.670803603487801</v>
      </c>
      <c r="Y16" s="4" t="s">
        <v>90</v>
      </c>
      <c r="Z16" s="4" t="s">
        <v>90</v>
      </c>
      <c r="AA16" s="4" t="s">
        <v>90</v>
      </c>
      <c r="AB16" s="4" t="s">
        <v>90</v>
      </c>
      <c r="AC16" s="4" t="s">
        <v>90</v>
      </c>
      <c r="AD16" s="4" t="s">
        <v>90</v>
      </c>
      <c r="AE16" s="4" t="s">
        <v>90</v>
      </c>
      <c r="AF16" s="4" t="s">
        <v>90</v>
      </c>
      <c r="AG16" s="4" t="s">
        <v>90</v>
      </c>
      <c r="AH16" s="4" t="s">
        <v>90</v>
      </c>
      <c r="AI16" s="4" t="s">
        <v>90</v>
      </c>
      <c r="AJ16" s="4" t="s">
        <v>90</v>
      </c>
      <c r="AK16" s="4" t="s">
        <v>90</v>
      </c>
      <c r="AL16" s="4" t="s">
        <v>90</v>
      </c>
      <c r="AM16" s="4" t="s">
        <v>90</v>
      </c>
      <c r="AN16" s="4" t="s">
        <v>90</v>
      </c>
      <c r="AO16" s="4" t="s">
        <v>90</v>
      </c>
      <c r="AP16" s="4" t="s">
        <v>90</v>
      </c>
      <c r="AQ16" s="4" t="s">
        <v>90</v>
      </c>
      <c r="AR16" s="4" t="s">
        <v>90</v>
      </c>
      <c r="AS16" s="4" t="s">
        <v>90</v>
      </c>
      <c r="AT16" s="4" t="s">
        <v>90</v>
      </c>
      <c r="AU16" s="4" t="s">
        <v>90</v>
      </c>
      <c r="AV16" s="4" t="s">
        <v>90</v>
      </c>
      <c r="AW16" s="4" t="s">
        <v>90</v>
      </c>
      <c r="AX16" s="4" t="s">
        <v>90</v>
      </c>
      <c r="AY16" s="4" t="s">
        <v>90</v>
      </c>
      <c r="AZ16" s="4" t="s">
        <v>90</v>
      </c>
      <c r="BA16" s="4" t="s">
        <v>90</v>
      </c>
      <c r="BB16" s="4" t="s">
        <v>90</v>
      </c>
      <c r="BC16" s="4" t="s">
        <v>90</v>
      </c>
      <c r="BD16" s="4" t="s">
        <v>90</v>
      </c>
    </row>
    <row r="17" spans="1:56" x14ac:dyDescent="0.35">
      <c r="A17" s="5" t="s">
        <v>0</v>
      </c>
      <c r="B17" s="4" t="s">
        <v>89</v>
      </c>
      <c r="C17" s="4" t="s">
        <v>89</v>
      </c>
      <c r="D17" s="4" t="s">
        <v>89</v>
      </c>
      <c r="E17" s="4" t="s">
        <v>89</v>
      </c>
      <c r="F17" s="4" t="s">
        <v>89</v>
      </c>
      <c r="G17" s="4" t="s">
        <v>89</v>
      </c>
      <c r="H17" s="4" t="s">
        <v>89</v>
      </c>
      <c r="I17" s="4" t="s">
        <v>89</v>
      </c>
      <c r="J17" s="4" t="s">
        <v>89</v>
      </c>
      <c r="K17" s="4" t="s">
        <v>89</v>
      </c>
      <c r="L17" s="4" t="s">
        <v>89</v>
      </c>
      <c r="M17" s="4" t="s">
        <v>89</v>
      </c>
      <c r="N17" s="4" t="s">
        <v>89</v>
      </c>
      <c r="O17" s="4" t="s">
        <v>89</v>
      </c>
      <c r="P17" s="4" t="s">
        <v>89</v>
      </c>
      <c r="Q17" s="4" t="s">
        <v>89</v>
      </c>
      <c r="R17" s="4" t="s">
        <v>89</v>
      </c>
      <c r="S17" s="4" t="s">
        <v>89</v>
      </c>
      <c r="T17" s="4" t="s">
        <v>89</v>
      </c>
      <c r="U17" s="4" t="s">
        <v>89</v>
      </c>
      <c r="V17" s="4" t="s">
        <v>89</v>
      </c>
      <c r="W17" s="4" t="s">
        <v>89</v>
      </c>
      <c r="X17" s="4" t="s">
        <v>89</v>
      </c>
      <c r="Y17" s="4" t="s">
        <v>89</v>
      </c>
      <c r="Z17" s="4" t="s">
        <v>89</v>
      </c>
      <c r="AA17" s="4" t="s">
        <v>89</v>
      </c>
      <c r="AB17" s="4" t="s">
        <v>89</v>
      </c>
      <c r="AC17" s="4" t="s">
        <v>89</v>
      </c>
      <c r="AD17" s="4" t="s">
        <v>89</v>
      </c>
      <c r="AE17" s="4" t="s">
        <v>89</v>
      </c>
      <c r="AF17" s="4" t="s">
        <v>89</v>
      </c>
      <c r="AG17" s="4" t="s">
        <v>89</v>
      </c>
      <c r="AH17" s="4" t="s">
        <v>89</v>
      </c>
      <c r="AI17" s="4" t="s">
        <v>89</v>
      </c>
      <c r="AJ17" s="4" t="s">
        <v>89</v>
      </c>
      <c r="AK17" s="4" t="s">
        <v>89</v>
      </c>
      <c r="AL17" s="4" t="s">
        <v>89</v>
      </c>
      <c r="AM17" s="4" t="s">
        <v>89</v>
      </c>
      <c r="AN17" s="4" t="s">
        <v>89</v>
      </c>
      <c r="AO17" s="4" t="s">
        <v>89</v>
      </c>
      <c r="AP17" s="4" t="s">
        <v>89</v>
      </c>
      <c r="AQ17" s="4" t="s">
        <v>89</v>
      </c>
      <c r="AR17" s="4" t="s">
        <v>89</v>
      </c>
      <c r="AS17" s="4" t="s">
        <v>89</v>
      </c>
      <c r="AT17" s="4" t="s">
        <v>89</v>
      </c>
      <c r="AU17" s="4" t="s">
        <v>89</v>
      </c>
      <c r="AV17" s="4" t="s">
        <v>89</v>
      </c>
      <c r="AW17" s="4" t="s">
        <v>89</v>
      </c>
      <c r="AX17" s="4" t="s">
        <v>89</v>
      </c>
      <c r="AY17" s="4" t="s">
        <v>89</v>
      </c>
      <c r="AZ17" s="4" t="s">
        <v>89</v>
      </c>
      <c r="BA17" s="4" t="s">
        <v>89</v>
      </c>
      <c r="BB17" s="4" t="s">
        <v>89</v>
      </c>
      <c r="BC17" s="4" t="s">
        <v>89</v>
      </c>
      <c r="BD17" s="4" t="s">
        <v>89</v>
      </c>
    </row>
    <row r="18" spans="1:56" x14ac:dyDescent="0.35">
      <c r="A18" s="5" t="s">
        <v>33</v>
      </c>
      <c r="B18" s="4" t="s">
        <v>88</v>
      </c>
      <c r="C18" s="4"/>
      <c r="D18" s="4" t="s">
        <v>88</v>
      </c>
      <c r="E18" s="4"/>
      <c r="F18" s="4"/>
      <c r="G18" s="4" t="s">
        <v>88</v>
      </c>
      <c r="H18" s="4" t="s">
        <v>72</v>
      </c>
      <c r="I18" s="4"/>
      <c r="J18" s="4"/>
      <c r="K18" s="4"/>
      <c r="L18" s="4"/>
      <c r="M18" s="4" t="s">
        <v>72</v>
      </c>
      <c r="N18" s="4"/>
      <c r="O18" s="4"/>
      <c r="P18" s="4"/>
      <c r="Q18" s="4"/>
      <c r="R18" s="4"/>
      <c r="S18" s="4" t="s">
        <v>72</v>
      </c>
      <c r="T18" s="4"/>
      <c r="U18" s="4"/>
      <c r="V18" s="4" t="s">
        <v>72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 t="s">
        <v>72</v>
      </c>
      <c r="AQ18" s="4"/>
      <c r="AR18" s="4"/>
      <c r="AS18" s="4" t="s">
        <v>72</v>
      </c>
      <c r="AT18" s="4"/>
      <c r="AU18" s="4"/>
      <c r="AV18" s="4"/>
      <c r="AW18" s="4" t="s">
        <v>72</v>
      </c>
      <c r="AX18" s="4"/>
      <c r="AY18" s="4"/>
      <c r="AZ18" s="4"/>
      <c r="BA18" s="4"/>
      <c r="BB18" s="4" t="s">
        <v>72</v>
      </c>
      <c r="BC18" s="4"/>
      <c r="BD18" s="4"/>
    </row>
    <row r="19" spans="1:56" x14ac:dyDescent="0.35">
      <c r="A19" s="5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 t="s">
        <v>89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</row>
    <row r="20" spans="1:56" x14ac:dyDescent="0.35">
      <c r="A20" s="5" t="s">
        <v>9</v>
      </c>
      <c r="B20" s="4"/>
      <c r="C20" s="4" t="s">
        <v>88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 t="s">
        <v>88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 t="s">
        <v>88</v>
      </c>
      <c r="AY20" s="4"/>
      <c r="AZ20" s="4"/>
      <c r="BA20" s="4"/>
      <c r="BB20" s="4"/>
      <c r="BC20" s="4"/>
      <c r="BD20" s="4"/>
    </row>
    <row r="21" spans="1:56" x14ac:dyDescent="0.35">
      <c r="A21" s="5" t="s">
        <v>11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>
        <v>1.5496585014587301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 t="s">
        <v>88</v>
      </c>
      <c r="BD21" s="4"/>
    </row>
    <row r="22" spans="1:56" x14ac:dyDescent="0.35">
      <c r="A22" s="5" t="s">
        <v>62</v>
      </c>
      <c r="B22" s="4" t="s">
        <v>89</v>
      </c>
      <c r="C22" s="4" t="s">
        <v>89</v>
      </c>
      <c r="D22" s="4" t="s">
        <v>89</v>
      </c>
      <c r="E22" s="4" t="s">
        <v>89</v>
      </c>
      <c r="F22" s="4" t="s">
        <v>89</v>
      </c>
      <c r="G22" s="4" t="s">
        <v>89</v>
      </c>
      <c r="H22" s="4" t="s">
        <v>89</v>
      </c>
      <c r="I22" s="4" t="s">
        <v>89</v>
      </c>
      <c r="J22" s="4" t="s">
        <v>89</v>
      </c>
      <c r="K22" s="4" t="s">
        <v>89</v>
      </c>
      <c r="L22" s="4" t="s">
        <v>89</v>
      </c>
      <c r="M22" s="4" t="s">
        <v>89</v>
      </c>
      <c r="N22" s="4" t="s">
        <v>89</v>
      </c>
      <c r="O22" s="4" t="s">
        <v>89</v>
      </c>
      <c r="P22" s="4" t="s">
        <v>89</v>
      </c>
      <c r="Q22" s="4" t="s">
        <v>89</v>
      </c>
      <c r="R22" s="4" t="s">
        <v>89</v>
      </c>
      <c r="S22" s="4" t="s">
        <v>89</v>
      </c>
      <c r="T22" s="4" t="s">
        <v>89</v>
      </c>
      <c r="U22" s="4" t="s">
        <v>89</v>
      </c>
      <c r="V22" s="4" t="s">
        <v>89</v>
      </c>
      <c r="W22" s="4" t="s">
        <v>89</v>
      </c>
      <c r="X22" s="4">
        <v>18.7375804159796</v>
      </c>
      <c r="Y22" s="4" t="s">
        <v>89</v>
      </c>
      <c r="Z22" s="4" t="s">
        <v>89</v>
      </c>
      <c r="AA22" s="4" t="s">
        <v>89</v>
      </c>
      <c r="AB22" s="4" t="s">
        <v>89</v>
      </c>
      <c r="AC22" s="4" t="s">
        <v>89</v>
      </c>
      <c r="AD22" s="4" t="s">
        <v>89</v>
      </c>
      <c r="AE22" s="4" t="s">
        <v>89</v>
      </c>
      <c r="AF22" s="4" t="s">
        <v>89</v>
      </c>
      <c r="AG22" s="4" t="s">
        <v>89</v>
      </c>
      <c r="AH22" s="4" t="s">
        <v>89</v>
      </c>
      <c r="AI22" s="4" t="s">
        <v>89</v>
      </c>
      <c r="AJ22" s="4" t="s">
        <v>89</v>
      </c>
      <c r="AK22" s="4" t="s">
        <v>89</v>
      </c>
      <c r="AL22" s="4" t="s">
        <v>89</v>
      </c>
      <c r="AM22" s="4" t="s">
        <v>89</v>
      </c>
      <c r="AN22" s="4" t="s">
        <v>89</v>
      </c>
      <c r="AO22" s="4" t="s">
        <v>89</v>
      </c>
      <c r="AP22" s="4" t="s">
        <v>89</v>
      </c>
      <c r="AQ22" s="4" t="s">
        <v>89</v>
      </c>
      <c r="AR22" s="4" t="s">
        <v>89</v>
      </c>
      <c r="AS22" s="4" t="s">
        <v>89</v>
      </c>
      <c r="AT22" s="4" t="s">
        <v>89</v>
      </c>
      <c r="AU22" s="4" t="s">
        <v>89</v>
      </c>
      <c r="AV22" s="4" t="s">
        <v>89</v>
      </c>
      <c r="AW22" s="4" t="s">
        <v>89</v>
      </c>
      <c r="AX22" s="4" t="s">
        <v>89</v>
      </c>
      <c r="AY22" s="4" t="s">
        <v>89</v>
      </c>
      <c r="AZ22" s="4" t="s">
        <v>89</v>
      </c>
      <c r="BA22" s="4" t="s">
        <v>89</v>
      </c>
      <c r="BB22" s="4" t="s">
        <v>89</v>
      </c>
      <c r="BC22" s="4" t="s">
        <v>89</v>
      </c>
      <c r="BD22" s="4" t="s">
        <v>89</v>
      </c>
    </row>
    <row r="23" spans="1:56" x14ac:dyDescent="0.35">
      <c r="A23" s="5" t="s">
        <v>68</v>
      </c>
      <c r="B23" s="4" t="s">
        <v>89</v>
      </c>
      <c r="C23" s="4" t="s">
        <v>89</v>
      </c>
      <c r="D23" s="4" t="s">
        <v>89</v>
      </c>
      <c r="E23" s="4" t="s">
        <v>89</v>
      </c>
      <c r="F23" s="4" t="s">
        <v>89</v>
      </c>
      <c r="G23" s="4" t="s">
        <v>89</v>
      </c>
      <c r="H23" s="4" t="s">
        <v>89</v>
      </c>
      <c r="I23" s="4" t="s">
        <v>89</v>
      </c>
      <c r="J23" s="4" t="s">
        <v>89</v>
      </c>
      <c r="K23" s="4" t="s">
        <v>89</v>
      </c>
      <c r="L23" s="4" t="s">
        <v>89</v>
      </c>
      <c r="M23" s="4" t="s">
        <v>89</v>
      </c>
      <c r="N23" s="4" t="s">
        <v>89</v>
      </c>
      <c r="O23" s="4" t="s">
        <v>89</v>
      </c>
      <c r="P23" s="4" t="s">
        <v>89</v>
      </c>
      <c r="Q23" s="4" t="s">
        <v>89</v>
      </c>
      <c r="R23" s="4" t="s">
        <v>89</v>
      </c>
      <c r="S23" s="4" t="s">
        <v>89</v>
      </c>
      <c r="T23" s="4" t="s">
        <v>89</v>
      </c>
      <c r="U23" s="4" t="s">
        <v>89</v>
      </c>
      <c r="V23" s="4" t="s">
        <v>89</v>
      </c>
      <c r="W23" s="4" t="s">
        <v>89</v>
      </c>
      <c r="X23" s="4">
        <v>8.6634201658958805</v>
      </c>
      <c r="Y23" s="4" t="s">
        <v>89</v>
      </c>
      <c r="Z23" s="4" t="s">
        <v>89</v>
      </c>
      <c r="AA23" s="4" t="s">
        <v>89</v>
      </c>
      <c r="AB23" s="4" t="s">
        <v>89</v>
      </c>
      <c r="AC23" s="4" t="s">
        <v>89</v>
      </c>
      <c r="AD23" s="4" t="s">
        <v>89</v>
      </c>
      <c r="AE23" s="4" t="s">
        <v>89</v>
      </c>
      <c r="AF23" s="4" t="s">
        <v>89</v>
      </c>
      <c r="AG23" s="4" t="s">
        <v>89</v>
      </c>
      <c r="AH23" s="4" t="s">
        <v>89</v>
      </c>
      <c r="AI23" s="4" t="s">
        <v>89</v>
      </c>
      <c r="AJ23" s="4" t="s">
        <v>89</v>
      </c>
      <c r="AK23" s="4" t="s">
        <v>89</v>
      </c>
      <c r="AL23" s="4" t="s">
        <v>89</v>
      </c>
      <c r="AM23" s="4" t="s">
        <v>89</v>
      </c>
      <c r="AN23" s="4" t="s">
        <v>89</v>
      </c>
      <c r="AO23" s="4" t="s">
        <v>89</v>
      </c>
      <c r="AP23" s="4" t="s">
        <v>89</v>
      </c>
      <c r="AQ23" s="4" t="s">
        <v>89</v>
      </c>
      <c r="AR23" s="4" t="s">
        <v>89</v>
      </c>
      <c r="AS23" s="4" t="s">
        <v>89</v>
      </c>
      <c r="AT23" s="4" t="s">
        <v>89</v>
      </c>
      <c r="AU23" s="4" t="s">
        <v>89</v>
      </c>
      <c r="AV23" s="4" t="s">
        <v>89</v>
      </c>
      <c r="AW23" s="4" t="s">
        <v>89</v>
      </c>
      <c r="AX23" s="4" t="s">
        <v>89</v>
      </c>
      <c r="AY23" s="4" t="s">
        <v>89</v>
      </c>
      <c r="AZ23" s="4" t="s">
        <v>89</v>
      </c>
      <c r="BA23" s="4" t="s">
        <v>89</v>
      </c>
      <c r="BB23" s="4" t="s">
        <v>89</v>
      </c>
      <c r="BC23" s="4" t="s">
        <v>89</v>
      </c>
      <c r="BD23" s="4" t="s">
        <v>89</v>
      </c>
    </row>
    <row r="24" spans="1:56" x14ac:dyDescent="0.35">
      <c r="A24" s="5" t="s">
        <v>4</v>
      </c>
      <c r="B24" s="4">
        <v>60.95</v>
      </c>
      <c r="C24" s="4" t="s">
        <v>90</v>
      </c>
      <c r="D24" s="4" t="s">
        <v>90</v>
      </c>
      <c r="E24" s="4" t="s">
        <v>90</v>
      </c>
      <c r="F24" s="4" t="s">
        <v>90</v>
      </c>
      <c r="G24" s="4" t="s">
        <v>90</v>
      </c>
      <c r="H24" s="4" t="s">
        <v>90</v>
      </c>
      <c r="I24" s="4" t="s">
        <v>90</v>
      </c>
      <c r="J24" s="4" t="s">
        <v>90</v>
      </c>
      <c r="K24" s="4" t="s">
        <v>90</v>
      </c>
      <c r="L24" s="4" t="s">
        <v>90</v>
      </c>
      <c r="M24" s="4" t="s">
        <v>90</v>
      </c>
      <c r="N24" s="4" t="s">
        <v>90</v>
      </c>
      <c r="O24" s="4" t="s">
        <v>90</v>
      </c>
      <c r="P24" s="4" t="s">
        <v>90</v>
      </c>
      <c r="Q24" s="4" t="s">
        <v>90</v>
      </c>
      <c r="R24" s="4" t="s">
        <v>90</v>
      </c>
      <c r="S24" s="4" t="s">
        <v>90</v>
      </c>
      <c r="T24" s="4" t="s">
        <v>90</v>
      </c>
      <c r="U24" s="4" t="s">
        <v>90</v>
      </c>
      <c r="V24" s="4" t="s">
        <v>90</v>
      </c>
      <c r="W24" s="4" t="s">
        <v>90</v>
      </c>
      <c r="X24" s="4" t="s">
        <v>90</v>
      </c>
      <c r="Y24" s="4" t="s">
        <v>90</v>
      </c>
      <c r="Z24" s="4" t="s">
        <v>90</v>
      </c>
      <c r="AA24" s="4" t="s">
        <v>90</v>
      </c>
      <c r="AB24" s="4" t="s">
        <v>90</v>
      </c>
      <c r="AC24" s="4" t="s">
        <v>90</v>
      </c>
      <c r="AD24" s="4" t="s">
        <v>90</v>
      </c>
      <c r="AE24" s="4" t="s">
        <v>90</v>
      </c>
      <c r="AF24" s="4" t="s">
        <v>90</v>
      </c>
      <c r="AG24" s="4" t="s">
        <v>90</v>
      </c>
      <c r="AH24" s="4" t="s">
        <v>90</v>
      </c>
      <c r="AI24" s="4" t="s">
        <v>90</v>
      </c>
      <c r="AJ24" s="4" t="s">
        <v>90</v>
      </c>
      <c r="AK24" s="4" t="s">
        <v>90</v>
      </c>
      <c r="AL24" s="4" t="s">
        <v>90</v>
      </c>
      <c r="AM24" s="4" t="s">
        <v>90</v>
      </c>
      <c r="AN24" s="4" t="s">
        <v>90</v>
      </c>
      <c r="AO24" s="4" t="s">
        <v>90</v>
      </c>
      <c r="AP24" s="4" t="s">
        <v>90</v>
      </c>
      <c r="AQ24" s="4" t="s">
        <v>90</v>
      </c>
      <c r="AR24" s="4" t="s">
        <v>90</v>
      </c>
      <c r="AS24" s="4" t="s">
        <v>90</v>
      </c>
      <c r="AT24" s="4" t="s">
        <v>90</v>
      </c>
      <c r="AU24" s="4" t="s">
        <v>90</v>
      </c>
      <c r="AV24" s="4" t="s">
        <v>90</v>
      </c>
      <c r="AW24" s="4" t="s">
        <v>90</v>
      </c>
      <c r="AX24" s="4" t="s">
        <v>90</v>
      </c>
      <c r="AY24" s="4" t="s">
        <v>90</v>
      </c>
      <c r="AZ24" s="4">
        <v>12.85</v>
      </c>
      <c r="BA24" s="4" t="s">
        <v>90</v>
      </c>
      <c r="BB24" s="4" t="s">
        <v>90</v>
      </c>
      <c r="BC24" s="4" t="s">
        <v>90</v>
      </c>
      <c r="BD24" s="4" t="s">
        <v>90</v>
      </c>
    </row>
    <row r="25" spans="1:56" x14ac:dyDescent="0.35">
      <c r="A25" s="5" t="s">
        <v>46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0.13191615764815601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0.101030238718276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0.83205461944515202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4.5311683007705902E-3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0.88988761949093798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10.492112811393399</v>
      </c>
      <c r="BC25" s="4">
        <v>5.7090973216099197E-2</v>
      </c>
      <c r="BD25" s="4">
        <v>17.783275346603901</v>
      </c>
    </row>
    <row r="26" spans="1:56" x14ac:dyDescent="0.35">
      <c r="A26" s="5" t="s">
        <v>42</v>
      </c>
      <c r="B26" s="4" t="s">
        <v>90</v>
      </c>
      <c r="C26" s="4" t="s">
        <v>90</v>
      </c>
      <c r="D26" s="4" t="s">
        <v>90</v>
      </c>
      <c r="E26" s="4" t="s">
        <v>90</v>
      </c>
      <c r="F26" s="4" t="s">
        <v>90</v>
      </c>
      <c r="G26" s="4" t="s">
        <v>90</v>
      </c>
      <c r="H26" s="4" t="s">
        <v>90</v>
      </c>
      <c r="I26" s="4" t="s">
        <v>90</v>
      </c>
      <c r="J26" s="4" t="s">
        <v>90</v>
      </c>
      <c r="K26" s="4" t="s">
        <v>90</v>
      </c>
      <c r="L26" s="4" t="s">
        <v>90</v>
      </c>
      <c r="M26" s="4" t="s">
        <v>90</v>
      </c>
      <c r="N26" s="4" t="s">
        <v>90</v>
      </c>
      <c r="O26" s="4" t="s">
        <v>90</v>
      </c>
      <c r="P26" s="4" t="s">
        <v>90</v>
      </c>
      <c r="Q26" s="4" t="s">
        <v>90</v>
      </c>
      <c r="R26" s="4" t="s">
        <v>90</v>
      </c>
      <c r="S26" s="4" t="s">
        <v>90</v>
      </c>
      <c r="T26" s="4" t="s">
        <v>90</v>
      </c>
      <c r="U26" s="4" t="s">
        <v>90</v>
      </c>
      <c r="V26" s="4" t="s">
        <v>90</v>
      </c>
      <c r="W26" s="4" t="s">
        <v>90</v>
      </c>
      <c r="X26" s="4">
        <v>27.430045427369699</v>
      </c>
      <c r="Y26" s="4" t="s">
        <v>90</v>
      </c>
      <c r="Z26" s="4" t="s">
        <v>90</v>
      </c>
      <c r="AA26" s="4" t="s">
        <v>90</v>
      </c>
      <c r="AB26" s="4" t="s">
        <v>90</v>
      </c>
      <c r="AC26" s="4" t="s">
        <v>90</v>
      </c>
      <c r="AD26" s="4" t="s">
        <v>90</v>
      </c>
      <c r="AE26" s="4" t="s">
        <v>90</v>
      </c>
      <c r="AF26" s="4" t="s">
        <v>90</v>
      </c>
      <c r="AG26" s="4" t="s">
        <v>90</v>
      </c>
      <c r="AH26" s="4" t="s">
        <v>90</v>
      </c>
      <c r="AI26" s="4" t="s">
        <v>90</v>
      </c>
      <c r="AJ26" s="4" t="s">
        <v>90</v>
      </c>
      <c r="AK26" s="4" t="s">
        <v>90</v>
      </c>
      <c r="AL26" s="4">
        <v>17.4062183588529</v>
      </c>
      <c r="AM26" s="4" t="s">
        <v>90</v>
      </c>
      <c r="AN26" s="4" t="s">
        <v>90</v>
      </c>
      <c r="AO26" s="4" t="s">
        <v>90</v>
      </c>
      <c r="AP26" s="4" t="s">
        <v>90</v>
      </c>
      <c r="AQ26" s="4" t="s">
        <v>90</v>
      </c>
      <c r="AR26" s="4" t="s">
        <v>90</v>
      </c>
      <c r="AS26" s="4" t="s">
        <v>90</v>
      </c>
      <c r="AT26" s="4" t="s">
        <v>90</v>
      </c>
      <c r="AU26" s="4" t="s">
        <v>90</v>
      </c>
      <c r="AV26" s="4" t="s">
        <v>90</v>
      </c>
      <c r="AW26" s="4" t="s">
        <v>90</v>
      </c>
      <c r="AX26" s="4" t="s">
        <v>90</v>
      </c>
      <c r="AY26" s="4" t="s">
        <v>90</v>
      </c>
      <c r="AZ26" s="4" t="s">
        <v>90</v>
      </c>
      <c r="BA26" s="4" t="s">
        <v>90</v>
      </c>
      <c r="BB26" s="4" t="s">
        <v>90</v>
      </c>
      <c r="BC26" s="4" t="s">
        <v>90</v>
      </c>
      <c r="BD26" s="4" t="s">
        <v>90</v>
      </c>
    </row>
    <row r="27" spans="1:56" x14ac:dyDescent="0.35">
      <c r="A27" s="5" t="s">
        <v>23</v>
      </c>
      <c r="B27" s="4"/>
      <c r="C27" s="4"/>
      <c r="D27" s="4"/>
      <c r="E27" s="4"/>
      <c r="F27" s="4"/>
      <c r="G27" s="4"/>
      <c r="H27" s="4"/>
      <c r="I27" s="4"/>
      <c r="J27" s="4" t="s">
        <v>89</v>
      </c>
      <c r="K27" s="4"/>
      <c r="L27" s="4"/>
      <c r="M27" s="4"/>
      <c r="N27" s="4"/>
      <c r="O27" s="4"/>
      <c r="P27" s="4"/>
      <c r="Q27" s="4"/>
      <c r="R27" s="4"/>
      <c r="S27" s="4" t="s">
        <v>89</v>
      </c>
      <c r="T27" s="4" t="s">
        <v>89</v>
      </c>
      <c r="U27" s="4"/>
      <c r="V27" s="4"/>
      <c r="W27" s="4"/>
      <c r="X27" s="4" t="s">
        <v>89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 t="s">
        <v>72</v>
      </c>
      <c r="AN27" s="4"/>
      <c r="AO27" s="4" t="s">
        <v>89</v>
      </c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1:56" x14ac:dyDescent="0.35">
      <c r="A28" s="5" t="s">
        <v>43</v>
      </c>
      <c r="B28" s="4"/>
      <c r="C28" s="4"/>
      <c r="D28" s="4" t="s">
        <v>89</v>
      </c>
      <c r="E28" s="4"/>
      <c r="F28" s="4"/>
      <c r="G28" s="4"/>
      <c r="H28" s="4"/>
      <c r="I28" s="4">
        <v>15.8994788399505</v>
      </c>
      <c r="J28" s="4"/>
      <c r="K28" s="4"/>
      <c r="L28" s="4"/>
      <c r="M28" s="4"/>
      <c r="N28" s="4">
        <v>29.9103693150387</v>
      </c>
      <c r="O28" s="4"/>
      <c r="P28" s="4"/>
      <c r="Q28" s="4"/>
      <c r="R28" s="4"/>
      <c r="S28" s="4" t="s">
        <v>89</v>
      </c>
      <c r="T28" s="4" t="s">
        <v>89</v>
      </c>
      <c r="U28" s="4"/>
      <c r="V28" s="4" t="s">
        <v>89</v>
      </c>
      <c r="W28" s="4" t="s">
        <v>72</v>
      </c>
      <c r="X28" s="4"/>
      <c r="Y28" s="4"/>
      <c r="Z28" s="4"/>
      <c r="AA28" s="4"/>
      <c r="AB28" s="4" t="s">
        <v>89</v>
      </c>
      <c r="AC28" s="4"/>
      <c r="AD28" s="4"/>
      <c r="AE28" s="4"/>
      <c r="AF28" s="4"/>
      <c r="AG28" s="4" t="s">
        <v>89</v>
      </c>
      <c r="AH28" s="4"/>
      <c r="AI28" s="4" t="s">
        <v>89</v>
      </c>
      <c r="AJ28" s="4"/>
      <c r="AK28" s="4" t="s">
        <v>89</v>
      </c>
      <c r="AL28" s="4"/>
      <c r="AM28" s="4"/>
      <c r="AN28" s="4"/>
      <c r="AO28" s="4"/>
      <c r="AP28" s="4"/>
      <c r="AQ28" s="4"/>
      <c r="AR28" s="4"/>
      <c r="AS28" s="4"/>
      <c r="AT28" s="4"/>
      <c r="AU28" s="4" t="s">
        <v>89</v>
      </c>
      <c r="AV28" s="4" t="s">
        <v>89</v>
      </c>
      <c r="AW28" s="4"/>
      <c r="AX28" s="4"/>
      <c r="AY28" s="4"/>
      <c r="AZ28" s="4"/>
      <c r="BA28" s="4"/>
      <c r="BB28" s="4"/>
      <c r="BC28" s="4"/>
      <c r="BD28" s="4"/>
    </row>
    <row r="29" spans="1:56" x14ac:dyDescent="0.35">
      <c r="A29" s="5" t="s">
        <v>66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 t="s">
        <v>88</v>
      </c>
      <c r="BB29" s="4"/>
      <c r="BC29" s="4"/>
      <c r="BD29" s="4"/>
    </row>
    <row r="30" spans="1:56" x14ac:dyDescent="0.35">
      <c r="A30" s="5" t="s">
        <v>47</v>
      </c>
      <c r="B30" s="4" t="s">
        <v>88</v>
      </c>
      <c r="C30" s="4" t="s">
        <v>88</v>
      </c>
      <c r="D30" s="4" t="s">
        <v>88</v>
      </c>
      <c r="E30" s="4" t="s">
        <v>88</v>
      </c>
      <c r="F30" s="4" t="s">
        <v>88</v>
      </c>
      <c r="G30" s="4" t="s">
        <v>88</v>
      </c>
      <c r="H30" s="4" t="s">
        <v>88</v>
      </c>
      <c r="I30" s="4" t="s">
        <v>88</v>
      </c>
      <c r="J30" s="4" t="s">
        <v>88</v>
      </c>
      <c r="K30" s="4" t="s">
        <v>88</v>
      </c>
      <c r="L30" s="4" t="s">
        <v>88</v>
      </c>
      <c r="M30" s="4" t="s">
        <v>88</v>
      </c>
      <c r="N30" s="4" t="s">
        <v>88</v>
      </c>
      <c r="O30" s="4" t="s">
        <v>88</v>
      </c>
      <c r="P30" s="4" t="s">
        <v>88</v>
      </c>
      <c r="Q30" s="4" t="s">
        <v>88</v>
      </c>
      <c r="R30" s="4" t="s">
        <v>88</v>
      </c>
      <c r="S30" s="4" t="s">
        <v>88</v>
      </c>
      <c r="T30" s="4" t="s">
        <v>88</v>
      </c>
      <c r="U30" s="4" t="s">
        <v>88</v>
      </c>
      <c r="V30" s="4" t="s">
        <v>88</v>
      </c>
      <c r="W30" s="4" t="s">
        <v>88</v>
      </c>
      <c r="X30" s="4">
        <v>4.7355344481431896</v>
      </c>
      <c r="Y30" s="4" t="s">
        <v>88</v>
      </c>
      <c r="Z30" s="4" t="s">
        <v>88</v>
      </c>
      <c r="AA30" s="4" t="s">
        <v>88</v>
      </c>
      <c r="AB30" s="4" t="s">
        <v>88</v>
      </c>
      <c r="AC30" s="4" t="s">
        <v>88</v>
      </c>
      <c r="AD30" s="4" t="s">
        <v>88</v>
      </c>
      <c r="AE30" s="4" t="s">
        <v>88</v>
      </c>
      <c r="AF30" s="4" t="s">
        <v>88</v>
      </c>
      <c r="AG30" s="4" t="s">
        <v>88</v>
      </c>
      <c r="AH30" s="4" t="s">
        <v>88</v>
      </c>
      <c r="AI30" s="4" t="s">
        <v>88</v>
      </c>
      <c r="AJ30" s="4" t="s">
        <v>88</v>
      </c>
      <c r="AK30" s="4" t="s">
        <v>88</v>
      </c>
      <c r="AL30" s="4" t="s">
        <v>88</v>
      </c>
      <c r="AM30" s="4" t="s">
        <v>88</v>
      </c>
      <c r="AN30" s="4" t="s">
        <v>88</v>
      </c>
      <c r="AO30" s="4" t="s">
        <v>88</v>
      </c>
      <c r="AP30" s="4" t="s">
        <v>88</v>
      </c>
      <c r="AQ30" s="4" t="s">
        <v>88</v>
      </c>
      <c r="AR30" s="4" t="s">
        <v>88</v>
      </c>
      <c r="AS30" s="4" t="s">
        <v>88</v>
      </c>
      <c r="AT30" s="4" t="s">
        <v>88</v>
      </c>
      <c r="AU30" s="4" t="s">
        <v>88</v>
      </c>
      <c r="AV30" s="4" t="s">
        <v>88</v>
      </c>
      <c r="AW30" s="4" t="s">
        <v>88</v>
      </c>
      <c r="AX30" s="4" t="s">
        <v>88</v>
      </c>
      <c r="AY30" s="4" t="s">
        <v>88</v>
      </c>
      <c r="AZ30" s="4" t="s">
        <v>88</v>
      </c>
      <c r="BA30" s="4" t="s">
        <v>88</v>
      </c>
      <c r="BB30" s="4" t="s">
        <v>88</v>
      </c>
      <c r="BC30" s="4" t="s">
        <v>88</v>
      </c>
      <c r="BD30" s="4" t="s">
        <v>88</v>
      </c>
    </row>
    <row r="31" spans="1:56" x14ac:dyDescent="0.35">
      <c r="A31" s="5" t="s">
        <v>51</v>
      </c>
      <c r="B31" s="4" t="s">
        <v>88</v>
      </c>
      <c r="C31" s="4" t="s">
        <v>88</v>
      </c>
      <c r="D31" s="4" t="s">
        <v>88</v>
      </c>
      <c r="E31" s="4" t="s">
        <v>88</v>
      </c>
      <c r="F31" s="4" t="s">
        <v>88</v>
      </c>
      <c r="G31" s="4" t="s">
        <v>88</v>
      </c>
      <c r="H31" s="4" t="s">
        <v>88</v>
      </c>
      <c r="I31" s="4" t="s">
        <v>88</v>
      </c>
      <c r="J31" s="4" t="s">
        <v>88</v>
      </c>
      <c r="K31" s="4" t="s">
        <v>88</v>
      </c>
      <c r="L31" s="4" t="s">
        <v>88</v>
      </c>
      <c r="M31" s="4" t="s">
        <v>88</v>
      </c>
      <c r="N31" s="4" t="s">
        <v>88</v>
      </c>
      <c r="O31" s="4" t="s">
        <v>88</v>
      </c>
      <c r="P31" s="4" t="s">
        <v>88</v>
      </c>
      <c r="Q31" s="4" t="s">
        <v>88</v>
      </c>
      <c r="R31" s="4" t="s">
        <v>88</v>
      </c>
      <c r="S31" s="4" t="s">
        <v>88</v>
      </c>
      <c r="T31" s="4" t="s">
        <v>88</v>
      </c>
      <c r="U31" s="4" t="s">
        <v>88</v>
      </c>
      <c r="V31" s="4" t="s">
        <v>88</v>
      </c>
      <c r="W31" s="4" t="s">
        <v>88</v>
      </c>
      <c r="X31" s="4" t="s">
        <v>88</v>
      </c>
      <c r="Y31" s="4" t="s">
        <v>88</v>
      </c>
      <c r="Z31" s="4" t="s">
        <v>88</v>
      </c>
      <c r="AA31" s="4" t="s">
        <v>88</v>
      </c>
      <c r="AB31" s="4" t="s">
        <v>88</v>
      </c>
      <c r="AC31" s="4" t="s">
        <v>88</v>
      </c>
      <c r="AD31" s="4" t="s">
        <v>88</v>
      </c>
      <c r="AE31" s="4" t="s">
        <v>88</v>
      </c>
      <c r="AF31" s="4" t="s">
        <v>88</v>
      </c>
      <c r="AG31" s="4" t="s">
        <v>88</v>
      </c>
      <c r="AH31" s="4" t="s">
        <v>88</v>
      </c>
      <c r="AI31" s="4" t="s">
        <v>88</v>
      </c>
      <c r="AJ31" s="4" t="s">
        <v>88</v>
      </c>
      <c r="AK31" s="4" t="s">
        <v>88</v>
      </c>
      <c r="AL31" s="4" t="s">
        <v>88</v>
      </c>
      <c r="AM31" s="4" t="s">
        <v>88</v>
      </c>
      <c r="AN31" s="4" t="s">
        <v>88</v>
      </c>
      <c r="AO31" s="4" t="s">
        <v>88</v>
      </c>
      <c r="AP31" s="4" t="s">
        <v>88</v>
      </c>
      <c r="AQ31" s="4" t="s">
        <v>88</v>
      </c>
      <c r="AR31" s="4" t="s">
        <v>88</v>
      </c>
      <c r="AS31" s="4" t="s">
        <v>88</v>
      </c>
      <c r="AT31" s="4" t="s">
        <v>88</v>
      </c>
      <c r="AU31" s="4" t="s">
        <v>88</v>
      </c>
      <c r="AV31" s="4" t="s">
        <v>88</v>
      </c>
      <c r="AW31" s="4" t="s">
        <v>88</v>
      </c>
      <c r="AX31" s="4" t="s">
        <v>88</v>
      </c>
      <c r="AY31" s="4" t="s">
        <v>88</v>
      </c>
      <c r="AZ31" s="4" t="s">
        <v>88</v>
      </c>
      <c r="BA31" s="4" t="s">
        <v>88</v>
      </c>
      <c r="BB31" s="4" t="s">
        <v>88</v>
      </c>
      <c r="BC31" s="4" t="s">
        <v>88</v>
      </c>
      <c r="BD31" s="4" t="s">
        <v>88</v>
      </c>
    </row>
    <row r="32" spans="1:56" x14ac:dyDescent="0.35">
      <c r="A32" s="5" t="s">
        <v>39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>
        <v>0</v>
      </c>
      <c r="M32" s="4"/>
      <c r="N32" s="4"/>
      <c r="O32" s="4"/>
      <c r="P32" s="4"/>
      <c r="Q32" s="4"/>
      <c r="R32" s="4"/>
      <c r="S32" s="4"/>
      <c r="T32" s="4"/>
      <c r="U32" s="4">
        <v>0</v>
      </c>
      <c r="V32" s="4"/>
      <c r="W32" s="4"/>
      <c r="X32" s="4"/>
      <c r="Y32" s="4"/>
      <c r="Z32" s="4"/>
      <c r="AA32" s="4"/>
      <c r="AB32" s="4">
        <v>0</v>
      </c>
      <c r="AC32" s="4"/>
      <c r="AD32" s="4"/>
      <c r="AE32" s="4"/>
      <c r="AF32" s="4"/>
      <c r="AG32" s="4">
        <v>0</v>
      </c>
      <c r="AH32" s="4"/>
      <c r="AI32" s="4"/>
      <c r="AJ32" s="4"/>
      <c r="AK32" s="4"/>
      <c r="AL32" s="4"/>
      <c r="AM32" s="4"/>
      <c r="AN32" s="4">
        <v>0</v>
      </c>
      <c r="AO32" s="4"/>
      <c r="AP32" s="4">
        <v>0</v>
      </c>
      <c r="AQ32" s="4"/>
      <c r="AR32" s="4"/>
      <c r="AS32" s="4"/>
      <c r="AT32" s="4"/>
      <c r="AU32" s="4">
        <v>0</v>
      </c>
      <c r="AV32" s="4">
        <v>0</v>
      </c>
      <c r="AW32" s="4"/>
      <c r="AX32" s="4"/>
      <c r="AY32" s="4"/>
      <c r="AZ32" s="4">
        <v>0</v>
      </c>
      <c r="BA32" s="4">
        <v>0</v>
      </c>
      <c r="BB32" s="4">
        <v>0</v>
      </c>
      <c r="BC32" s="4"/>
      <c r="BD32" s="4"/>
    </row>
    <row r="33" spans="1:56" x14ac:dyDescent="0.35">
      <c r="A33" s="8" t="s">
        <v>8</v>
      </c>
      <c r="B33" s="9" t="s">
        <v>90</v>
      </c>
      <c r="C33" s="9" t="s">
        <v>90</v>
      </c>
      <c r="D33" s="9" t="s">
        <v>90</v>
      </c>
      <c r="E33" s="9" t="s">
        <v>90</v>
      </c>
      <c r="F33" s="9" t="s">
        <v>90</v>
      </c>
      <c r="G33" s="9" t="s">
        <v>90</v>
      </c>
      <c r="H33" s="9" t="s">
        <v>90</v>
      </c>
      <c r="I33" s="9" t="s">
        <v>90</v>
      </c>
      <c r="J33" s="9" t="s">
        <v>90</v>
      </c>
      <c r="K33" s="9" t="s">
        <v>90</v>
      </c>
      <c r="L33" s="9" t="s">
        <v>90</v>
      </c>
      <c r="M33" s="9" t="s">
        <v>90</v>
      </c>
      <c r="N33" s="9" t="s">
        <v>90</v>
      </c>
      <c r="O33" s="9" t="s">
        <v>90</v>
      </c>
      <c r="P33" s="9" t="s">
        <v>90</v>
      </c>
      <c r="Q33" s="9" t="s">
        <v>90</v>
      </c>
      <c r="R33" s="9" t="s">
        <v>90</v>
      </c>
      <c r="S33" s="9" t="s">
        <v>90</v>
      </c>
      <c r="T33" s="9" t="s">
        <v>90</v>
      </c>
      <c r="U33" s="9" t="s">
        <v>90</v>
      </c>
      <c r="V33" s="9" t="s">
        <v>90</v>
      </c>
      <c r="W33" s="9" t="s">
        <v>90</v>
      </c>
      <c r="X33" s="9" t="s">
        <v>90</v>
      </c>
      <c r="Y33" s="9" t="s">
        <v>90</v>
      </c>
      <c r="Z33" s="9" t="s">
        <v>90</v>
      </c>
      <c r="AA33" s="9" t="s">
        <v>90</v>
      </c>
      <c r="AB33" s="9" t="s">
        <v>90</v>
      </c>
      <c r="AC33" s="9" t="s">
        <v>90</v>
      </c>
      <c r="AD33" s="9" t="s">
        <v>90</v>
      </c>
      <c r="AE33" s="9" t="s">
        <v>90</v>
      </c>
      <c r="AF33" s="9" t="s">
        <v>90</v>
      </c>
      <c r="AG33" s="9" t="s">
        <v>90</v>
      </c>
      <c r="AH33" s="9" t="s">
        <v>90</v>
      </c>
      <c r="AI33" s="9" t="s">
        <v>90</v>
      </c>
      <c r="AJ33" s="9" t="s">
        <v>90</v>
      </c>
      <c r="AK33" s="9" t="s">
        <v>90</v>
      </c>
      <c r="AL33" s="9" t="s">
        <v>90</v>
      </c>
      <c r="AM33" s="9" t="s">
        <v>90</v>
      </c>
      <c r="AN33" s="9" t="s">
        <v>90</v>
      </c>
      <c r="AO33" s="9" t="s">
        <v>90</v>
      </c>
      <c r="AP33" s="9" t="s">
        <v>90</v>
      </c>
      <c r="AQ33" s="9" t="s">
        <v>90</v>
      </c>
      <c r="AR33" s="9" t="s">
        <v>90</v>
      </c>
      <c r="AS33" s="9" t="s">
        <v>90</v>
      </c>
      <c r="AT33" s="9" t="s">
        <v>90</v>
      </c>
      <c r="AU33" s="9" t="s">
        <v>90</v>
      </c>
      <c r="AV33" s="9" t="s">
        <v>90</v>
      </c>
      <c r="AW33" s="9" t="s">
        <v>90</v>
      </c>
      <c r="AX33" s="9" t="s">
        <v>90</v>
      </c>
      <c r="AY33" s="9" t="s">
        <v>90</v>
      </c>
      <c r="AZ33" s="9" t="s">
        <v>90</v>
      </c>
      <c r="BA33" s="9" t="s">
        <v>90</v>
      </c>
      <c r="BB33" s="9" t="s">
        <v>90</v>
      </c>
      <c r="BC33" s="9" t="s">
        <v>90</v>
      </c>
      <c r="BD33" s="9" t="s">
        <v>90</v>
      </c>
    </row>
  </sheetData>
  <sortState xmlns:xlrd2="http://schemas.microsoft.com/office/spreadsheetml/2017/richdata2" ref="A2:BC33">
    <sortCondition ref="A2:A33"/>
  </sortState>
  <phoneticPr fontId="3" type="noConversion"/>
  <pageMargins left="0.7" right="0.7" top="0.75" bottom="0.75" header="0.3" footer="0.3"/>
  <pageSetup paperSize="9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G A A B Q S w M E F A A C A A g A t G 4 o W r V o N l + m A A A A 9 g A A A B I A H A B D b 2 5 m a W c v U G F j a 2 F n Z S 5 4 b W w g o h g A K K A U A A A A A A A A A A A A A A A A A A A A A A A A A A A A h Y 9 L D o I w G I S v Q r q n D z D x k Z + y U H e S m J g Y t 0 2 p 0 A j F 0 G K 5 m w u P 5 B X E K O r O 5 X z z L W b u 1 x u k f V 0 F F 9 V a 3 Z g E M U x R o I x s c m 2 K B H X u G M 5 Q y m E r 5 E k U K h h k Y x e 9 z R N U O n d e E O K 9 x z 7 G T V u Q i F J G D t l m J 0 t V C / S R 9 X 8 5 1 M Y 6 Y a R C H P a v M T z C L J 5 g N p 1 j C m S E k G n z F a J h 7 7 P 9 g b D s K t e 1 i u c q X K 2 B j B H I + w N / A F B L A w Q U A A I A C A C 0 b i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G 4 o W l F S j Z m 2 A w A A 0 k U A A B M A H A B G b 3 J t d W x h c y 9 T Z W N 0 a W 9 u M S 5 t I K I Y A C i g F A A A A A A A A A A A A A A A A A A A A A A A A A A A A O 2 W z U 7 b Q B D H 7 0 i 8 w y o c s C U H 4 d j h Q x U H c F L C o S U V a S s V o W r j L P W K 9 a 6 1 X q O k i L f p C / T S F + D e Z + q Y k D R k E v X e D J e I 2 f n P 1 2 4 m v 1 K k T h r N r q a f 4 Z v t r e 2 t M u N W j N i A D 4 V S I m Q n T A m 3 v c X g 7 0 N V m 8 D S H a d C 7 S W V t U K 7 z 8 b e D Y 2 5 8 / y H 6 / c 8 F y e N m b Z x 8 3 i d G O 3 A 6 S a Y h t h p n I u n H 3 o k r B O W D S Z F A 8 K B v x J 7 A 8 t 1 e W t s n h h V 5 R r O R O l N U w Y P D 4 3 E 5 I W p 9 I i 9 E y 4 z o 0 b A H H g w J 8 b u M W A P j T P u 0 u x r 8 r U 1 O + F 6 8 n w Q I c M + s h w u W 1 r x s i U 8 R i p k C Y 9 Q H F R O j C w o e R S i w M g H 5 W 6 h P l u 4 P t R V j F K 1 0 H R i F O c A u e C R t p E P L h C N C z e O R D E K j A w R G n G I X w U K j O 8 O D T 1 E q U J U c R u P A k 8 d 5 8 J N 4 C G j O B G K E + O X j O M g S 4 h q D r E K B c a X t Y / i H C O n Y x T 5 C D / u V 8 k e / f n y e N 4 R h d G y 3 h + z H b W 0 Q g p T C g / v m b 9 B e k + / M j B + E 6 W r b i F M T 3 D w + x u l b 0 1 u n J i a S 2 9 d 1 o B d v 3 i e K n W V c s V t e e J s J W 7 8 d c s u / M e 2 W 1 t b v Q C 9 p t 9 M j J N a a j E b j 6 7 y o b A v K + L 3 z 2 b X Z V J P F K g t H 0 m j V v i 1 g t Z u E A V x E O 8 G 7 a C 9 2 + y J w v E 0 U 8 a a o S w y A X r m n X 1 h O + H R v o / W 7 C t 5 L R 6 v 1 k Z H P n o w t X Q x 7 x p p O 0 L S 0 1 R o X m Q O 3 A Q 6 u z d D o b 8 b f H L W S 5 p D 4 T h q I u G 3 t 0 J i Q Q L / 2 B x + X 6 z U K 0 b X 6 X S b R V D s L s s 6 3 d 4 p 8 z r S a z V B O 1 G Z G E + U z + A G C u 4 E a q Z z 8 T 7 p 1 f 6 y N N r U f Y O A Z 5 O R N X W L 8 J B W i V 5 m x P O F u u c N d f q 9 P k x P l l B C A W H q G g p X F 7 E + Y r d 3 x c C 9 O 6 + Y l V z J d P L K e Z 6 h W 5 i x T I 3 m 3 4 3 C + b v w 4 M y K u t 5 K q E Z L h Q 9 U B e 9 z v H g 2 q w u O j F 1 x z + f Q x t g o O U I n l w n z L l N n U g t P X + N O L 8 e T p R e y c K l 9 G C v X c O U r U g 4 6 S b + P a h + I Y b U 8 i b l C w D d v 7 Z g G c A A N s L L K k d D O v g R F Z s o i g 0 t A 8 o + f W P T 8 m 3 m h 3 U G 8 V + + M q f 1 e 6 k q x U 9 Z X V f l K 9 e h v b 0 m 9 d h s t A t / O H N v g V f g N 4 j 7 i P u I + 4 j 7 i P u I + 4 j 7 i P u K + D e C + i L i P u I + 4 j 7 i P u I + 4 j 7 i P u I + 4 b y O 4 L y b u I + 4 j 7 i P u I + 4 j 7 i P u I + 4 j 7 t s I 7 m s T 9 x H 3 E f c R 9 x H 3 E f c R 9 x H 3 E f d t B P c d E P c R 9 x H 3 E f c R 9 x H 3 E f c R 9 x H 3 b Q T 3 H R L 3 E f c R 9 x H 3 E f c R 9 x H 3 E f c R 9 / 1 f 3 P c H U E s B A i 0 A F A A C A A g A t G 4 o W r V o N l + m A A A A 9 g A A A B I A A A A A A A A A A A A A A A A A A A A A A E N v b m Z p Z y 9 Q Y W N r Y W d l L n h t b F B L A Q I t A B Q A A g A I A L R u K F o P y u m r p A A A A O k A A A A T A A A A A A A A A A A A A A A A A P I A A A B b Q 2 9 u d G V u d F 9 U e X B l c 1 0 u e G 1 s U E s B A i 0 A F A A C A A g A t G 4 o W l F S j Z m 2 A w A A 0 k U A A B M A A A A A A A A A A A A A A A A A 4 w E A A E Z v c m 1 1 b G F z L 1 N l Y 3 R p b 2 4 x L m 1 Q S w U G A A A A A A M A A w D C A A A A 5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N o A A A A A A A B a 2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c x O G M x N T I t Z m I 4 N S 0 0 M D d h L T k 3 Y T g t N T M x M 2 J h N W E w M 2 Y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l b G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4 V D E 0 O j E y O j E z L j Q 4 M j c w N z J a I i A v P j x F b n R y e S B U e X B l P S J G a W x s Q 2 9 s d W 1 u V H l w Z X M i I F Z h b H V l P S J z Q l F V R 0 F B Q U F B Q V l B Q l F B Q U F B W U F C Z 1 l H Q m d B Q U F B Q U Z B Q V l B Q m d B R 0 F 3 W T 0 i I C 8 + P E V u d H J 5 I F R 5 c G U 9 I k Z p b G x D b 2 x 1 b W 5 O Y W 1 l c y I g V m F s d W U 9 I n N b J n F 1 b 3 Q 7 K C 0 p L U N v d G l u a W 5 l J n F 1 b 3 Q 7 L C Z x d W 9 0 O z E 3 z r E t R X R o a W 5 5 b G V z d H J h Z G l v b C Z x d W 9 0 O y w m c X V v d D s y L D J c d T A w M j c s M y w 0 L D R c d T A w M j c s N S w 1 X H U w M D I 3 L U h l c H R h Y 2 h s b 3 J v Y m l w a G V u e W w g K E J a I C M x O D A p J n F 1 b 3 Q 7 L C Z x d W 9 0 O z I s M l x 1 M D A y N y w z L D Q s N F x 1 M D A y N y w 1 X H U w M D I 3 L U h l e G F j a G x v c m 9 i a X B o Z W 5 5 b C A o Q l o g I z E z O C k m c X V v d D s s J n F 1 b 3 Q 7 M i w y X H U w M D I 3 L D Q s N F x 1 M D A y N y w 1 L D V c d T A w M j c t S G V 4 Y W N o b G 9 y b 2 J p c G h l b n l s I C h C W i A j M T U z K S Z x d W 9 0 O y w m c X V v d D t B Y 2 V u Y X B o d G h l b m U m c X V v d D s s J n F 1 b 3 Q 7 Q X Z v Y m V u e m 9 u Z S Z x d W 9 0 O y w m c X V v d D t C S E M t Y m V 0 Y S Z x d W 9 0 O y w m c X V v d D t D Y W Z m Z W l u Z S Z x d W 9 0 O y w m c X V v d D t D e X B l c m 1 l d G h y a W 4 m c X V v d D s s J n F 1 b 3 Q 7 R E R F L X A s c F x 1 M D A y N y Z x d W 9 0 O y w m c X V v d D t E R U h B I C h E a S g y L W V 0 a H l s a G V 4 e W w p I G F k a X B h d G U p J n F 1 b 3 Q 7 L C Z x d W 9 0 O 0 R J T k N I I C h E a W l z b 2 5 v b n l s I G h l e G F o e W R y b 3 B o d G h h b G F 0 Z S k m c X V v d D s s J n F 1 b 3 Q 7 R G l w a G V u e W x h b W l u Z S Z x d W 9 0 O y w m c X V v d D t E U E h Q I C h C a X M o M i 1 w c m 9 w e W x o Z X B 0 e W w p I H B o d G h h b G F 0 Z S k m c X V v d D s s J n F 1 b 3 Q 7 R U h T I C g y L U V 0 a H l s a G V 4 e W w g c 2 F s a W N 5 b G F 0 Z S k m c X V v d D s s J n F 1 b 3 Q 7 R X B v e G l j b 2 5 h e m 9 s Z S Z x d W 9 0 O y w m c X V v d D t F c 3 R y b 2 5 l J n F 1 b 3 Q 7 L C Z x d W 9 0 O 0 Z p c H J v b m l s J n F 1 b 3 Q 7 L C Z x d W 9 0 O 0 Z s d W R p b 3 h v b m l s J n F 1 b 3 Q 7 L C Z x d W 9 0 O 0 Z s d W 9 y Z W 5 l J n F 1 b 3 Q 7 L C Z x d W 9 0 O 0 d h b G F 4 b 2 x p Z G U m c X V v d D s s J n F 1 b 3 Q 7 T 0 M g K E 9 j d G 9 j c n l s Z W 5 l K S Z x d W 9 0 O y w m c X V v d D t P e H l i Z W 5 6 b 2 5 l J n F 1 b 3 Q 7 L C Z x d W 9 0 O 1 B o Z W 5 h b n R o c m V u Z S Z x d W 9 0 O y w m c X V v d D t U R E N Q U C Z x d W 9 0 O y w m c X V v d D t U Z W J 1 Y 2 9 u Y X p v b G U m c X V v d D s s J n F 1 b 3 Q 7 V G V 0 c m F j b 2 5 h e m 9 s Z S Z x d W 9 0 O y w m c X V v d D t U b 2 5 h b G l k I H N 1 b S Z x d W 9 0 O y w m c X V v d D t U c m l w a G V u e W w g c G h v c 3 B o Y X R l J n F 1 b 3 Q 7 L C Z x d W 9 0 O 1 V W I D M y O C Z x d W 9 0 O y w m c X V v d D t V d m l u d W w g Q S B Q b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x L 0 F 1 d G 9 S Z W 1 v d m V k Q 2 9 s d W 1 u c z E u e y g t K S 1 D b 3 R p b m l u Z S w w f S Z x d W 9 0 O y w m c X V v d D t T Z W N 0 a W 9 u M S 9 U Y W J l b G x l M S 9 B d X R v U m V t b 3 Z l Z E N v b H V t b n M x L n s x N 8 6 x L U V 0 a G l u e W x l c 3 R y Y W R p b 2 w s M X 0 m c X V v d D s s J n F 1 b 3 Q 7 U 2 V j d G l v b j E v V G F i Z W x s Z T E v Q X V 0 b 1 J l b W 9 2 Z W R D b 2 x 1 b W 5 z M S 5 7 M i w y X H U w M D I 3 L D M s N C w 0 X H U w M D I 3 L D U s N V x 1 M D A y N y 1 I Z X B 0 Y W N o b G 9 y b 2 J p c G h l b n l s I C h C W i A j M T g w K S w y f S Z x d W 9 0 O y w m c X V v d D t T Z W N 0 a W 9 u M S 9 U Y W J l b G x l M S 9 B d X R v U m V t b 3 Z l Z E N v b H V t b n M x L n s y L D J c d T A w M j c s M y w 0 L D R c d T A w M j c s N V x 1 M D A y N y 1 I Z X h h Y 2 h s b 3 J v Y m l w a G V u e W w g K E J a I C M x M z g p L D N 9 J n F 1 b 3 Q 7 L C Z x d W 9 0 O 1 N l Y 3 R p b 2 4 x L 1 R h Y m V s b G U x L 0 F 1 d G 9 S Z W 1 v d m V k Q 2 9 s d W 1 u c z E u e z I s M l x 1 M D A y N y w 0 L D R c d T A w M j c s N S w 1 X H U w M D I 3 L U h l e G F j a G x v c m 9 i a X B o Z W 5 5 b C A o Q l o g I z E 1 M y k s N H 0 m c X V v d D s s J n F 1 b 3 Q 7 U 2 V j d G l v b j E v V G F i Z W x s Z T E v Q X V 0 b 1 J l b W 9 2 Z W R D b 2 x 1 b W 5 z M S 5 7 Q W N l b m F w a H R o Z W 5 l L D V 9 J n F 1 b 3 Q 7 L C Z x d W 9 0 O 1 N l Y 3 R p b 2 4 x L 1 R h Y m V s b G U x L 0 F 1 d G 9 S Z W 1 v d m V k Q 2 9 s d W 1 u c z E u e 0 F 2 b 2 J l b n p v b m U s N n 0 m c X V v d D s s J n F 1 b 3 Q 7 U 2 V j d G l v b j E v V G F i Z W x s Z T E v Q X V 0 b 1 J l b W 9 2 Z W R D b 2 x 1 b W 5 z M S 5 7 Q k h D L W J l d G E s N 3 0 m c X V v d D s s J n F 1 b 3 Q 7 U 2 V j d G l v b j E v V G F i Z W x s Z T E v Q X V 0 b 1 J l b W 9 2 Z W R D b 2 x 1 b W 5 z M S 5 7 Q 2 F m Z m V p b m U s O H 0 m c X V v d D s s J n F 1 b 3 Q 7 U 2 V j d G l v b j E v V G F i Z W x s Z T E v Q X V 0 b 1 J l b W 9 2 Z W R D b 2 x 1 b W 5 z M S 5 7 Q 3 l w Z X J t Z X R o c m l u L D l 9 J n F 1 b 3 Q 7 L C Z x d W 9 0 O 1 N l Y 3 R p b 2 4 x L 1 R h Y m V s b G U x L 0 F 1 d G 9 S Z W 1 v d m V k Q 2 9 s d W 1 u c z E u e 0 R E R S 1 w L H B c d T A w M j c s M T B 9 J n F 1 b 3 Q 7 L C Z x d W 9 0 O 1 N l Y 3 R p b 2 4 x L 1 R h Y m V s b G U x L 0 F 1 d G 9 S Z W 1 v d m V k Q 2 9 s d W 1 u c z E u e 0 R F S E E g K E R p K D I t Z X R o e W x o Z X h 5 b C k g Y W R p c G F 0 Z S k s M T F 9 J n F 1 b 3 Q 7 L C Z x d W 9 0 O 1 N l Y 3 R p b 2 4 x L 1 R h Y m V s b G U x L 0 F 1 d G 9 S Z W 1 v d m V k Q 2 9 s d W 1 u c z E u e 0 R J T k N I I C h E a W l z b 2 5 v b n l s I G h l e G F o e W R y b 3 B o d G h h b G F 0 Z S k s M T J 9 J n F 1 b 3 Q 7 L C Z x d W 9 0 O 1 N l Y 3 R p b 2 4 x L 1 R h Y m V s b G U x L 0 F 1 d G 9 S Z W 1 v d m V k Q 2 9 s d W 1 u c z E u e 0 R p c G h l b n l s Y W 1 p b m U s M T N 9 J n F 1 b 3 Q 7 L C Z x d W 9 0 O 1 N l Y 3 R p b 2 4 x L 1 R h Y m V s b G U x L 0 F 1 d G 9 S Z W 1 v d m V k Q 2 9 s d W 1 u c z E u e 0 R Q S F A g K E J p c y g y L X B y b 3 B 5 b G h l c H R 5 b C k g c G h 0 a G F s Y X R l K S w x N H 0 m c X V v d D s s J n F 1 b 3 Q 7 U 2 V j d G l v b j E v V G F i Z W x s Z T E v Q X V 0 b 1 J l b W 9 2 Z W R D b 2 x 1 b W 5 z M S 5 7 R U h T I C g y L U V 0 a H l s a G V 4 e W w g c 2 F s a W N 5 b G F 0 Z S k s M T V 9 J n F 1 b 3 Q 7 L C Z x d W 9 0 O 1 N l Y 3 R p b 2 4 x L 1 R h Y m V s b G U x L 0 F 1 d G 9 S Z W 1 v d m V k Q 2 9 s d W 1 u c z E u e 0 V w b 3 h p Y 2 9 u Y X p v b G U s M T Z 9 J n F 1 b 3 Q 7 L C Z x d W 9 0 O 1 N l Y 3 R p b 2 4 x L 1 R h Y m V s b G U x L 0 F 1 d G 9 S Z W 1 v d m V k Q 2 9 s d W 1 u c z E u e 0 V z d H J v b m U s M T d 9 J n F 1 b 3 Q 7 L C Z x d W 9 0 O 1 N l Y 3 R p b 2 4 x L 1 R h Y m V s b G U x L 0 F 1 d G 9 S Z W 1 v d m V k Q 2 9 s d W 1 u c z E u e 0 Z p c H J v b m l s L D E 4 f S Z x d W 9 0 O y w m c X V v d D t T Z W N 0 a W 9 u M S 9 U Y W J l b G x l M S 9 B d X R v U m V t b 3 Z l Z E N v b H V t b n M x L n t G b H V k a W 9 4 b 2 5 p b C w x O X 0 m c X V v d D s s J n F 1 b 3 Q 7 U 2 V j d G l v b j E v V G F i Z W x s Z T E v Q X V 0 b 1 J l b W 9 2 Z W R D b 2 x 1 b W 5 z M S 5 7 R m x 1 b 3 J l b m U s M j B 9 J n F 1 b 3 Q 7 L C Z x d W 9 0 O 1 N l Y 3 R p b 2 4 x L 1 R h Y m V s b G U x L 0 F 1 d G 9 S Z W 1 v d m V k Q 2 9 s d W 1 u c z E u e 0 d h b G F 4 b 2 x p Z G U s M j F 9 J n F 1 b 3 Q 7 L C Z x d W 9 0 O 1 N l Y 3 R p b 2 4 x L 1 R h Y m V s b G U x L 0 F 1 d G 9 S Z W 1 v d m V k Q 2 9 s d W 1 u c z E u e 0 9 D I C h P Y 3 R v Y 3 J 5 b G V u Z S k s M j J 9 J n F 1 b 3 Q 7 L C Z x d W 9 0 O 1 N l Y 3 R p b 2 4 x L 1 R h Y m V s b G U x L 0 F 1 d G 9 S Z W 1 v d m V k Q 2 9 s d W 1 u c z E u e 0 9 4 e W J l b n p v b m U s M j N 9 J n F 1 b 3 Q 7 L C Z x d W 9 0 O 1 N l Y 3 R p b 2 4 x L 1 R h Y m V s b G U x L 0 F 1 d G 9 S Z W 1 v d m V k Q 2 9 s d W 1 u c z E u e 1 B o Z W 5 h b n R o c m V u Z S w y N H 0 m c X V v d D s s J n F 1 b 3 Q 7 U 2 V j d G l v b j E v V G F i Z W x s Z T E v Q X V 0 b 1 J l b W 9 2 Z W R D b 2 x 1 b W 5 z M S 5 7 V E R D U F A s M j V 9 J n F 1 b 3 Q 7 L C Z x d W 9 0 O 1 N l Y 3 R p b 2 4 x L 1 R h Y m V s b G U x L 0 F 1 d G 9 S Z W 1 v d m V k Q 2 9 s d W 1 u c z E u e 1 R l Y n V j b 2 5 h e m 9 s Z S w y N n 0 m c X V v d D s s J n F 1 b 3 Q 7 U 2 V j d G l v b j E v V G F i Z W x s Z T E v Q X V 0 b 1 J l b W 9 2 Z W R D b 2 x 1 b W 5 z M S 5 7 V G V 0 c m F j b 2 5 h e m 9 s Z S w y N 3 0 m c X V v d D s s J n F 1 b 3 Q 7 U 2 V j d G l v b j E v V G F i Z W x s Z T E v Q X V 0 b 1 J l b W 9 2 Z W R D b 2 x 1 b W 5 z M S 5 7 V G 9 u Y W x p Z C B z d W 0 s M j h 9 J n F 1 b 3 Q 7 L C Z x d W 9 0 O 1 N l Y 3 R p b 2 4 x L 1 R h Y m V s b G U x L 0 F 1 d G 9 S Z W 1 v d m V k Q 2 9 s d W 1 u c z E u e 1 R y a X B o Z W 5 5 b C B w a G 9 z c G h h d G U s M j l 9 J n F 1 b 3 Q 7 L C Z x d W 9 0 O 1 N l Y 3 R p b 2 4 x L 1 R h Y m V s b G U x L 0 F 1 d G 9 S Z W 1 v d m V k Q 2 9 s d W 1 u c z E u e 1 V W I D M y O C w z M H 0 m c X V v d D s s J n F 1 b 3 Q 7 U 2 V j d G l v b j E v V G F i Z W x s Z T E v Q X V 0 b 1 J l b W 9 2 Z W R D b 2 x 1 b W 5 z M S 5 7 V X Z p b n V s I E E g U G x 1 c y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1 R h Y m V s b G U x L 0 F 1 d G 9 S Z W 1 v d m V k Q 2 9 s d W 1 u c z E u e y g t K S 1 D b 3 R p b m l u Z S w w f S Z x d W 9 0 O y w m c X V v d D t T Z W N 0 a W 9 u M S 9 U Y W J l b G x l M S 9 B d X R v U m V t b 3 Z l Z E N v b H V t b n M x L n s x N 8 6 x L U V 0 a G l u e W x l c 3 R y Y W R p b 2 w s M X 0 m c X V v d D s s J n F 1 b 3 Q 7 U 2 V j d G l v b j E v V G F i Z W x s Z T E v Q X V 0 b 1 J l b W 9 2 Z W R D b 2 x 1 b W 5 z M S 5 7 M i w y X H U w M D I 3 L D M s N C w 0 X H U w M D I 3 L D U s N V x 1 M D A y N y 1 I Z X B 0 Y W N o b G 9 y b 2 J p c G h l b n l s I C h C W i A j M T g w K S w y f S Z x d W 9 0 O y w m c X V v d D t T Z W N 0 a W 9 u M S 9 U Y W J l b G x l M S 9 B d X R v U m V t b 3 Z l Z E N v b H V t b n M x L n s y L D J c d T A w M j c s M y w 0 L D R c d T A w M j c s N V x 1 M D A y N y 1 I Z X h h Y 2 h s b 3 J v Y m l w a G V u e W w g K E J a I C M x M z g p L D N 9 J n F 1 b 3 Q 7 L C Z x d W 9 0 O 1 N l Y 3 R p b 2 4 x L 1 R h Y m V s b G U x L 0 F 1 d G 9 S Z W 1 v d m V k Q 2 9 s d W 1 u c z E u e z I s M l x 1 M D A y N y w 0 L D R c d T A w M j c s N S w 1 X H U w M D I 3 L U h l e G F j a G x v c m 9 i a X B o Z W 5 5 b C A o Q l o g I z E 1 M y k s N H 0 m c X V v d D s s J n F 1 b 3 Q 7 U 2 V j d G l v b j E v V G F i Z W x s Z T E v Q X V 0 b 1 J l b W 9 2 Z W R D b 2 x 1 b W 5 z M S 5 7 Q W N l b m F w a H R o Z W 5 l L D V 9 J n F 1 b 3 Q 7 L C Z x d W 9 0 O 1 N l Y 3 R p b 2 4 x L 1 R h Y m V s b G U x L 0 F 1 d G 9 S Z W 1 v d m V k Q 2 9 s d W 1 u c z E u e 0 F 2 b 2 J l b n p v b m U s N n 0 m c X V v d D s s J n F 1 b 3 Q 7 U 2 V j d G l v b j E v V G F i Z W x s Z T E v Q X V 0 b 1 J l b W 9 2 Z W R D b 2 x 1 b W 5 z M S 5 7 Q k h D L W J l d G E s N 3 0 m c X V v d D s s J n F 1 b 3 Q 7 U 2 V j d G l v b j E v V G F i Z W x s Z T E v Q X V 0 b 1 J l b W 9 2 Z W R D b 2 x 1 b W 5 z M S 5 7 Q 2 F m Z m V p b m U s O H 0 m c X V v d D s s J n F 1 b 3 Q 7 U 2 V j d G l v b j E v V G F i Z W x s Z T E v Q X V 0 b 1 J l b W 9 2 Z W R D b 2 x 1 b W 5 z M S 5 7 Q 3 l w Z X J t Z X R o c m l u L D l 9 J n F 1 b 3 Q 7 L C Z x d W 9 0 O 1 N l Y 3 R p b 2 4 x L 1 R h Y m V s b G U x L 0 F 1 d G 9 S Z W 1 v d m V k Q 2 9 s d W 1 u c z E u e 0 R E R S 1 w L H B c d T A w M j c s M T B 9 J n F 1 b 3 Q 7 L C Z x d W 9 0 O 1 N l Y 3 R p b 2 4 x L 1 R h Y m V s b G U x L 0 F 1 d G 9 S Z W 1 v d m V k Q 2 9 s d W 1 u c z E u e 0 R F S E E g K E R p K D I t Z X R o e W x o Z X h 5 b C k g Y W R p c G F 0 Z S k s M T F 9 J n F 1 b 3 Q 7 L C Z x d W 9 0 O 1 N l Y 3 R p b 2 4 x L 1 R h Y m V s b G U x L 0 F 1 d G 9 S Z W 1 v d m V k Q 2 9 s d W 1 u c z E u e 0 R J T k N I I C h E a W l z b 2 5 v b n l s I G h l e G F o e W R y b 3 B o d G h h b G F 0 Z S k s M T J 9 J n F 1 b 3 Q 7 L C Z x d W 9 0 O 1 N l Y 3 R p b 2 4 x L 1 R h Y m V s b G U x L 0 F 1 d G 9 S Z W 1 v d m V k Q 2 9 s d W 1 u c z E u e 0 R p c G h l b n l s Y W 1 p b m U s M T N 9 J n F 1 b 3 Q 7 L C Z x d W 9 0 O 1 N l Y 3 R p b 2 4 x L 1 R h Y m V s b G U x L 0 F 1 d G 9 S Z W 1 v d m V k Q 2 9 s d W 1 u c z E u e 0 R Q S F A g K E J p c y g y L X B y b 3 B 5 b G h l c H R 5 b C k g c G h 0 a G F s Y X R l K S w x N H 0 m c X V v d D s s J n F 1 b 3 Q 7 U 2 V j d G l v b j E v V G F i Z W x s Z T E v Q X V 0 b 1 J l b W 9 2 Z W R D b 2 x 1 b W 5 z M S 5 7 R U h T I C g y L U V 0 a H l s a G V 4 e W w g c 2 F s a W N 5 b G F 0 Z S k s M T V 9 J n F 1 b 3 Q 7 L C Z x d W 9 0 O 1 N l Y 3 R p b 2 4 x L 1 R h Y m V s b G U x L 0 F 1 d G 9 S Z W 1 v d m V k Q 2 9 s d W 1 u c z E u e 0 V w b 3 h p Y 2 9 u Y X p v b G U s M T Z 9 J n F 1 b 3 Q 7 L C Z x d W 9 0 O 1 N l Y 3 R p b 2 4 x L 1 R h Y m V s b G U x L 0 F 1 d G 9 S Z W 1 v d m V k Q 2 9 s d W 1 u c z E u e 0 V z d H J v b m U s M T d 9 J n F 1 b 3 Q 7 L C Z x d W 9 0 O 1 N l Y 3 R p b 2 4 x L 1 R h Y m V s b G U x L 0 F 1 d G 9 S Z W 1 v d m V k Q 2 9 s d W 1 u c z E u e 0 Z p c H J v b m l s L D E 4 f S Z x d W 9 0 O y w m c X V v d D t T Z W N 0 a W 9 u M S 9 U Y W J l b G x l M S 9 B d X R v U m V t b 3 Z l Z E N v b H V t b n M x L n t G b H V k a W 9 4 b 2 5 p b C w x O X 0 m c X V v d D s s J n F 1 b 3 Q 7 U 2 V j d G l v b j E v V G F i Z W x s Z T E v Q X V 0 b 1 J l b W 9 2 Z W R D b 2 x 1 b W 5 z M S 5 7 R m x 1 b 3 J l b m U s M j B 9 J n F 1 b 3 Q 7 L C Z x d W 9 0 O 1 N l Y 3 R p b 2 4 x L 1 R h Y m V s b G U x L 0 F 1 d G 9 S Z W 1 v d m V k Q 2 9 s d W 1 u c z E u e 0 d h b G F 4 b 2 x p Z G U s M j F 9 J n F 1 b 3 Q 7 L C Z x d W 9 0 O 1 N l Y 3 R p b 2 4 x L 1 R h Y m V s b G U x L 0 F 1 d G 9 S Z W 1 v d m V k Q 2 9 s d W 1 u c z E u e 0 9 D I C h P Y 3 R v Y 3 J 5 b G V u Z S k s M j J 9 J n F 1 b 3 Q 7 L C Z x d W 9 0 O 1 N l Y 3 R p b 2 4 x L 1 R h Y m V s b G U x L 0 F 1 d G 9 S Z W 1 v d m V k Q 2 9 s d W 1 u c z E u e 0 9 4 e W J l b n p v b m U s M j N 9 J n F 1 b 3 Q 7 L C Z x d W 9 0 O 1 N l Y 3 R p b 2 4 x L 1 R h Y m V s b G U x L 0 F 1 d G 9 S Z W 1 v d m V k Q 2 9 s d W 1 u c z E u e 1 B o Z W 5 h b n R o c m V u Z S w y N H 0 m c X V v d D s s J n F 1 b 3 Q 7 U 2 V j d G l v b j E v V G F i Z W x s Z T E v Q X V 0 b 1 J l b W 9 2 Z W R D b 2 x 1 b W 5 z M S 5 7 V E R D U F A s M j V 9 J n F 1 b 3 Q 7 L C Z x d W 9 0 O 1 N l Y 3 R p b 2 4 x L 1 R h Y m V s b G U x L 0 F 1 d G 9 S Z W 1 v d m V k Q 2 9 s d W 1 u c z E u e 1 R l Y n V j b 2 5 h e m 9 s Z S w y N n 0 m c X V v d D s s J n F 1 b 3 Q 7 U 2 V j d G l v b j E v V G F i Z W x s Z T E v Q X V 0 b 1 J l b W 9 2 Z W R D b 2 x 1 b W 5 z M S 5 7 V G V 0 c m F j b 2 5 h e m 9 s Z S w y N 3 0 m c X V v d D s s J n F 1 b 3 Q 7 U 2 V j d G l v b j E v V G F i Z W x s Z T E v Q X V 0 b 1 J l b W 9 2 Z W R D b 2 x 1 b W 5 z M S 5 7 V G 9 u Y W x p Z C B z d W 0 s M j h 9 J n F 1 b 3 Q 7 L C Z x d W 9 0 O 1 N l Y 3 R p b 2 4 x L 1 R h Y m V s b G U x L 0 F 1 d G 9 S Z W 1 v d m V k Q 2 9 s d W 1 u c z E u e 1 R y a X B o Z W 5 5 b C B w a G 9 z c G h h d G U s M j l 9 J n F 1 b 3 Q 7 L C Z x d W 9 0 O 1 N l Y 3 R p b 2 4 x L 1 R h Y m V s b G U x L 0 F 1 d G 9 S Z W 1 v d m V k Q 2 9 s d W 1 u c z E u e 1 V W I D M y O C w z M H 0 m c X V v d D s s J n F 1 b 3 Q 7 U 2 V j d G l v b j E v V G F i Z W x s Z T E v Q X V 0 b 1 J l b W 9 2 Z W R D b 2 x 1 b W 5 z M S 5 7 V X Z p b n V s I E E g U G x 1 c y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U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Y 3 M 2 I z N D E t Y W I 5 Z C 0 0 Y T g 2 L T h m N D E t O T R k N T N m Z G U x O T h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l b G x l M V 8 x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4 V D E 0 O j E y O j E z L j Q 4 M j c w N z J a I i A v P j x F b n R y e S B U e X B l P S J G a W x s Q 2 9 s d W 1 u V H l w Z X M i I F Z h b H V l P S J z Q l F V R 0 F B Q U F B Q V l B Q l F B Q U F B W U F C Z 1 l H Q m d B Q U F B Q U Z B Q V l B Q m d B R 0 F 3 W T 0 i I C 8 + P E V u d H J 5 I F R 5 c G U 9 I k Z p b G x D b 2 x 1 b W 5 O Y W 1 l c y I g V m F s d W U 9 I n N b J n F 1 b 3 Q 7 K C 0 p L U N v d G l u a W 5 l J n F 1 b 3 Q 7 L C Z x d W 9 0 O z E 3 z r E t R X R o a W 5 5 b G V z d H J h Z G l v b C Z x d W 9 0 O y w m c X V v d D s y L D J c d T A w M j c s M y w 0 L D R c d T A w M j c s N S w 1 X H U w M D I 3 L U h l c H R h Y 2 h s b 3 J v Y m l w a G V u e W w g K E J a I C M x O D A p J n F 1 b 3 Q 7 L C Z x d W 9 0 O z I s M l x 1 M D A y N y w z L D Q s N F x 1 M D A y N y w 1 X H U w M D I 3 L U h l e G F j a G x v c m 9 i a X B o Z W 5 5 b C A o Q l o g I z E z O C k m c X V v d D s s J n F 1 b 3 Q 7 M i w y X H U w M D I 3 L D Q s N F x 1 M D A y N y w 1 L D V c d T A w M j c t S G V 4 Y W N o b G 9 y b 2 J p c G h l b n l s I C h C W i A j M T U z K S Z x d W 9 0 O y w m c X V v d D t B Y 2 V u Y X B o d G h l b m U m c X V v d D s s J n F 1 b 3 Q 7 Q X Z v Y m V u e m 9 u Z S Z x d W 9 0 O y w m c X V v d D t C S E M t Y m V 0 Y S Z x d W 9 0 O y w m c X V v d D t D Y W Z m Z W l u Z S Z x d W 9 0 O y w m c X V v d D t D e X B l c m 1 l d G h y a W 4 m c X V v d D s s J n F 1 b 3 Q 7 R E R F L X A s c F x 1 M D A y N y Z x d W 9 0 O y w m c X V v d D t E R U h B I C h E a S g y L W V 0 a H l s a G V 4 e W w p I G F k a X B h d G U p J n F 1 b 3 Q 7 L C Z x d W 9 0 O 0 R J T k N I I C h E a W l z b 2 5 v b n l s I G h l e G F o e W R y b 3 B o d G h h b G F 0 Z S k m c X V v d D s s J n F 1 b 3 Q 7 R G l w a G V u e W x h b W l u Z S Z x d W 9 0 O y w m c X V v d D t E U E h Q I C h C a X M o M i 1 w c m 9 w e W x o Z X B 0 e W w p I H B o d G h h b G F 0 Z S k m c X V v d D s s J n F 1 b 3 Q 7 R U h T I C g y L U V 0 a H l s a G V 4 e W w g c 2 F s a W N 5 b G F 0 Z S k m c X V v d D s s J n F 1 b 3 Q 7 R X B v e G l j b 2 5 h e m 9 s Z S Z x d W 9 0 O y w m c X V v d D t F c 3 R y b 2 5 l J n F 1 b 3 Q 7 L C Z x d W 9 0 O 0 Z p c H J v b m l s J n F 1 b 3 Q 7 L C Z x d W 9 0 O 0 Z s d W R p b 3 h v b m l s J n F 1 b 3 Q 7 L C Z x d W 9 0 O 0 Z s d W 9 y Z W 5 l J n F 1 b 3 Q 7 L C Z x d W 9 0 O 0 d h b G F 4 b 2 x p Z G U m c X V v d D s s J n F 1 b 3 Q 7 T 0 M g K E 9 j d G 9 j c n l s Z W 5 l K S Z x d W 9 0 O y w m c X V v d D t P e H l i Z W 5 6 b 2 5 l J n F 1 b 3 Q 7 L C Z x d W 9 0 O 1 B o Z W 5 h b n R o c m V u Z S Z x d W 9 0 O y w m c X V v d D t U R E N Q U C Z x d W 9 0 O y w m c X V v d D t U Z W J 1 Y 2 9 u Y X p v b G U m c X V v d D s s J n F 1 b 3 Q 7 V G V 0 c m F j b 2 5 h e m 9 s Z S Z x d W 9 0 O y w m c X V v d D t U b 2 5 h b G l k I H N 1 b S Z x d W 9 0 O y w m c X V v d D t U c m l w a G V u e W w g c G h v c 3 B o Y X R l J n F 1 b 3 Q 7 L C Z x d W 9 0 O 1 V W I D M y O C Z x d W 9 0 O y w m c X V v d D t V d m l u d W w g Q S B Q b H V z J n F 1 b 3 Q 7 X S I g L z 4 8 R W 5 0 c n k g V H l w Z T 0 i R m l s b F N 0 Y X R 1 c y I g V m F s d W U 9 I n N D b 2 1 w b G V 0 Z S I g L z 4 8 R W 5 0 c n k g V H l w Z T 0 i R m l s b E N v d W 5 0 I i B W Y W x 1 Z T 0 i b D U 1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Z T E v Q X V 0 b 1 J l b W 9 2 Z W R D b 2 x 1 b W 5 z M S 5 7 K C 0 p L U N v d G l u a W 5 l L D B 9 J n F 1 b 3 Q 7 L C Z x d W 9 0 O 1 N l Y 3 R p b 2 4 x L 1 R h Y m V s b G U x L 0 F 1 d G 9 S Z W 1 v d m V k Q 2 9 s d W 1 u c z E u e z E 3 z r E t R X R o a W 5 5 b G V z d H J h Z G l v b C w x f S Z x d W 9 0 O y w m c X V v d D t T Z W N 0 a W 9 u M S 9 U Y W J l b G x l M S 9 B d X R v U m V t b 3 Z l Z E N v b H V t b n M x L n s y L D J c d T A w M j c s M y w 0 L D R c d T A w M j c s N S w 1 X H U w M D I 3 L U h l c H R h Y 2 h s b 3 J v Y m l w a G V u e W w g K E J a I C M x O D A p L D J 9 J n F 1 b 3 Q 7 L C Z x d W 9 0 O 1 N l Y 3 R p b 2 4 x L 1 R h Y m V s b G U x L 0 F 1 d G 9 S Z W 1 v d m V k Q 2 9 s d W 1 u c z E u e z I s M l x 1 M D A y N y w z L D Q s N F x 1 M D A y N y w 1 X H U w M D I 3 L U h l e G F j a G x v c m 9 i a X B o Z W 5 5 b C A o Q l o g I z E z O C k s M 3 0 m c X V v d D s s J n F 1 b 3 Q 7 U 2 V j d G l v b j E v V G F i Z W x s Z T E v Q X V 0 b 1 J l b W 9 2 Z W R D b 2 x 1 b W 5 z M S 5 7 M i w y X H U w M D I 3 L D Q s N F x 1 M D A y N y w 1 L D V c d T A w M j c t S G V 4 Y W N o b G 9 y b 2 J p c G h l b n l s I C h C W i A j M T U z K S w 0 f S Z x d W 9 0 O y w m c X V v d D t T Z W N 0 a W 9 u M S 9 U Y W J l b G x l M S 9 B d X R v U m V t b 3 Z l Z E N v b H V t b n M x L n t B Y 2 V u Y X B o d G h l b m U s N X 0 m c X V v d D s s J n F 1 b 3 Q 7 U 2 V j d G l v b j E v V G F i Z W x s Z T E v Q X V 0 b 1 J l b W 9 2 Z W R D b 2 x 1 b W 5 z M S 5 7 Q X Z v Y m V u e m 9 u Z S w 2 f S Z x d W 9 0 O y w m c X V v d D t T Z W N 0 a W 9 u M S 9 U Y W J l b G x l M S 9 B d X R v U m V t b 3 Z l Z E N v b H V t b n M x L n t C S E M t Y m V 0 Y S w 3 f S Z x d W 9 0 O y w m c X V v d D t T Z W N 0 a W 9 u M S 9 U Y W J l b G x l M S 9 B d X R v U m V t b 3 Z l Z E N v b H V t b n M x L n t D Y W Z m Z W l u Z S w 4 f S Z x d W 9 0 O y w m c X V v d D t T Z W N 0 a W 9 u M S 9 U Y W J l b G x l M S 9 B d X R v U m V t b 3 Z l Z E N v b H V t b n M x L n t D e X B l c m 1 l d G h y a W 4 s O X 0 m c X V v d D s s J n F 1 b 3 Q 7 U 2 V j d G l v b j E v V G F i Z W x s Z T E v Q X V 0 b 1 J l b W 9 2 Z W R D b 2 x 1 b W 5 z M S 5 7 R E R F L X A s c F x 1 M D A y N y w x M H 0 m c X V v d D s s J n F 1 b 3 Q 7 U 2 V j d G l v b j E v V G F i Z W x s Z T E v Q X V 0 b 1 J l b W 9 2 Z W R D b 2 x 1 b W 5 z M S 5 7 R E V I Q S A o R G k o M i 1 l d G h 5 b G h l e H l s K S B h Z G l w Y X R l K S w x M X 0 m c X V v d D s s J n F 1 b 3 Q 7 U 2 V j d G l v b j E v V G F i Z W x s Z T E v Q X V 0 b 1 J l b W 9 2 Z W R D b 2 x 1 b W 5 z M S 5 7 R E l O Q 0 g g K E R p a X N v b m 9 u e W w g a G V 4 Y W h 5 Z H J v c G h 0 a G F s Y X R l K S w x M n 0 m c X V v d D s s J n F 1 b 3 Q 7 U 2 V j d G l v b j E v V G F i Z W x s Z T E v Q X V 0 b 1 J l b W 9 2 Z W R D b 2 x 1 b W 5 z M S 5 7 R G l w a G V u e W x h b W l u Z S w x M 3 0 m c X V v d D s s J n F 1 b 3 Q 7 U 2 V j d G l v b j E v V G F i Z W x s Z T E v Q X V 0 b 1 J l b W 9 2 Z W R D b 2 x 1 b W 5 z M S 5 7 R F B I U C A o Q m l z K D I t c H J v c H l s a G V w d H l s K S B w a H R o Y W x h d G U p L D E 0 f S Z x d W 9 0 O y w m c X V v d D t T Z W N 0 a W 9 u M S 9 U Y W J l b G x l M S 9 B d X R v U m V t b 3 Z l Z E N v b H V t b n M x L n t F S F M g K D I t R X R o e W x o Z X h 5 b C B z Y W x p Y 3 l s Y X R l K S w x N X 0 m c X V v d D s s J n F 1 b 3 Q 7 U 2 V j d G l v b j E v V G F i Z W x s Z T E v Q X V 0 b 1 J l b W 9 2 Z W R D b 2 x 1 b W 5 z M S 5 7 R X B v e G l j b 2 5 h e m 9 s Z S w x N n 0 m c X V v d D s s J n F 1 b 3 Q 7 U 2 V j d G l v b j E v V G F i Z W x s Z T E v Q X V 0 b 1 J l b W 9 2 Z W R D b 2 x 1 b W 5 z M S 5 7 R X N 0 c m 9 u Z S w x N 3 0 m c X V v d D s s J n F 1 b 3 Q 7 U 2 V j d G l v b j E v V G F i Z W x s Z T E v Q X V 0 b 1 J l b W 9 2 Z W R D b 2 x 1 b W 5 z M S 5 7 R m l w c m 9 u a W w s M T h 9 J n F 1 b 3 Q 7 L C Z x d W 9 0 O 1 N l Y 3 R p b 2 4 x L 1 R h Y m V s b G U x L 0 F 1 d G 9 S Z W 1 v d m V k Q 2 9 s d W 1 u c z E u e 0 Z s d W R p b 3 h v b m l s L D E 5 f S Z x d W 9 0 O y w m c X V v d D t T Z W N 0 a W 9 u M S 9 U Y W J l b G x l M S 9 B d X R v U m V t b 3 Z l Z E N v b H V t b n M x L n t G b H V v c m V u Z S w y M H 0 m c X V v d D s s J n F 1 b 3 Q 7 U 2 V j d G l v b j E v V G F i Z W x s Z T E v Q X V 0 b 1 J l b W 9 2 Z W R D b 2 x 1 b W 5 z M S 5 7 R 2 F s Y X h v b G l k Z S w y M X 0 m c X V v d D s s J n F 1 b 3 Q 7 U 2 V j d G l v b j E v V G F i Z W x s Z T E v Q X V 0 b 1 J l b W 9 2 Z W R D b 2 x 1 b W 5 z M S 5 7 T 0 M g K E 9 j d G 9 j c n l s Z W 5 l K S w y M n 0 m c X V v d D s s J n F 1 b 3 Q 7 U 2 V j d G l v b j E v V G F i Z W x s Z T E v Q X V 0 b 1 J l b W 9 2 Z W R D b 2 x 1 b W 5 z M S 5 7 T 3 h 5 Y m V u e m 9 u Z S w y M 3 0 m c X V v d D s s J n F 1 b 3 Q 7 U 2 V j d G l v b j E v V G F i Z W x s Z T E v Q X V 0 b 1 J l b W 9 2 Z W R D b 2 x 1 b W 5 z M S 5 7 U G h l b m F u d G h y Z W 5 l L D I 0 f S Z x d W 9 0 O y w m c X V v d D t T Z W N 0 a W 9 u M S 9 U Y W J l b G x l M S 9 B d X R v U m V t b 3 Z l Z E N v b H V t b n M x L n t U R E N Q U C w y N X 0 m c X V v d D s s J n F 1 b 3 Q 7 U 2 V j d G l v b j E v V G F i Z W x s Z T E v Q X V 0 b 1 J l b W 9 2 Z W R D b 2 x 1 b W 5 z M S 5 7 V G V i d W N v b m F 6 b 2 x l L D I 2 f S Z x d W 9 0 O y w m c X V v d D t T Z W N 0 a W 9 u M S 9 U Y W J l b G x l M S 9 B d X R v U m V t b 3 Z l Z E N v b H V t b n M x L n t U Z X R y Y W N v b m F 6 b 2 x l L D I 3 f S Z x d W 9 0 O y w m c X V v d D t T Z W N 0 a W 9 u M S 9 U Y W J l b G x l M S 9 B d X R v U m V t b 3 Z l Z E N v b H V t b n M x L n t U b 2 5 h b G l k I H N 1 b S w y O H 0 m c X V v d D s s J n F 1 b 3 Q 7 U 2 V j d G l v b j E v V G F i Z W x s Z T E v Q X V 0 b 1 J l b W 9 2 Z W R D b 2 x 1 b W 5 z M S 5 7 V H J p c G h l b n l s I H B o b 3 N w a G F 0 Z S w y O X 0 m c X V v d D s s J n F 1 b 3 Q 7 U 2 V j d G l v b j E v V G F i Z W x s Z T E v Q X V 0 b 1 J l b W 9 2 Z W R D b 2 x 1 b W 5 z M S 5 7 V V Y g M z I 4 L D M w f S Z x d W 9 0 O y w m c X V v d D t T Z W N 0 a W 9 u M S 9 U Y W J l b G x l M S 9 B d X R v U m V t b 3 Z l Z E N v b H V t b n M x L n t V d m l u d W w g Q S B Q b H V z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G F i Z W x s Z T E v Q X V 0 b 1 J l b W 9 2 Z W R D b 2 x 1 b W 5 z M S 5 7 K C 0 p L U N v d G l u a W 5 l L D B 9 J n F 1 b 3 Q 7 L C Z x d W 9 0 O 1 N l Y 3 R p b 2 4 x L 1 R h Y m V s b G U x L 0 F 1 d G 9 S Z W 1 v d m V k Q 2 9 s d W 1 u c z E u e z E 3 z r E t R X R o a W 5 5 b G V z d H J h Z G l v b C w x f S Z x d W 9 0 O y w m c X V v d D t T Z W N 0 a W 9 u M S 9 U Y W J l b G x l M S 9 B d X R v U m V t b 3 Z l Z E N v b H V t b n M x L n s y L D J c d T A w M j c s M y w 0 L D R c d T A w M j c s N S w 1 X H U w M D I 3 L U h l c H R h Y 2 h s b 3 J v Y m l w a G V u e W w g K E J a I C M x O D A p L D J 9 J n F 1 b 3 Q 7 L C Z x d W 9 0 O 1 N l Y 3 R p b 2 4 x L 1 R h Y m V s b G U x L 0 F 1 d G 9 S Z W 1 v d m V k Q 2 9 s d W 1 u c z E u e z I s M l x 1 M D A y N y w z L D Q s N F x 1 M D A y N y w 1 X H U w M D I 3 L U h l e G F j a G x v c m 9 i a X B o Z W 5 5 b C A o Q l o g I z E z O C k s M 3 0 m c X V v d D s s J n F 1 b 3 Q 7 U 2 V j d G l v b j E v V G F i Z W x s Z T E v Q X V 0 b 1 J l b W 9 2 Z W R D b 2 x 1 b W 5 z M S 5 7 M i w y X H U w M D I 3 L D Q s N F x 1 M D A y N y w 1 L D V c d T A w M j c t S G V 4 Y W N o b G 9 y b 2 J p c G h l b n l s I C h C W i A j M T U z K S w 0 f S Z x d W 9 0 O y w m c X V v d D t T Z W N 0 a W 9 u M S 9 U Y W J l b G x l M S 9 B d X R v U m V t b 3 Z l Z E N v b H V t b n M x L n t B Y 2 V u Y X B o d G h l b m U s N X 0 m c X V v d D s s J n F 1 b 3 Q 7 U 2 V j d G l v b j E v V G F i Z W x s Z T E v Q X V 0 b 1 J l b W 9 2 Z W R D b 2 x 1 b W 5 z M S 5 7 Q X Z v Y m V u e m 9 u Z S w 2 f S Z x d W 9 0 O y w m c X V v d D t T Z W N 0 a W 9 u M S 9 U Y W J l b G x l M S 9 B d X R v U m V t b 3 Z l Z E N v b H V t b n M x L n t C S E M t Y m V 0 Y S w 3 f S Z x d W 9 0 O y w m c X V v d D t T Z W N 0 a W 9 u M S 9 U Y W J l b G x l M S 9 B d X R v U m V t b 3 Z l Z E N v b H V t b n M x L n t D Y W Z m Z W l u Z S w 4 f S Z x d W 9 0 O y w m c X V v d D t T Z W N 0 a W 9 u M S 9 U Y W J l b G x l M S 9 B d X R v U m V t b 3 Z l Z E N v b H V t b n M x L n t D e X B l c m 1 l d G h y a W 4 s O X 0 m c X V v d D s s J n F 1 b 3 Q 7 U 2 V j d G l v b j E v V G F i Z W x s Z T E v Q X V 0 b 1 J l b W 9 2 Z W R D b 2 x 1 b W 5 z M S 5 7 R E R F L X A s c F x 1 M D A y N y w x M H 0 m c X V v d D s s J n F 1 b 3 Q 7 U 2 V j d G l v b j E v V G F i Z W x s Z T E v Q X V 0 b 1 J l b W 9 2 Z W R D b 2 x 1 b W 5 z M S 5 7 R E V I Q S A o R G k o M i 1 l d G h 5 b G h l e H l s K S B h Z G l w Y X R l K S w x M X 0 m c X V v d D s s J n F 1 b 3 Q 7 U 2 V j d G l v b j E v V G F i Z W x s Z T E v Q X V 0 b 1 J l b W 9 2 Z W R D b 2 x 1 b W 5 z M S 5 7 R E l O Q 0 g g K E R p a X N v b m 9 u e W w g a G V 4 Y W h 5 Z H J v c G h 0 a G F s Y X R l K S w x M n 0 m c X V v d D s s J n F 1 b 3 Q 7 U 2 V j d G l v b j E v V G F i Z W x s Z T E v Q X V 0 b 1 J l b W 9 2 Z W R D b 2 x 1 b W 5 z M S 5 7 R G l w a G V u e W x h b W l u Z S w x M 3 0 m c X V v d D s s J n F 1 b 3 Q 7 U 2 V j d G l v b j E v V G F i Z W x s Z T E v Q X V 0 b 1 J l b W 9 2 Z W R D b 2 x 1 b W 5 z M S 5 7 R F B I U C A o Q m l z K D I t c H J v c H l s a G V w d H l s K S B w a H R o Y W x h d G U p L D E 0 f S Z x d W 9 0 O y w m c X V v d D t T Z W N 0 a W 9 u M S 9 U Y W J l b G x l M S 9 B d X R v U m V t b 3 Z l Z E N v b H V t b n M x L n t F S F M g K D I t R X R o e W x o Z X h 5 b C B z Y W x p Y 3 l s Y X R l K S w x N X 0 m c X V v d D s s J n F 1 b 3 Q 7 U 2 V j d G l v b j E v V G F i Z W x s Z T E v Q X V 0 b 1 J l b W 9 2 Z W R D b 2 x 1 b W 5 z M S 5 7 R X B v e G l j b 2 5 h e m 9 s Z S w x N n 0 m c X V v d D s s J n F 1 b 3 Q 7 U 2 V j d G l v b j E v V G F i Z W x s Z T E v Q X V 0 b 1 J l b W 9 2 Z W R D b 2 x 1 b W 5 z M S 5 7 R X N 0 c m 9 u Z S w x N 3 0 m c X V v d D s s J n F 1 b 3 Q 7 U 2 V j d G l v b j E v V G F i Z W x s Z T E v Q X V 0 b 1 J l b W 9 2 Z W R D b 2 x 1 b W 5 z M S 5 7 R m l w c m 9 u a W w s M T h 9 J n F 1 b 3 Q 7 L C Z x d W 9 0 O 1 N l Y 3 R p b 2 4 x L 1 R h Y m V s b G U x L 0 F 1 d G 9 S Z W 1 v d m V k Q 2 9 s d W 1 u c z E u e 0 Z s d W R p b 3 h v b m l s L D E 5 f S Z x d W 9 0 O y w m c X V v d D t T Z W N 0 a W 9 u M S 9 U Y W J l b G x l M S 9 B d X R v U m V t b 3 Z l Z E N v b H V t b n M x L n t G b H V v c m V u Z S w y M H 0 m c X V v d D s s J n F 1 b 3 Q 7 U 2 V j d G l v b j E v V G F i Z W x s Z T E v Q X V 0 b 1 J l b W 9 2 Z W R D b 2 x 1 b W 5 z M S 5 7 R 2 F s Y X h v b G l k Z S w y M X 0 m c X V v d D s s J n F 1 b 3 Q 7 U 2 V j d G l v b j E v V G F i Z W x s Z T E v Q X V 0 b 1 J l b W 9 2 Z W R D b 2 x 1 b W 5 z M S 5 7 T 0 M g K E 9 j d G 9 j c n l s Z W 5 l K S w y M n 0 m c X V v d D s s J n F 1 b 3 Q 7 U 2 V j d G l v b j E v V G F i Z W x s Z T E v Q X V 0 b 1 J l b W 9 2 Z W R D b 2 x 1 b W 5 z M S 5 7 T 3 h 5 Y m V u e m 9 u Z S w y M 3 0 m c X V v d D s s J n F 1 b 3 Q 7 U 2 V j d G l v b j E v V G F i Z W x s Z T E v Q X V 0 b 1 J l b W 9 2 Z W R D b 2 x 1 b W 5 z M S 5 7 U G h l b m F u d G h y Z W 5 l L D I 0 f S Z x d W 9 0 O y w m c X V v d D t T Z W N 0 a W 9 u M S 9 U Y W J l b G x l M S 9 B d X R v U m V t b 3 Z l Z E N v b H V t b n M x L n t U R E N Q U C w y N X 0 m c X V v d D s s J n F 1 b 3 Q 7 U 2 V j d G l v b j E v V G F i Z W x s Z T E v Q X V 0 b 1 J l b W 9 2 Z W R D b 2 x 1 b W 5 z M S 5 7 V G V i d W N v b m F 6 b 2 x l L D I 2 f S Z x d W 9 0 O y w m c X V v d D t T Z W N 0 a W 9 u M S 9 U Y W J l b G x l M S 9 B d X R v U m V t b 3 Z l Z E N v b H V t b n M x L n t U Z X R y Y W N v b m F 6 b 2 x l L D I 3 f S Z x d W 9 0 O y w m c X V v d D t T Z W N 0 a W 9 u M S 9 U Y W J l b G x l M S 9 B d X R v U m V t b 3 Z l Z E N v b H V t b n M x L n t U b 2 5 h b G l k I H N 1 b S w y O H 0 m c X V v d D s s J n F 1 b 3 Q 7 U 2 V j d G l v b j E v V G F i Z W x s Z T E v Q X V 0 b 1 J l b W 9 2 Z W R D b 2 x 1 b W 5 z M S 5 7 V H J p c G h l b n l s I H B o b 3 N w a G F 0 Z S w y O X 0 m c X V v d D s s J n F 1 b 3 Q 7 U 2 V j d G l v b j E v V G F i Z W x s Z T E v Q X V 0 b 1 J l b W 9 2 Z W R D b 2 x 1 b W 5 z M S 5 7 V V Y g M z I 4 L D M w f S Z x d W 9 0 O y w m c X V v d D t T Z W N 0 a W 9 u M S 9 U Y W J l b G x l M S 9 B d X R v U m V t b 3 Z l Z E N v b H V t b n M x L n t V d m l u d W w g Q S B Q b H V z L D M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s Z T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M i k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y K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G Z h Z G M 2 M C 0 4 M D I 2 L T Q z Y j g t Y m U 3 N i 1 k M m U 3 Y z k w N z g 4 Y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U x X z E 0 N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x M i 0 x O F Q x N D o x M j o x M y 4 0 O D I 3 M D c y W i I g L z 4 8 R W 5 0 c n k g V H l w Z T 0 i R m l s b E N v b H V t b l R 5 c G V z I i B W Y W x 1 Z T 0 i c 0 J R V U d B Q U F B Q U F Z Q U J R Q U F B Q V l B Q m d Z R 0 J n Q U F B Q U F G Q U F Z Q U J n Q U d B d 1 k 9 I i A v P j x F b n R y e S B U e X B l P S J G a W x s Q 2 9 s d W 1 u T m F t Z X M i I F Z h b H V l P S J z W y Z x d W 9 0 O y g t K S 1 D b 3 R p b m l u Z S Z x d W 9 0 O y w m c X V v d D s x N 8 6 x L U V 0 a G l u e W x l c 3 R y Y W R p b 2 w m c X V v d D s s J n F 1 b 3 Q 7 M i w y X H U w M D I 3 L D M s N C w 0 X H U w M D I 3 L D U s N V x 1 M D A y N y 1 I Z X B 0 Y W N o b G 9 y b 2 J p c G h l b n l s I C h C W i A j M T g w K S Z x d W 9 0 O y w m c X V v d D s y L D J c d T A w M j c s M y w 0 L D R c d T A w M j c s N V x 1 M D A y N y 1 I Z X h h Y 2 h s b 3 J v Y m l w a G V u e W w g K E J a I C M x M z g p J n F 1 b 3 Q 7 L C Z x d W 9 0 O z I s M l x 1 M D A y N y w 0 L D R c d T A w M j c s N S w 1 X H U w M D I 3 L U h l e G F j a G x v c m 9 i a X B o Z W 5 5 b C A o Q l o g I z E 1 M y k m c X V v d D s s J n F 1 b 3 Q 7 Q W N l b m F w a H R o Z W 5 l J n F 1 b 3 Q 7 L C Z x d W 9 0 O 0 F 2 b 2 J l b n p v b m U m c X V v d D s s J n F 1 b 3 Q 7 Q k h D L W J l d G E m c X V v d D s s J n F 1 b 3 Q 7 Q 2 F m Z m V p b m U m c X V v d D s s J n F 1 b 3 Q 7 Q 3 l w Z X J t Z X R o c m l u J n F 1 b 3 Q 7 L C Z x d W 9 0 O 0 R E R S 1 w L H B c d T A w M j c m c X V v d D s s J n F 1 b 3 Q 7 R E V I Q S A o R G k o M i 1 l d G h 5 b G h l e H l s K S B h Z G l w Y X R l K S Z x d W 9 0 O y w m c X V v d D t E S U 5 D S C A o R G l p c 2 9 u b 2 5 5 b C B o Z X h h a H l k c m 9 w a H R o Y W x h d G U p J n F 1 b 3 Q 7 L C Z x d W 9 0 O 0 R p c G h l b n l s Y W 1 p b m U m c X V v d D s s J n F 1 b 3 Q 7 R F B I U C A o Q m l z K D I t c H J v c H l s a G V w d H l s K S B w a H R o Y W x h d G U p J n F 1 b 3 Q 7 L C Z x d W 9 0 O 0 V I U y A o M i 1 F d G h 5 b G h l e H l s I H N h b G l j e W x h d G U p J n F 1 b 3 Q 7 L C Z x d W 9 0 O 0 V w b 3 h p Y 2 9 u Y X p v b G U m c X V v d D s s J n F 1 b 3 Q 7 R X N 0 c m 9 u Z S Z x d W 9 0 O y w m c X V v d D t G a X B y b 2 5 p b C Z x d W 9 0 O y w m c X V v d D t G b H V k a W 9 4 b 2 5 p b C Z x d W 9 0 O y w m c X V v d D t G b H V v c m V u Z S Z x d W 9 0 O y w m c X V v d D t H Y W x h e G 9 s a W R l J n F 1 b 3 Q 7 L C Z x d W 9 0 O 0 9 D I C h P Y 3 R v Y 3 J 5 b G V u Z S k m c X V v d D s s J n F 1 b 3 Q 7 T 3 h 5 Y m V u e m 9 u Z S Z x d W 9 0 O y w m c X V v d D t Q a G V u Y W 5 0 a H J l b m U m c X V v d D s s J n F 1 b 3 Q 7 V E R D U F A m c X V v d D s s J n F 1 b 3 Q 7 V G V i d W N v b m F 6 b 2 x l J n F 1 b 3 Q 7 L C Z x d W 9 0 O 1 R l d H J h Y 2 9 u Y X p v b G U m c X V v d D s s J n F 1 b 3 Q 7 V G 9 u Y W x p Z C B z d W 0 m c X V v d D s s J n F 1 b 3 Q 7 V H J p c G h l b n l s I H B o b 3 N w a G F 0 Z S Z x d W 9 0 O y w m c X V v d D t V V i A z M j g m c X V v d D s s J n F 1 b 3 Q 7 V X Z p b n V s I E E g U G x 1 c y Z x d W 9 0 O 1 0 i I C 8 + P E V u d H J 5 I F R 5 c G U 9 I k Z p b G x T d G F 0 d X M i I F Z h b H V l P S J z Q 2 9 t c G x l d G U i I C 8 + P E V u d H J 5 I F R 5 c G U 9 I k Z p b G x D b 3 V u d C I g V m F s d W U 9 I m w 1 N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Z T E v Q X V 0 b 1 J l b W 9 2 Z W R D b 2 x 1 b W 5 z M S 5 7 K C 0 p L U N v d G l u a W 5 l L D B 9 J n F 1 b 3 Q 7 L C Z x d W 9 0 O 1 N l Y 3 R p b 2 4 x L 1 R h Y m V s b G U x L 0 F 1 d G 9 S Z W 1 v d m V k Q 2 9 s d W 1 u c z E u e z E 3 z r E t R X R o a W 5 5 b G V z d H J h Z G l v b C w x f S Z x d W 9 0 O y w m c X V v d D t T Z W N 0 a W 9 u M S 9 U Y W J l b G x l M S 9 B d X R v U m V t b 3 Z l Z E N v b H V t b n M x L n s y L D J c d T A w M j c s M y w 0 L D R c d T A w M j c s N S w 1 X H U w M D I 3 L U h l c H R h Y 2 h s b 3 J v Y m l w a G V u e W w g K E J a I C M x O D A p L D J 9 J n F 1 b 3 Q 7 L C Z x d W 9 0 O 1 N l Y 3 R p b 2 4 x L 1 R h Y m V s b G U x L 0 F 1 d G 9 S Z W 1 v d m V k Q 2 9 s d W 1 u c z E u e z I s M l x 1 M D A y N y w z L D Q s N F x 1 M D A y N y w 1 X H U w M D I 3 L U h l e G F j a G x v c m 9 i a X B o Z W 5 5 b C A o Q l o g I z E z O C k s M 3 0 m c X V v d D s s J n F 1 b 3 Q 7 U 2 V j d G l v b j E v V G F i Z W x s Z T E v Q X V 0 b 1 J l b W 9 2 Z W R D b 2 x 1 b W 5 z M S 5 7 M i w y X H U w M D I 3 L D Q s N F x 1 M D A y N y w 1 L D V c d T A w M j c t S G V 4 Y W N o b G 9 y b 2 J p c G h l b n l s I C h C W i A j M T U z K S w 0 f S Z x d W 9 0 O y w m c X V v d D t T Z W N 0 a W 9 u M S 9 U Y W J l b G x l M S 9 B d X R v U m V t b 3 Z l Z E N v b H V t b n M x L n t B Y 2 V u Y X B o d G h l b m U s N X 0 m c X V v d D s s J n F 1 b 3 Q 7 U 2 V j d G l v b j E v V G F i Z W x s Z T E v Q X V 0 b 1 J l b W 9 2 Z W R D b 2 x 1 b W 5 z M S 5 7 Q X Z v Y m V u e m 9 u Z S w 2 f S Z x d W 9 0 O y w m c X V v d D t T Z W N 0 a W 9 u M S 9 U Y W J l b G x l M S 9 B d X R v U m V t b 3 Z l Z E N v b H V t b n M x L n t C S E M t Y m V 0 Y S w 3 f S Z x d W 9 0 O y w m c X V v d D t T Z W N 0 a W 9 u M S 9 U Y W J l b G x l M S 9 B d X R v U m V t b 3 Z l Z E N v b H V t b n M x L n t D Y W Z m Z W l u Z S w 4 f S Z x d W 9 0 O y w m c X V v d D t T Z W N 0 a W 9 u M S 9 U Y W J l b G x l M S 9 B d X R v U m V t b 3 Z l Z E N v b H V t b n M x L n t D e X B l c m 1 l d G h y a W 4 s O X 0 m c X V v d D s s J n F 1 b 3 Q 7 U 2 V j d G l v b j E v V G F i Z W x s Z T E v Q X V 0 b 1 J l b W 9 2 Z W R D b 2 x 1 b W 5 z M S 5 7 R E R F L X A s c F x 1 M D A y N y w x M H 0 m c X V v d D s s J n F 1 b 3 Q 7 U 2 V j d G l v b j E v V G F i Z W x s Z T E v Q X V 0 b 1 J l b W 9 2 Z W R D b 2 x 1 b W 5 z M S 5 7 R E V I Q S A o R G k o M i 1 l d G h 5 b G h l e H l s K S B h Z G l w Y X R l K S w x M X 0 m c X V v d D s s J n F 1 b 3 Q 7 U 2 V j d G l v b j E v V G F i Z W x s Z T E v Q X V 0 b 1 J l b W 9 2 Z W R D b 2 x 1 b W 5 z M S 5 7 R E l O Q 0 g g K E R p a X N v b m 9 u e W w g a G V 4 Y W h 5 Z H J v c G h 0 a G F s Y X R l K S w x M n 0 m c X V v d D s s J n F 1 b 3 Q 7 U 2 V j d G l v b j E v V G F i Z W x s Z T E v Q X V 0 b 1 J l b W 9 2 Z W R D b 2 x 1 b W 5 z M S 5 7 R G l w a G V u e W x h b W l u Z S w x M 3 0 m c X V v d D s s J n F 1 b 3 Q 7 U 2 V j d G l v b j E v V G F i Z W x s Z T E v Q X V 0 b 1 J l b W 9 2 Z W R D b 2 x 1 b W 5 z M S 5 7 R F B I U C A o Q m l z K D I t c H J v c H l s a G V w d H l s K S B w a H R o Y W x h d G U p L D E 0 f S Z x d W 9 0 O y w m c X V v d D t T Z W N 0 a W 9 u M S 9 U Y W J l b G x l M S 9 B d X R v U m V t b 3 Z l Z E N v b H V t b n M x L n t F S F M g K D I t R X R o e W x o Z X h 5 b C B z Y W x p Y 3 l s Y X R l K S w x N X 0 m c X V v d D s s J n F 1 b 3 Q 7 U 2 V j d G l v b j E v V G F i Z W x s Z T E v Q X V 0 b 1 J l b W 9 2 Z W R D b 2 x 1 b W 5 z M S 5 7 R X B v e G l j b 2 5 h e m 9 s Z S w x N n 0 m c X V v d D s s J n F 1 b 3 Q 7 U 2 V j d G l v b j E v V G F i Z W x s Z T E v Q X V 0 b 1 J l b W 9 2 Z W R D b 2 x 1 b W 5 z M S 5 7 R X N 0 c m 9 u Z S w x N 3 0 m c X V v d D s s J n F 1 b 3 Q 7 U 2 V j d G l v b j E v V G F i Z W x s Z T E v Q X V 0 b 1 J l b W 9 2 Z W R D b 2 x 1 b W 5 z M S 5 7 R m l w c m 9 u a W w s M T h 9 J n F 1 b 3 Q 7 L C Z x d W 9 0 O 1 N l Y 3 R p b 2 4 x L 1 R h Y m V s b G U x L 0 F 1 d G 9 S Z W 1 v d m V k Q 2 9 s d W 1 u c z E u e 0 Z s d W R p b 3 h v b m l s L D E 5 f S Z x d W 9 0 O y w m c X V v d D t T Z W N 0 a W 9 u M S 9 U Y W J l b G x l M S 9 B d X R v U m V t b 3 Z l Z E N v b H V t b n M x L n t G b H V v c m V u Z S w y M H 0 m c X V v d D s s J n F 1 b 3 Q 7 U 2 V j d G l v b j E v V G F i Z W x s Z T E v Q X V 0 b 1 J l b W 9 2 Z W R D b 2 x 1 b W 5 z M S 5 7 R 2 F s Y X h v b G l k Z S w y M X 0 m c X V v d D s s J n F 1 b 3 Q 7 U 2 V j d G l v b j E v V G F i Z W x s Z T E v Q X V 0 b 1 J l b W 9 2 Z W R D b 2 x 1 b W 5 z M S 5 7 T 0 M g K E 9 j d G 9 j c n l s Z W 5 l K S w y M n 0 m c X V v d D s s J n F 1 b 3 Q 7 U 2 V j d G l v b j E v V G F i Z W x s Z T E v Q X V 0 b 1 J l b W 9 2 Z W R D b 2 x 1 b W 5 z M S 5 7 T 3 h 5 Y m V u e m 9 u Z S w y M 3 0 m c X V v d D s s J n F 1 b 3 Q 7 U 2 V j d G l v b j E v V G F i Z W x s Z T E v Q X V 0 b 1 J l b W 9 2 Z W R D b 2 x 1 b W 5 z M S 5 7 U G h l b m F u d G h y Z W 5 l L D I 0 f S Z x d W 9 0 O y w m c X V v d D t T Z W N 0 a W 9 u M S 9 U Y W J l b G x l M S 9 B d X R v U m V t b 3 Z l Z E N v b H V t b n M x L n t U R E N Q U C w y N X 0 m c X V v d D s s J n F 1 b 3 Q 7 U 2 V j d G l v b j E v V G F i Z W x s Z T E v Q X V 0 b 1 J l b W 9 2 Z W R D b 2 x 1 b W 5 z M S 5 7 V G V i d W N v b m F 6 b 2 x l L D I 2 f S Z x d W 9 0 O y w m c X V v d D t T Z W N 0 a W 9 u M S 9 U Y W J l b G x l M S 9 B d X R v U m V t b 3 Z l Z E N v b H V t b n M x L n t U Z X R y Y W N v b m F 6 b 2 x l L D I 3 f S Z x d W 9 0 O y w m c X V v d D t T Z W N 0 a W 9 u M S 9 U Y W J l b G x l M S 9 B d X R v U m V t b 3 Z l Z E N v b H V t b n M x L n t U b 2 5 h b G l k I H N 1 b S w y O H 0 m c X V v d D s s J n F 1 b 3 Q 7 U 2 V j d G l v b j E v V G F i Z W x s Z T E v Q X V 0 b 1 J l b W 9 2 Z W R D b 2 x 1 b W 5 z M S 5 7 V H J p c G h l b n l s I H B o b 3 N w a G F 0 Z S w y O X 0 m c X V v d D s s J n F 1 b 3 Q 7 U 2 V j d G l v b j E v V G F i Z W x s Z T E v Q X V 0 b 1 J l b W 9 2 Z W R D b 2 x 1 b W 5 z M S 5 7 V V Y g M z I 4 L D M w f S Z x d W 9 0 O y w m c X V v d D t T Z W N 0 a W 9 u M S 9 U Y W J l b G x l M S 9 B d X R v U m V t b 3 Z l Z E N v b H V t b n M x L n t V d m l u d W w g Q S B Q b H V z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G F i Z W x s Z T E v Q X V 0 b 1 J l b W 9 2 Z W R D b 2 x 1 b W 5 z M S 5 7 K C 0 p L U N v d G l u a W 5 l L D B 9 J n F 1 b 3 Q 7 L C Z x d W 9 0 O 1 N l Y 3 R p b 2 4 x L 1 R h Y m V s b G U x L 0 F 1 d G 9 S Z W 1 v d m V k Q 2 9 s d W 1 u c z E u e z E 3 z r E t R X R o a W 5 5 b G V z d H J h Z G l v b C w x f S Z x d W 9 0 O y w m c X V v d D t T Z W N 0 a W 9 u M S 9 U Y W J l b G x l M S 9 B d X R v U m V t b 3 Z l Z E N v b H V t b n M x L n s y L D J c d T A w M j c s M y w 0 L D R c d T A w M j c s N S w 1 X H U w M D I 3 L U h l c H R h Y 2 h s b 3 J v Y m l w a G V u e W w g K E J a I C M x O D A p L D J 9 J n F 1 b 3 Q 7 L C Z x d W 9 0 O 1 N l Y 3 R p b 2 4 x L 1 R h Y m V s b G U x L 0 F 1 d G 9 S Z W 1 v d m V k Q 2 9 s d W 1 u c z E u e z I s M l x 1 M D A y N y w z L D Q s N F x 1 M D A y N y w 1 X H U w M D I 3 L U h l e G F j a G x v c m 9 i a X B o Z W 5 5 b C A o Q l o g I z E z O C k s M 3 0 m c X V v d D s s J n F 1 b 3 Q 7 U 2 V j d G l v b j E v V G F i Z W x s Z T E v Q X V 0 b 1 J l b W 9 2 Z W R D b 2 x 1 b W 5 z M S 5 7 M i w y X H U w M D I 3 L D Q s N F x 1 M D A y N y w 1 L D V c d T A w M j c t S G V 4 Y W N o b G 9 y b 2 J p c G h l b n l s I C h C W i A j M T U z K S w 0 f S Z x d W 9 0 O y w m c X V v d D t T Z W N 0 a W 9 u M S 9 U Y W J l b G x l M S 9 B d X R v U m V t b 3 Z l Z E N v b H V t b n M x L n t B Y 2 V u Y X B o d G h l b m U s N X 0 m c X V v d D s s J n F 1 b 3 Q 7 U 2 V j d G l v b j E v V G F i Z W x s Z T E v Q X V 0 b 1 J l b W 9 2 Z W R D b 2 x 1 b W 5 z M S 5 7 Q X Z v Y m V u e m 9 u Z S w 2 f S Z x d W 9 0 O y w m c X V v d D t T Z W N 0 a W 9 u M S 9 U Y W J l b G x l M S 9 B d X R v U m V t b 3 Z l Z E N v b H V t b n M x L n t C S E M t Y m V 0 Y S w 3 f S Z x d W 9 0 O y w m c X V v d D t T Z W N 0 a W 9 u M S 9 U Y W J l b G x l M S 9 B d X R v U m V t b 3 Z l Z E N v b H V t b n M x L n t D Y W Z m Z W l u Z S w 4 f S Z x d W 9 0 O y w m c X V v d D t T Z W N 0 a W 9 u M S 9 U Y W J l b G x l M S 9 B d X R v U m V t b 3 Z l Z E N v b H V t b n M x L n t D e X B l c m 1 l d G h y a W 4 s O X 0 m c X V v d D s s J n F 1 b 3 Q 7 U 2 V j d G l v b j E v V G F i Z W x s Z T E v Q X V 0 b 1 J l b W 9 2 Z W R D b 2 x 1 b W 5 z M S 5 7 R E R F L X A s c F x 1 M D A y N y w x M H 0 m c X V v d D s s J n F 1 b 3 Q 7 U 2 V j d G l v b j E v V G F i Z W x s Z T E v Q X V 0 b 1 J l b W 9 2 Z W R D b 2 x 1 b W 5 z M S 5 7 R E V I Q S A o R G k o M i 1 l d G h 5 b G h l e H l s K S B h Z G l w Y X R l K S w x M X 0 m c X V v d D s s J n F 1 b 3 Q 7 U 2 V j d G l v b j E v V G F i Z W x s Z T E v Q X V 0 b 1 J l b W 9 2 Z W R D b 2 x 1 b W 5 z M S 5 7 R E l O Q 0 g g K E R p a X N v b m 9 u e W w g a G V 4 Y W h 5 Z H J v c G h 0 a G F s Y X R l K S w x M n 0 m c X V v d D s s J n F 1 b 3 Q 7 U 2 V j d G l v b j E v V G F i Z W x s Z T E v Q X V 0 b 1 J l b W 9 2 Z W R D b 2 x 1 b W 5 z M S 5 7 R G l w a G V u e W x h b W l u Z S w x M 3 0 m c X V v d D s s J n F 1 b 3 Q 7 U 2 V j d G l v b j E v V G F i Z W x s Z T E v Q X V 0 b 1 J l b W 9 2 Z W R D b 2 x 1 b W 5 z M S 5 7 R F B I U C A o Q m l z K D I t c H J v c H l s a G V w d H l s K S B w a H R o Y W x h d G U p L D E 0 f S Z x d W 9 0 O y w m c X V v d D t T Z W N 0 a W 9 u M S 9 U Y W J l b G x l M S 9 B d X R v U m V t b 3 Z l Z E N v b H V t b n M x L n t F S F M g K D I t R X R o e W x o Z X h 5 b C B z Y W x p Y 3 l s Y X R l K S w x N X 0 m c X V v d D s s J n F 1 b 3 Q 7 U 2 V j d G l v b j E v V G F i Z W x s Z T E v Q X V 0 b 1 J l b W 9 2 Z W R D b 2 x 1 b W 5 z M S 5 7 R X B v e G l j b 2 5 h e m 9 s Z S w x N n 0 m c X V v d D s s J n F 1 b 3 Q 7 U 2 V j d G l v b j E v V G F i Z W x s Z T E v Q X V 0 b 1 J l b W 9 2 Z W R D b 2 x 1 b W 5 z M S 5 7 R X N 0 c m 9 u Z S w x N 3 0 m c X V v d D s s J n F 1 b 3 Q 7 U 2 V j d G l v b j E v V G F i Z W x s Z T E v Q X V 0 b 1 J l b W 9 2 Z W R D b 2 x 1 b W 5 z M S 5 7 R m l w c m 9 u a W w s M T h 9 J n F 1 b 3 Q 7 L C Z x d W 9 0 O 1 N l Y 3 R p b 2 4 x L 1 R h Y m V s b G U x L 0 F 1 d G 9 S Z W 1 v d m V k Q 2 9 s d W 1 u c z E u e 0 Z s d W R p b 3 h v b m l s L D E 5 f S Z x d W 9 0 O y w m c X V v d D t T Z W N 0 a W 9 u M S 9 U Y W J l b G x l M S 9 B d X R v U m V t b 3 Z l Z E N v b H V t b n M x L n t G b H V v c m V u Z S w y M H 0 m c X V v d D s s J n F 1 b 3 Q 7 U 2 V j d G l v b j E v V G F i Z W x s Z T E v Q X V 0 b 1 J l b W 9 2 Z W R D b 2 x 1 b W 5 z M S 5 7 R 2 F s Y X h v b G l k Z S w y M X 0 m c X V v d D s s J n F 1 b 3 Q 7 U 2 V j d G l v b j E v V G F i Z W x s Z T E v Q X V 0 b 1 J l b W 9 2 Z W R D b 2 x 1 b W 5 z M S 5 7 T 0 M g K E 9 j d G 9 j c n l s Z W 5 l K S w y M n 0 m c X V v d D s s J n F 1 b 3 Q 7 U 2 V j d G l v b j E v V G F i Z W x s Z T E v Q X V 0 b 1 J l b W 9 2 Z W R D b 2 x 1 b W 5 z M S 5 7 T 3 h 5 Y m V u e m 9 u Z S w y M 3 0 m c X V v d D s s J n F 1 b 3 Q 7 U 2 V j d G l v b j E v V G F i Z W x s Z T E v Q X V 0 b 1 J l b W 9 2 Z W R D b 2 x 1 b W 5 z M S 5 7 U G h l b m F u d G h y Z W 5 l L D I 0 f S Z x d W 9 0 O y w m c X V v d D t T Z W N 0 a W 9 u M S 9 U Y W J l b G x l M S 9 B d X R v U m V t b 3 Z l Z E N v b H V t b n M x L n t U R E N Q U C w y N X 0 m c X V v d D s s J n F 1 b 3 Q 7 U 2 V j d G l v b j E v V G F i Z W x s Z T E v Q X V 0 b 1 J l b W 9 2 Z W R D b 2 x 1 b W 5 z M S 5 7 V G V i d W N v b m F 6 b 2 x l L D I 2 f S Z x d W 9 0 O y w m c X V v d D t T Z W N 0 a W 9 u M S 9 U Y W J l b G x l M S 9 B d X R v U m V t b 3 Z l Z E N v b H V t b n M x L n t U Z X R y Y W N v b m F 6 b 2 x l L D I 3 f S Z x d W 9 0 O y w m c X V v d D t T Z W N 0 a W 9 u M S 9 U Y W J l b G x l M S 9 B d X R v U m V t b 3 Z l Z E N v b H V t b n M x L n t U b 2 5 h b G l k I H N 1 b S w y O H 0 m c X V v d D s s J n F 1 b 3 Q 7 U 2 V j d G l v b j E v V G F i Z W x s Z T E v Q X V 0 b 1 J l b W 9 2 Z W R D b 2 x 1 b W 5 z M S 5 7 V H J p c G h l b n l s I H B o b 3 N w a G F 0 Z S w y O X 0 m c X V v d D s s J n F 1 b 3 Q 7 U 2 V j d G l v b j E v V G F i Z W x s Z T E v Q X V 0 b 1 J l b W 9 2 Z W R D b 2 x 1 b W 5 z M S 5 7 V V Y g M z I 4 L D M w f S Z x d W 9 0 O y w m c X V v d D t T Z W N 0 a W 9 u M S 9 U Y W J l b G x l M S 9 B d X R v U m V t b 3 Z l Z E N v b H V t b n M x L n t V d m l u d W w g Q S B Q b H V z L D M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s Z T E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M y k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z K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T k x Y j E x Y y 1 h M T g 3 L T R m Y T A t O G I x Y S 0 3 N 2 E 4 O T M z O D c x N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U x X z E 2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h U M T Q 6 M T I 6 M T M u N D g y N z A 3 M l o i I C 8 + P E V u d H J 5 I F R 5 c G U 9 I k Z p b G x D b 2 x 1 b W 5 U e X B l c y I g V m F s d W U 9 I n N C U V V H Q U F B Q U F B W U F C U U F B Q U F Z Q U J n W U d C Z 0 F B Q U F B R k F B W U F C Z 0 F H Q X d Z P S I g L z 4 8 R W 5 0 c n k g V H l w Z T 0 i R m l s b E N v b H V t b k 5 h b W V z I i B W Y W x 1 Z T 0 i c 1 s m c X V v d D s o L S k t Q 2 9 0 a W 5 p b m U m c X V v d D s s J n F 1 b 3 Q 7 M T f O s S 1 F d G h p b n l s Z X N 0 c m F k a W 9 s J n F 1 b 3 Q 7 L C Z x d W 9 0 O z I s M l x 1 M D A y N y w z L D Q s N F x 1 M D A y N y w 1 L D V c d T A w M j c t S G V w d G F j a G x v c m 9 i a X B o Z W 5 5 b C A o Q l o g I z E 4 M C k m c X V v d D s s J n F 1 b 3 Q 7 M i w y X H U w M D I 3 L D M s N C w 0 X H U w M D I 3 L D V c d T A w M j c t S G V 4 Y W N o b G 9 y b 2 J p c G h l b n l s I C h C W i A j M T M 4 K S Z x d W 9 0 O y w m c X V v d D s y L D J c d T A w M j c s N C w 0 X H U w M D I 3 L D U s N V x 1 M D A y N y 1 I Z X h h Y 2 h s b 3 J v Y m l w a G V u e W w g K E J a I C M x N T M p J n F 1 b 3 Q 7 L C Z x d W 9 0 O 0 F j Z W 5 h c G h 0 a G V u Z S Z x d W 9 0 O y w m c X V v d D t B d m 9 i Z W 5 6 b 2 5 l J n F 1 b 3 Q 7 L C Z x d W 9 0 O 0 J I Q y 1 i Z X R h J n F 1 b 3 Q 7 L C Z x d W 9 0 O 0 N h Z m Z l a W 5 l J n F 1 b 3 Q 7 L C Z x d W 9 0 O 0 N 5 c G V y b W V 0 a H J p b i Z x d W 9 0 O y w m c X V v d D t E R E U t c C x w X H U w M D I 3 J n F 1 b 3 Q 7 L C Z x d W 9 0 O 0 R F S E E g K E R p K D I t Z X R o e W x o Z X h 5 b C k g Y W R p c G F 0 Z S k m c X V v d D s s J n F 1 b 3 Q 7 R E l O Q 0 g g K E R p a X N v b m 9 u e W w g a G V 4 Y W h 5 Z H J v c G h 0 a G F s Y X R l K S Z x d W 9 0 O y w m c X V v d D t E a X B o Z W 5 5 b G F t a W 5 l J n F 1 b 3 Q 7 L C Z x d W 9 0 O 0 R Q S F A g K E J p c y g y L X B y b 3 B 5 b G h l c H R 5 b C k g c G h 0 a G F s Y X R l K S Z x d W 9 0 O y w m c X V v d D t F S F M g K D I t R X R o e W x o Z X h 5 b C B z Y W x p Y 3 l s Y X R l K S Z x d W 9 0 O y w m c X V v d D t F c G 9 4 a W N v b m F 6 b 2 x l J n F 1 b 3 Q 7 L C Z x d W 9 0 O 0 V z d H J v b m U m c X V v d D s s J n F 1 b 3 Q 7 R m l w c m 9 u a W w m c X V v d D s s J n F 1 b 3 Q 7 R m x 1 Z G l v e G 9 u a W w m c X V v d D s s J n F 1 b 3 Q 7 R m x 1 b 3 J l b m U m c X V v d D s s J n F 1 b 3 Q 7 R 2 F s Y X h v b G l k Z S Z x d W 9 0 O y w m c X V v d D t P Q y A o T 2 N 0 b 2 N y e W x l b m U p J n F 1 b 3 Q 7 L C Z x d W 9 0 O 0 9 4 e W J l b n p v b m U m c X V v d D s s J n F 1 b 3 Q 7 U G h l b m F u d G h y Z W 5 l J n F 1 b 3 Q 7 L C Z x d W 9 0 O 1 R E Q 1 B Q J n F 1 b 3 Q 7 L C Z x d W 9 0 O 1 R l Y n V j b 2 5 h e m 9 s Z S Z x d W 9 0 O y w m c X V v d D t U Z X R y Y W N v b m F 6 b 2 x l J n F 1 b 3 Q 7 L C Z x d W 9 0 O 1 R v b m F s a W Q g c 3 V t J n F 1 b 3 Q 7 L C Z x d W 9 0 O 1 R y a X B o Z W 5 5 b C B w a G 9 z c G h h d G U m c X V v d D s s J n F 1 b 3 Q 7 V V Y g M z I 4 J n F 1 b 3 Q 7 L C Z x d W 9 0 O 1 V 2 a W 5 1 b C B B I F B s d X M m c X V v d D t d I i A v P j x F b n R y e S B U e X B l P S J G a W x s U 3 R h d H V z I i B W Y W x 1 Z T 0 i c 0 N v b X B s Z X R l I i A v P j x F b n R y e S B U e X B l P S J G a W x s Q 2 9 1 b n Q i I F Z h b H V l P S J s N T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S 9 B d X R v U m V t b 3 Z l Z E N v b H V t b n M x L n s o L S k t Q 2 9 0 a W 5 p b m U s M H 0 m c X V v d D s s J n F 1 b 3 Q 7 U 2 V j d G l v b j E v V G F i Z W x s Z T E v Q X V 0 b 1 J l b W 9 2 Z W R D b 2 x 1 b W 5 z M S 5 7 M T f O s S 1 F d G h p b n l s Z X N 0 c m F k a W 9 s L D F 9 J n F 1 b 3 Q 7 L C Z x d W 9 0 O 1 N l Y 3 R p b 2 4 x L 1 R h Y m V s b G U x L 0 F 1 d G 9 S Z W 1 v d m V k Q 2 9 s d W 1 u c z E u e z I s M l x 1 M D A y N y w z L D Q s N F x 1 M D A y N y w 1 L D V c d T A w M j c t S G V w d G F j a G x v c m 9 i a X B o Z W 5 5 b C A o Q l o g I z E 4 M C k s M n 0 m c X V v d D s s J n F 1 b 3 Q 7 U 2 V j d G l v b j E v V G F i Z W x s Z T E v Q X V 0 b 1 J l b W 9 2 Z W R D b 2 x 1 b W 5 z M S 5 7 M i w y X H U w M D I 3 L D M s N C w 0 X H U w M D I 3 L D V c d T A w M j c t S G V 4 Y W N o b G 9 y b 2 J p c G h l b n l s I C h C W i A j M T M 4 K S w z f S Z x d W 9 0 O y w m c X V v d D t T Z W N 0 a W 9 u M S 9 U Y W J l b G x l M S 9 B d X R v U m V t b 3 Z l Z E N v b H V t b n M x L n s y L D J c d T A w M j c s N C w 0 X H U w M D I 3 L D U s N V x 1 M D A y N y 1 I Z X h h Y 2 h s b 3 J v Y m l w a G V u e W w g K E J a I C M x N T M p L D R 9 J n F 1 b 3 Q 7 L C Z x d W 9 0 O 1 N l Y 3 R p b 2 4 x L 1 R h Y m V s b G U x L 0 F 1 d G 9 S Z W 1 v d m V k Q 2 9 s d W 1 u c z E u e 0 F j Z W 5 h c G h 0 a G V u Z S w 1 f S Z x d W 9 0 O y w m c X V v d D t T Z W N 0 a W 9 u M S 9 U Y W J l b G x l M S 9 B d X R v U m V t b 3 Z l Z E N v b H V t b n M x L n t B d m 9 i Z W 5 6 b 2 5 l L D Z 9 J n F 1 b 3 Q 7 L C Z x d W 9 0 O 1 N l Y 3 R p b 2 4 x L 1 R h Y m V s b G U x L 0 F 1 d G 9 S Z W 1 v d m V k Q 2 9 s d W 1 u c z E u e 0 J I Q y 1 i Z X R h L D d 9 J n F 1 b 3 Q 7 L C Z x d W 9 0 O 1 N l Y 3 R p b 2 4 x L 1 R h Y m V s b G U x L 0 F 1 d G 9 S Z W 1 v d m V k Q 2 9 s d W 1 u c z E u e 0 N h Z m Z l a W 5 l L D h 9 J n F 1 b 3 Q 7 L C Z x d W 9 0 O 1 N l Y 3 R p b 2 4 x L 1 R h Y m V s b G U x L 0 F 1 d G 9 S Z W 1 v d m V k Q 2 9 s d W 1 u c z E u e 0 N 5 c G V y b W V 0 a H J p b i w 5 f S Z x d W 9 0 O y w m c X V v d D t T Z W N 0 a W 9 u M S 9 U Y W J l b G x l M S 9 B d X R v U m V t b 3 Z l Z E N v b H V t b n M x L n t E R E U t c C x w X H U w M D I 3 L D E w f S Z x d W 9 0 O y w m c X V v d D t T Z W N 0 a W 9 u M S 9 U Y W J l b G x l M S 9 B d X R v U m V t b 3 Z l Z E N v b H V t b n M x L n t E R U h B I C h E a S g y L W V 0 a H l s a G V 4 e W w p I G F k a X B h d G U p L D E x f S Z x d W 9 0 O y w m c X V v d D t T Z W N 0 a W 9 u M S 9 U Y W J l b G x l M S 9 B d X R v U m V t b 3 Z l Z E N v b H V t b n M x L n t E S U 5 D S C A o R G l p c 2 9 u b 2 5 5 b C B o Z X h h a H l k c m 9 w a H R o Y W x h d G U p L D E y f S Z x d W 9 0 O y w m c X V v d D t T Z W N 0 a W 9 u M S 9 U Y W J l b G x l M S 9 B d X R v U m V t b 3 Z l Z E N v b H V t b n M x L n t E a X B o Z W 5 5 b G F t a W 5 l L D E z f S Z x d W 9 0 O y w m c X V v d D t T Z W N 0 a W 9 u M S 9 U Y W J l b G x l M S 9 B d X R v U m V t b 3 Z l Z E N v b H V t b n M x L n t E U E h Q I C h C a X M o M i 1 w c m 9 w e W x o Z X B 0 e W w p I H B o d G h h b G F 0 Z S k s M T R 9 J n F 1 b 3 Q 7 L C Z x d W 9 0 O 1 N l Y 3 R p b 2 4 x L 1 R h Y m V s b G U x L 0 F 1 d G 9 S Z W 1 v d m V k Q 2 9 s d W 1 u c z E u e 0 V I U y A o M i 1 F d G h 5 b G h l e H l s I H N h b G l j e W x h d G U p L D E 1 f S Z x d W 9 0 O y w m c X V v d D t T Z W N 0 a W 9 u M S 9 U Y W J l b G x l M S 9 B d X R v U m V t b 3 Z l Z E N v b H V t b n M x L n t F c G 9 4 a W N v b m F 6 b 2 x l L D E 2 f S Z x d W 9 0 O y w m c X V v d D t T Z W N 0 a W 9 u M S 9 U Y W J l b G x l M S 9 B d X R v U m V t b 3 Z l Z E N v b H V t b n M x L n t F c 3 R y b 2 5 l L D E 3 f S Z x d W 9 0 O y w m c X V v d D t T Z W N 0 a W 9 u M S 9 U Y W J l b G x l M S 9 B d X R v U m V t b 3 Z l Z E N v b H V t b n M x L n t G a X B y b 2 5 p b C w x O H 0 m c X V v d D s s J n F 1 b 3 Q 7 U 2 V j d G l v b j E v V G F i Z W x s Z T E v Q X V 0 b 1 J l b W 9 2 Z W R D b 2 x 1 b W 5 z M S 5 7 R m x 1 Z G l v e G 9 u a W w s M T l 9 J n F 1 b 3 Q 7 L C Z x d W 9 0 O 1 N l Y 3 R p b 2 4 x L 1 R h Y m V s b G U x L 0 F 1 d G 9 S Z W 1 v d m V k Q 2 9 s d W 1 u c z E u e 0 Z s d W 9 y Z W 5 l L D I w f S Z x d W 9 0 O y w m c X V v d D t T Z W N 0 a W 9 u M S 9 U Y W J l b G x l M S 9 B d X R v U m V t b 3 Z l Z E N v b H V t b n M x L n t H Y W x h e G 9 s a W R l L D I x f S Z x d W 9 0 O y w m c X V v d D t T Z W N 0 a W 9 u M S 9 U Y W J l b G x l M S 9 B d X R v U m V t b 3 Z l Z E N v b H V t b n M x L n t P Q y A o T 2 N 0 b 2 N y e W x l b m U p L D I y f S Z x d W 9 0 O y w m c X V v d D t T Z W N 0 a W 9 u M S 9 U Y W J l b G x l M S 9 B d X R v U m V t b 3 Z l Z E N v b H V t b n M x L n t P e H l i Z W 5 6 b 2 5 l L D I z f S Z x d W 9 0 O y w m c X V v d D t T Z W N 0 a W 9 u M S 9 U Y W J l b G x l M S 9 B d X R v U m V t b 3 Z l Z E N v b H V t b n M x L n t Q a G V u Y W 5 0 a H J l b m U s M j R 9 J n F 1 b 3 Q 7 L C Z x d W 9 0 O 1 N l Y 3 R p b 2 4 x L 1 R h Y m V s b G U x L 0 F 1 d G 9 S Z W 1 v d m V k Q 2 9 s d W 1 u c z E u e 1 R E Q 1 B Q L D I 1 f S Z x d W 9 0 O y w m c X V v d D t T Z W N 0 a W 9 u M S 9 U Y W J l b G x l M S 9 B d X R v U m V t b 3 Z l Z E N v b H V t b n M x L n t U Z W J 1 Y 2 9 u Y X p v b G U s M j Z 9 J n F 1 b 3 Q 7 L C Z x d W 9 0 O 1 N l Y 3 R p b 2 4 x L 1 R h Y m V s b G U x L 0 F 1 d G 9 S Z W 1 v d m V k Q 2 9 s d W 1 u c z E u e 1 R l d H J h Y 2 9 u Y X p v b G U s M j d 9 J n F 1 b 3 Q 7 L C Z x d W 9 0 O 1 N l Y 3 R p b 2 4 x L 1 R h Y m V s b G U x L 0 F 1 d G 9 S Z W 1 v d m V k Q 2 9 s d W 1 u c z E u e 1 R v b m F s a W Q g c 3 V t L D I 4 f S Z x d W 9 0 O y w m c X V v d D t T Z W N 0 a W 9 u M S 9 U Y W J l b G x l M S 9 B d X R v U m V t b 3 Z l Z E N v b H V t b n M x L n t U c m l w a G V u e W w g c G h v c 3 B o Y X R l L D I 5 f S Z x d W 9 0 O y w m c X V v d D t T Z W N 0 a W 9 u M S 9 U Y W J l b G x l M S 9 B d X R v U m V t b 3 Z l Z E N v b H V t b n M x L n t V V i A z M j g s M z B 9 J n F 1 b 3 Q 7 L C Z x d W 9 0 O 1 N l Y 3 R p b 2 4 x L 1 R h Y m V s b G U x L 0 F 1 d G 9 S Z W 1 v d m V k Q 2 9 s d W 1 u c z E u e 1 V 2 a W 5 1 b C B B I F B s d X M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U Y W J l b G x l M S 9 B d X R v U m V t b 3 Z l Z E N v b H V t b n M x L n s o L S k t Q 2 9 0 a W 5 p b m U s M H 0 m c X V v d D s s J n F 1 b 3 Q 7 U 2 V j d G l v b j E v V G F i Z W x s Z T E v Q X V 0 b 1 J l b W 9 2 Z W R D b 2 x 1 b W 5 z M S 5 7 M T f O s S 1 F d G h p b n l s Z X N 0 c m F k a W 9 s L D F 9 J n F 1 b 3 Q 7 L C Z x d W 9 0 O 1 N l Y 3 R p b 2 4 x L 1 R h Y m V s b G U x L 0 F 1 d G 9 S Z W 1 v d m V k Q 2 9 s d W 1 u c z E u e z I s M l x 1 M D A y N y w z L D Q s N F x 1 M D A y N y w 1 L D V c d T A w M j c t S G V w d G F j a G x v c m 9 i a X B o Z W 5 5 b C A o Q l o g I z E 4 M C k s M n 0 m c X V v d D s s J n F 1 b 3 Q 7 U 2 V j d G l v b j E v V G F i Z W x s Z T E v Q X V 0 b 1 J l b W 9 2 Z W R D b 2 x 1 b W 5 z M S 5 7 M i w y X H U w M D I 3 L D M s N C w 0 X H U w M D I 3 L D V c d T A w M j c t S G V 4 Y W N o b G 9 y b 2 J p c G h l b n l s I C h C W i A j M T M 4 K S w z f S Z x d W 9 0 O y w m c X V v d D t T Z W N 0 a W 9 u M S 9 U Y W J l b G x l M S 9 B d X R v U m V t b 3 Z l Z E N v b H V t b n M x L n s y L D J c d T A w M j c s N C w 0 X H U w M D I 3 L D U s N V x 1 M D A y N y 1 I Z X h h Y 2 h s b 3 J v Y m l w a G V u e W w g K E J a I C M x N T M p L D R 9 J n F 1 b 3 Q 7 L C Z x d W 9 0 O 1 N l Y 3 R p b 2 4 x L 1 R h Y m V s b G U x L 0 F 1 d G 9 S Z W 1 v d m V k Q 2 9 s d W 1 u c z E u e 0 F j Z W 5 h c G h 0 a G V u Z S w 1 f S Z x d W 9 0 O y w m c X V v d D t T Z W N 0 a W 9 u M S 9 U Y W J l b G x l M S 9 B d X R v U m V t b 3 Z l Z E N v b H V t b n M x L n t B d m 9 i Z W 5 6 b 2 5 l L D Z 9 J n F 1 b 3 Q 7 L C Z x d W 9 0 O 1 N l Y 3 R p b 2 4 x L 1 R h Y m V s b G U x L 0 F 1 d G 9 S Z W 1 v d m V k Q 2 9 s d W 1 u c z E u e 0 J I Q y 1 i Z X R h L D d 9 J n F 1 b 3 Q 7 L C Z x d W 9 0 O 1 N l Y 3 R p b 2 4 x L 1 R h Y m V s b G U x L 0 F 1 d G 9 S Z W 1 v d m V k Q 2 9 s d W 1 u c z E u e 0 N h Z m Z l a W 5 l L D h 9 J n F 1 b 3 Q 7 L C Z x d W 9 0 O 1 N l Y 3 R p b 2 4 x L 1 R h Y m V s b G U x L 0 F 1 d G 9 S Z W 1 v d m V k Q 2 9 s d W 1 u c z E u e 0 N 5 c G V y b W V 0 a H J p b i w 5 f S Z x d W 9 0 O y w m c X V v d D t T Z W N 0 a W 9 u M S 9 U Y W J l b G x l M S 9 B d X R v U m V t b 3 Z l Z E N v b H V t b n M x L n t E R E U t c C x w X H U w M D I 3 L D E w f S Z x d W 9 0 O y w m c X V v d D t T Z W N 0 a W 9 u M S 9 U Y W J l b G x l M S 9 B d X R v U m V t b 3 Z l Z E N v b H V t b n M x L n t E R U h B I C h E a S g y L W V 0 a H l s a G V 4 e W w p I G F k a X B h d G U p L D E x f S Z x d W 9 0 O y w m c X V v d D t T Z W N 0 a W 9 u M S 9 U Y W J l b G x l M S 9 B d X R v U m V t b 3 Z l Z E N v b H V t b n M x L n t E S U 5 D S C A o R G l p c 2 9 u b 2 5 5 b C B o Z X h h a H l k c m 9 w a H R o Y W x h d G U p L D E y f S Z x d W 9 0 O y w m c X V v d D t T Z W N 0 a W 9 u M S 9 U Y W J l b G x l M S 9 B d X R v U m V t b 3 Z l Z E N v b H V t b n M x L n t E a X B o Z W 5 5 b G F t a W 5 l L D E z f S Z x d W 9 0 O y w m c X V v d D t T Z W N 0 a W 9 u M S 9 U Y W J l b G x l M S 9 B d X R v U m V t b 3 Z l Z E N v b H V t b n M x L n t E U E h Q I C h C a X M o M i 1 w c m 9 w e W x o Z X B 0 e W w p I H B o d G h h b G F 0 Z S k s M T R 9 J n F 1 b 3 Q 7 L C Z x d W 9 0 O 1 N l Y 3 R p b 2 4 x L 1 R h Y m V s b G U x L 0 F 1 d G 9 S Z W 1 v d m V k Q 2 9 s d W 1 u c z E u e 0 V I U y A o M i 1 F d G h 5 b G h l e H l s I H N h b G l j e W x h d G U p L D E 1 f S Z x d W 9 0 O y w m c X V v d D t T Z W N 0 a W 9 u M S 9 U Y W J l b G x l M S 9 B d X R v U m V t b 3 Z l Z E N v b H V t b n M x L n t F c G 9 4 a W N v b m F 6 b 2 x l L D E 2 f S Z x d W 9 0 O y w m c X V v d D t T Z W N 0 a W 9 u M S 9 U Y W J l b G x l M S 9 B d X R v U m V t b 3 Z l Z E N v b H V t b n M x L n t F c 3 R y b 2 5 l L D E 3 f S Z x d W 9 0 O y w m c X V v d D t T Z W N 0 a W 9 u M S 9 U Y W J l b G x l M S 9 B d X R v U m V t b 3 Z l Z E N v b H V t b n M x L n t G a X B y b 2 5 p b C w x O H 0 m c X V v d D s s J n F 1 b 3 Q 7 U 2 V j d G l v b j E v V G F i Z W x s Z T E v Q X V 0 b 1 J l b W 9 2 Z W R D b 2 x 1 b W 5 z M S 5 7 R m x 1 Z G l v e G 9 u a W w s M T l 9 J n F 1 b 3 Q 7 L C Z x d W 9 0 O 1 N l Y 3 R p b 2 4 x L 1 R h Y m V s b G U x L 0 F 1 d G 9 S Z W 1 v d m V k Q 2 9 s d W 1 u c z E u e 0 Z s d W 9 y Z W 5 l L D I w f S Z x d W 9 0 O y w m c X V v d D t T Z W N 0 a W 9 u M S 9 U Y W J l b G x l M S 9 B d X R v U m V t b 3 Z l Z E N v b H V t b n M x L n t H Y W x h e G 9 s a W R l L D I x f S Z x d W 9 0 O y w m c X V v d D t T Z W N 0 a W 9 u M S 9 U Y W J l b G x l M S 9 B d X R v U m V t b 3 Z l Z E N v b H V t b n M x L n t P Q y A o T 2 N 0 b 2 N y e W x l b m U p L D I y f S Z x d W 9 0 O y w m c X V v d D t T Z W N 0 a W 9 u M S 9 U Y W J l b G x l M S 9 B d X R v U m V t b 3 Z l Z E N v b H V t b n M x L n t P e H l i Z W 5 6 b 2 5 l L D I z f S Z x d W 9 0 O y w m c X V v d D t T Z W N 0 a W 9 u M S 9 U Y W J l b G x l M S 9 B d X R v U m V t b 3 Z l Z E N v b H V t b n M x L n t Q a G V u Y W 5 0 a H J l b m U s M j R 9 J n F 1 b 3 Q 7 L C Z x d W 9 0 O 1 N l Y 3 R p b 2 4 x L 1 R h Y m V s b G U x L 0 F 1 d G 9 S Z W 1 v d m V k Q 2 9 s d W 1 u c z E u e 1 R E Q 1 B Q L D I 1 f S Z x d W 9 0 O y w m c X V v d D t T Z W N 0 a W 9 u M S 9 U Y W J l b G x l M S 9 B d X R v U m V t b 3 Z l Z E N v b H V t b n M x L n t U Z W J 1 Y 2 9 u Y X p v b G U s M j Z 9 J n F 1 b 3 Q 7 L C Z x d W 9 0 O 1 N l Y 3 R p b 2 4 x L 1 R h Y m V s b G U x L 0 F 1 d G 9 S Z W 1 v d m V k Q 2 9 s d W 1 u c z E u e 1 R l d H J h Y 2 9 u Y X p v b G U s M j d 9 J n F 1 b 3 Q 7 L C Z x d W 9 0 O 1 N l Y 3 R p b 2 4 x L 1 R h Y m V s b G U x L 0 F 1 d G 9 S Z W 1 v d m V k Q 2 9 s d W 1 u c z E u e 1 R v b m F s a W Q g c 3 V t L D I 4 f S Z x d W 9 0 O y w m c X V v d D t T Z W N 0 a W 9 u M S 9 U Y W J l b G x l M S 9 B d X R v U m V t b 3 Z l Z E N v b H V t b n M x L n t U c m l w a G V u e W w g c G h v c 3 B o Y X R l L D I 5 f S Z x d W 9 0 O y w m c X V v d D t T Z W N 0 a W 9 u M S 9 U Y W J l b G x l M S 9 B d X R v U m V t b 3 Z l Z E N v b H V t b n M x L n t V V i A z M j g s M z B 9 J n F 1 b 3 Q 7 L C Z x d W 9 0 O 1 N l Y 3 R p b 2 4 x L 1 R h Y m V s b G U x L 0 F 1 d G 9 S Z W 1 v d m V k Q 2 9 s d W 1 u c z E u e 1 V 2 a W 5 1 b C B B I F B s d X M s M z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x l M S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0 K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Q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Q p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h Z j I y M m M y L W E w Y W E t N G Y 2 N y 1 i N D A 5 L W V i N D A z O T E 0 Z T F l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Z W x s Z T F f M T Q 3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E y L T E 4 V D E 0 O j E y O j E z L j Q 4 M j c w N z J a I i A v P j x F b n R y e S B U e X B l P S J G a W x s Q 2 9 s d W 1 u V H l w Z X M i I F Z h b H V l P S J z Q l F V R 0 F B Q U F B Q V l B Q l F B Q U F B W U F C Z 1 l H Q m d B Q U F B Q U Z B Q V l B Q m d B R 0 F 3 W T 0 i I C 8 + P E V u d H J 5 I F R 5 c G U 9 I k Z p b G x D b 2 x 1 b W 5 O Y W 1 l c y I g V m F s d W U 9 I n N b J n F 1 b 3 Q 7 K C 0 p L U N v d G l u a W 5 l J n F 1 b 3 Q 7 L C Z x d W 9 0 O z E 3 z r E t R X R o a W 5 5 b G V z d H J h Z G l v b C Z x d W 9 0 O y w m c X V v d D s y L D J c d T A w M j c s M y w 0 L D R c d T A w M j c s N S w 1 X H U w M D I 3 L U h l c H R h Y 2 h s b 3 J v Y m l w a G V u e W w g K E J a I C M x O D A p J n F 1 b 3 Q 7 L C Z x d W 9 0 O z I s M l x 1 M D A y N y w z L D Q s N F x 1 M D A y N y w 1 X H U w M D I 3 L U h l e G F j a G x v c m 9 i a X B o Z W 5 5 b C A o Q l o g I z E z O C k m c X V v d D s s J n F 1 b 3 Q 7 M i w y X H U w M D I 3 L D Q s N F x 1 M D A y N y w 1 L D V c d T A w M j c t S G V 4 Y W N o b G 9 y b 2 J p c G h l b n l s I C h C W i A j M T U z K S Z x d W 9 0 O y w m c X V v d D t B Y 2 V u Y X B o d G h l b m U m c X V v d D s s J n F 1 b 3 Q 7 Q X Z v Y m V u e m 9 u Z S Z x d W 9 0 O y w m c X V v d D t C S E M t Y m V 0 Y S Z x d W 9 0 O y w m c X V v d D t D Y W Z m Z W l u Z S Z x d W 9 0 O y w m c X V v d D t D e X B l c m 1 l d G h y a W 4 m c X V v d D s s J n F 1 b 3 Q 7 R E R F L X A s c F x 1 M D A y N y Z x d W 9 0 O y w m c X V v d D t E R U h B I C h E a S g y L W V 0 a H l s a G V 4 e W w p I G F k a X B h d G U p J n F 1 b 3 Q 7 L C Z x d W 9 0 O 0 R J T k N I I C h E a W l z b 2 5 v b n l s I G h l e G F o e W R y b 3 B o d G h h b G F 0 Z S k m c X V v d D s s J n F 1 b 3 Q 7 R G l w a G V u e W x h b W l u Z S Z x d W 9 0 O y w m c X V v d D t E U E h Q I C h C a X M o M i 1 w c m 9 w e W x o Z X B 0 e W w p I H B o d G h h b G F 0 Z S k m c X V v d D s s J n F 1 b 3 Q 7 R U h T I C g y L U V 0 a H l s a G V 4 e W w g c 2 F s a W N 5 b G F 0 Z S k m c X V v d D s s J n F 1 b 3 Q 7 R X B v e G l j b 2 5 h e m 9 s Z S Z x d W 9 0 O y w m c X V v d D t F c 3 R y b 2 5 l J n F 1 b 3 Q 7 L C Z x d W 9 0 O 0 Z p c H J v b m l s J n F 1 b 3 Q 7 L C Z x d W 9 0 O 0 Z s d W R p b 3 h v b m l s J n F 1 b 3 Q 7 L C Z x d W 9 0 O 0 Z s d W 9 y Z W 5 l J n F 1 b 3 Q 7 L C Z x d W 9 0 O 0 d h b G F 4 b 2 x p Z G U m c X V v d D s s J n F 1 b 3 Q 7 T 0 M g K E 9 j d G 9 j c n l s Z W 5 l K S Z x d W 9 0 O y w m c X V v d D t P e H l i Z W 5 6 b 2 5 l J n F 1 b 3 Q 7 L C Z x d W 9 0 O 1 B o Z W 5 h b n R o c m V u Z S Z x d W 9 0 O y w m c X V v d D t U R E N Q U C Z x d W 9 0 O y w m c X V v d D t U Z W J 1 Y 2 9 u Y X p v b G U m c X V v d D s s J n F 1 b 3 Q 7 V G V 0 c m F j b 2 5 h e m 9 s Z S Z x d W 9 0 O y w m c X V v d D t U b 2 5 h b G l k I H N 1 b S Z x d W 9 0 O y w m c X V v d D t U c m l w a G V u e W w g c G h v c 3 B o Y X R l J n F 1 b 3 Q 7 L C Z x d W 9 0 O 1 V W I D M y O C Z x d W 9 0 O y w m c X V v d D t V d m l u d W w g Q S B Q b H V z J n F 1 b 3 Q 7 X S I g L z 4 8 R W 5 0 c n k g V H l w Z T 0 i R m l s b F N 0 Y X R 1 c y I g V m F s d W U 9 I n N D b 2 1 w b G V 0 Z S I g L z 4 8 R W 5 0 c n k g V H l w Z T 0 i R m l s b E N v d W 5 0 I i B W Y W x 1 Z T 0 i b D U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S 9 B d X R v U m V t b 3 Z l Z E N v b H V t b n M x L n s o L S k t Q 2 9 0 a W 5 p b m U s M H 0 m c X V v d D s s J n F 1 b 3 Q 7 U 2 V j d G l v b j E v V G F i Z W x s Z T E v Q X V 0 b 1 J l b W 9 2 Z W R D b 2 x 1 b W 5 z M S 5 7 M T f O s S 1 F d G h p b n l s Z X N 0 c m F k a W 9 s L D F 9 J n F 1 b 3 Q 7 L C Z x d W 9 0 O 1 N l Y 3 R p b 2 4 x L 1 R h Y m V s b G U x L 0 F 1 d G 9 S Z W 1 v d m V k Q 2 9 s d W 1 u c z E u e z I s M l x 1 M D A y N y w z L D Q s N F x 1 M D A y N y w 1 L D V c d T A w M j c t S G V w d G F j a G x v c m 9 i a X B o Z W 5 5 b C A o Q l o g I z E 4 M C k s M n 0 m c X V v d D s s J n F 1 b 3 Q 7 U 2 V j d G l v b j E v V G F i Z W x s Z T E v Q X V 0 b 1 J l b W 9 2 Z W R D b 2 x 1 b W 5 z M S 5 7 M i w y X H U w M D I 3 L D M s N C w 0 X H U w M D I 3 L D V c d T A w M j c t S G V 4 Y W N o b G 9 y b 2 J p c G h l b n l s I C h C W i A j M T M 4 K S w z f S Z x d W 9 0 O y w m c X V v d D t T Z W N 0 a W 9 u M S 9 U Y W J l b G x l M S 9 B d X R v U m V t b 3 Z l Z E N v b H V t b n M x L n s y L D J c d T A w M j c s N C w 0 X H U w M D I 3 L D U s N V x 1 M D A y N y 1 I Z X h h Y 2 h s b 3 J v Y m l w a G V u e W w g K E J a I C M x N T M p L D R 9 J n F 1 b 3 Q 7 L C Z x d W 9 0 O 1 N l Y 3 R p b 2 4 x L 1 R h Y m V s b G U x L 0 F 1 d G 9 S Z W 1 v d m V k Q 2 9 s d W 1 u c z E u e 0 F j Z W 5 h c G h 0 a G V u Z S w 1 f S Z x d W 9 0 O y w m c X V v d D t T Z W N 0 a W 9 u M S 9 U Y W J l b G x l M S 9 B d X R v U m V t b 3 Z l Z E N v b H V t b n M x L n t B d m 9 i Z W 5 6 b 2 5 l L D Z 9 J n F 1 b 3 Q 7 L C Z x d W 9 0 O 1 N l Y 3 R p b 2 4 x L 1 R h Y m V s b G U x L 0 F 1 d G 9 S Z W 1 v d m V k Q 2 9 s d W 1 u c z E u e 0 J I Q y 1 i Z X R h L D d 9 J n F 1 b 3 Q 7 L C Z x d W 9 0 O 1 N l Y 3 R p b 2 4 x L 1 R h Y m V s b G U x L 0 F 1 d G 9 S Z W 1 v d m V k Q 2 9 s d W 1 u c z E u e 0 N h Z m Z l a W 5 l L D h 9 J n F 1 b 3 Q 7 L C Z x d W 9 0 O 1 N l Y 3 R p b 2 4 x L 1 R h Y m V s b G U x L 0 F 1 d G 9 S Z W 1 v d m V k Q 2 9 s d W 1 u c z E u e 0 N 5 c G V y b W V 0 a H J p b i w 5 f S Z x d W 9 0 O y w m c X V v d D t T Z W N 0 a W 9 u M S 9 U Y W J l b G x l M S 9 B d X R v U m V t b 3 Z l Z E N v b H V t b n M x L n t E R E U t c C x w X H U w M D I 3 L D E w f S Z x d W 9 0 O y w m c X V v d D t T Z W N 0 a W 9 u M S 9 U Y W J l b G x l M S 9 B d X R v U m V t b 3 Z l Z E N v b H V t b n M x L n t E R U h B I C h E a S g y L W V 0 a H l s a G V 4 e W w p I G F k a X B h d G U p L D E x f S Z x d W 9 0 O y w m c X V v d D t T Z W N 0 a W 9 u M S 9 U Y W J l b G x l M S 9 B d X R v U m V t b 3 Z l Z E N v b H V t b n M x L n t E S U 5 D S C A o R G l p c 2 9 u b 2 5 5 b C B o Z X h h a H l k c m 9 w a H R o Y W x h d G U p L D E y f S Z x d W 9 0 O y w m c X V v d D t T Z W N 0 a W 9 u M S 9 U Y W J l b G x l M S 9 B d X R v U m V t b 3 Z l Z E N v b H V t b n M x L n t E a X B o Z W 5 5 b G F t a W 5 l L D E z f S Z x d W 9 0 O y w m c X V v d D t T Z W N 0 a W 9 u M S 9 U Y W J l b G x l M S 9 B d X R v U m V t b 3 Z l Z E N v b H V t b n M x L n t E U E h Q I C h C a X M o M i 1 w c m 9 w e W x o Z X B 0 e W w p I H B o d G h h b G F 0 Z S k s M T R 9 J n F 1 b 3 Q 7 L C Z x d W 9 0 O 1 N l Y 3 R p b 2 4 x L 1 R h Y m V s b G U x L 0 F 1 d G 9 S Z W 1 v d m V k Q 2 9 s d W 1 u c z E u e 0 V I U y A o M i 1 F d G h 5 b G h l e H l s I H N h b G l j e W x h d G U p L D E 1 f S Z x d W 9 0 O y w m c X V v d D t T Z W N 0 a W 9 u M S 9 U Y W J l b G x l M S 9 B d X R v U m V t b 3 Z l Z E N v b H V t b n M x L n t F c G 9 4 a W N v b m F 6 b 2 x l L D E 2 f S Z x d W 9 0 O y w m c X V v d D t T Z W N 0 a W 9 u M S 9 U Y W J l b G x l M S 9 B d X R v U m V t b 3 Z l Z E N v b H V t b n M x L n t F c 3 R y b 2 5 l L D E 3 f S Z x d W 9 0 O y w m c X V v d D t T Z W N 0 a W 9 u M S 9 U Y W J l b G x l M S 9 B d X R v U m V t b 3 Z l Z E N v b H V t b n M x L n t G a X B y b 2 5 p b C w x O H 0 m c X V v d D s s J n F 1 b 3 Q 7 U 2 V j d G l v b j E v V G F i Z W x s Z T E v Q X V 0 b 1 J l b W 9 2 Z W R D b 2 x 1 b W 5 z M S 5 7 R m x 1 Z G l v e G 9 u a W w s M T l 9 J n F 1 b 3 Q 7 L C Z x d W 9 0 O 1 N l Y 3 R p b 2 4 x L 1 R h Y m V s b G U x L 0 F 1 d G 9 S Z W 1 v d m V k Q 2 9 s d W 1 u c z E u e 0 Z s d W 9 y Z W 5 l L D I w f S Z x d W 9 0 O y w m c X V v d D t T Z W N 0 a W 9 u M S 9 U Y W J l b G x l M S 9 B d X R v U m V t b 3 Z l Z E N v b H V t b n M x L n t H Y W x h e G 9 s a W R l L D I x f S Z x d W 9 0 O y w m c X V v d D t T Z W N 0 a W 9 u M S 9 U Y W J l b G x l M S 9 B d X R v U m V t b 3 Z l Z E N v b H V t b n M x L n t P Q y A o T 2 N 0 b 2 N y e W x l b m U p L D I y f S Z x d W 9 0 O y w m c X V v d D t T Z W N 0 a W 9 u M S 9 U Y W J l b G x l M S 9 B d X R v U m V t b 3 Z l Z E N v b H V t b n M x L n t P e H l i Z W 5 6 b 2 5 l L D I z f S Z x d W 9 0 O y w m c X V v d D t T Z W N 0 a W 9 u M S 9 U Y W J l b G x l M S 9 B d X R v U m V t b 3 Z l Z E N v b H V t b n M x L n t Q a G V u Y W 5 0 a H J l b m U s M j R 9 J n F 1 b 3 Q 7 L C Z x d W 9 0 O 1 N l Y 3 R p b 2 4 x L 1 R h Y m V s b G U x L 0 F 1 d G 9 S Z W 1 v d m V k Q 2 9 s d W 1 u c z E u e 1 R E Q 1 B Q L D I 1 f S Z x d W 9 0 O y w m c X V v d D t T Z W N 0 a W 9 u M S 9 U Y W J l b G x l M S 9 B d X R v U m V t b 3 Z l Z E N v b H V t b n M x L n t U Z W J 1 Y 2 9 u Y X p v b G U s M j Z 9 J n F 1 b 3 Q 7 L C Z x d W 9 0 O 1 N l Y 3 R p b 2 4 x L 1 R h Y m V s b G U x L 0 F 1 d G 9 S Z W 1 v d m V k Q 2 9 s d W 1 u c z E u e 1 R l d H J h Y 2 9 u Y X p v b G U s M j d 9 J n F 1 b 3 Q 7 L C Z x d W 9 0 O 1 N l Y 3 R p b 2 4 x L 1 R h Y m V s b G U x L 0 F 1 d G 9 S Z W 1 v d m V k Q 2 9 s d W 1 u c z E u e 1 R v b m F s a W Q g c 3 V t L D I 4 f S Z x d W 9 0 O y w m c X V v d D t T Z W N 0 a W 9 u M S 9 U Y W J l b G x l M S 9 B d X R v U m V t b 3 Z l Z E N v b H V t b n M x L n t U c m l w a G V u e W w g c G h v c 3 B o Y X R l L D I 5 f S Z x d W 9 0 O y w m c X V v d D t T Z W N 0 a W 9 u M S 9 U Y W J l b G x l M S 9 B d X R v U m V t b 3 Z l Z E N v b H V t b n M x L n t V V i A z M j g s M z B 9 J n F 1 b 3 Q 7 L C Z x d W 9 0 O 1 N l Y 3 R p b 2 4 x L 1 R h Y m V s b G U x L 0 F 1 d G 9 S Z W 1 v d m V k Q 2 9 s d W 1 u c z E u e 1 V 2 a W 5 1 b C B B I F B s d X M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U Y W J l b G x l M S 9 B d X R v U m V t b 3 Z l Z E N v b H V t b n M x L n s o L S k t Q 2 9 0 a W 5 p b m U s M H 0 m c X V v d D s s J n F 1 b 3 Q 7 U 2 V j d G l v b j E v V G F i Z W x s Z T E v Q X V 0 b 1 J l b W 9 2 Z W R D b 2 x 1 b W 5 z M S 5 7 M T f O s S 1 F d G h p b n l s Z X N 0 c m F k a W 9 s L D F 9 J n F 1 b 3 Q 7 L C Z x d W 9 0 O 1 N l Y 3 R p b 2 4 x L 1 R h Y m V s b G U x L 0 F 1 d G 9 S Z W 1 v d m V k Q 2 9 s d W 1 u c z E u e z I s M l x 1 M D A y N y w z L D Q s N F x 1 M D A y N y w 1 L D V c d T A w M j c t S G V w d G F j a G x v c m 9 i a X B o Z W 5 5 b C A o Q l o g I z E 4 M C k s M n 0 m c X V v d D s s J n F 1 b 3 Q 7 U 2 V j d G l v b j E v V G F i Z W x s Z T E v Q X V 0 b 1 J l b W 9 2 Z W R D b 2 x 1 b W 5 z M S 5 7 M i w y X H U w M D I 3 L D M s N C w 0 X H U w M D I 3 L D V c d T A w M j c t S G V 4 Y W N o b G 9 y b 2 J p c G h l b n l s I C h C W i A j M T M 4 K S w z f S Z x d W 9 0 O y w m c X V v d D t T Z W N 0 a W 9 u M S 9 U Y W J l b G x l M S 9 B d X R v U m V t b 3 Z l Z E N v b H V t b n M x L n s y L D J c d T A w M j c s N C w 0 X H U w M D I 3 L D U s N V x 1 M D A y N y 1 I Z X h h Y 2 h s b 3 J v Y m l w a G V u e W w g K E J a I C M x N T M p L D R 9 J n F 1 b 3 Q 7 L C Z x d W 9 0 O 1 N l Y 3 R p b 2 4 x L 1 R h Y m V s b G U x L 0 F 1 d G 9 S Z W 1 v d m V k Q 2 9 s d W 1 u c z E u e 0 F j Z W 5 h c G h 0 a G V u Z S w 1 f S Z x d W 9 0 O y w m c X V v d D t T Z W N 0 a W 9 u M S 9 U Y W J l b G x l M S 9 B d X R v U m V t b 3 Z l Z E N v b H V t b n M x L n t B d m 9 i Z W 5 6 b 2 5 l L D Z 9 J n F 1 b 3 Q 7 L C Z x d W 9 0 O 1 N l Y 3 R p b 2 4 x L 1 R h Y m V s b G U x L 0 F 1 d G 9 S Z W 1 v d m V k Q 2 9 s d W 1 u c z E u e 0 J I Q y 1 i Z X R h L D d 9 J n F 1 b 3 Q 7 L C Z x d W 9 0 O 1 N l Y 3 R p b 2 4 x L 1 R h Y m V s b G U x L 0 F 1 d G 9 S Z W 1 v d m V k Q 2 9 s d W 1 u c z E u e 0 N h Z m Z l a W 5 l L D h 9 J n F 1 b 3 Q 7 L C Z x d W 9 0 O 1 N l Y 3 R p b 2 4 x L 1 R h Y m V s b G U x L 0 F 1 d G 9 S Z W 1 v d m V k Q 2 9 s d W 1 u c z E u e 0 N 5 c G V y b W V 0 a H J p b i w 5 f S Z x d W 9 0 O y w m c X V v d D t T Z W N 0 a W 9 u M S 9 U Y W J l b G x l M S 9 B d X R v U m V t b 3 Z l Z E N v b H V t b n M x L n t E R E U t c C x w X H U w M D I 3 L D E w f S Z x d W 9 0 O y w m c X V v d D t T Z W N 0 a W 9 u M S 9 U Y W J l b G x l M S 9 B d X R v U m V t b 3 Z l Z E N v b H V t b n M x L n t E R U h B I C h E a S g y L W V 0 a H l s a G V 4 e W w p I G F k a X B h d G U p L D E x f S Z x d W 9 0 O y w m c X V v d D t T Z W N 0 a W 9 u M S 9 U Y W J l b G x l M S 9 B d X R v U m V t b 3 Z l Z E N v b H V t b n M x L n t E S U 5 D S C A o R G l p c 2 9 u b 2 5 5 b C B o Z X h h a H l k c m 9 w a H R o Y W x h d G U p L D E y f S Z x d W 9 0 O y w m c X V v d D t T Z W N 0 a W 9 u M S 9 U Y W J l b G x l M S 9 B d X R v U m V t b 3 Z l Z E N v b H V t b n M x L n t E a X B o Z W 5 5 b G F t a W 5 l L D E z f S Z x d W 9 0 O y w m c X V v d D t T Z W N 0 a W 9 u M S 9 U Y W J l b G x l M S 9 B d X R v U m V t b 3 Z l Z E N v b H V t b n M x L n t E U E h Q I C h C a X M o M i 1 w c m 9 w e W x o Z X B 0 e W w p I H B o d G h h b G F 0 Z S k s M T R 9 J n F 1 b 3 Q 7 L C Z x d W 9 0 O 1 N l Y 3 R p b 2 4 x L 1 R h Y m V s b G U x L 0 F 1 d G 9 S Z W 1 v d m V k Q 2 9 s d W 1 u c z E u e 0 V I U y A o M i 1 F d G h 5 b G h l e H l s I H N h b G l j e W x h d G U p L D E 1 f S Z x d W 9 0 O y w m c X V v d D t T Z W N 0 a W 9 u M S 9 U Y W J l b G x l M S 9 B d X R v U m V t b 3 Z l Z E N v b H V t b n M x L n t F c G 9 4 a W N v b m F 6 b 2 x l L D E 2 f S Z x d W 9 0 O y w m c X V v d D t T Z W N 0 a W 9 u M S 9 U Y W J l b G x l M S 9 B d X R v U m V t b 3 Z l Z E N v b H V t b n M x L n t F c 3 R y b 2 5 l L D E 3 f S Z x d W 9 0 O y w m c X V v d D t T Z W N 0 a W 9 u M S 9 U Y W J l b G x l M S 9 B d X R v U m V t b 3 Z l Z E N v b H V t b n M x L n t G a X B y b 2 5 p b C w x O H 0 m c X V v d D s s J n F 1 b 3 Q 7 U 2 V j d G l v b j E v V G F i Z W x s Z T E v Q X V 0 b 1 J l b W 9 2 Z W R D b 2 x 1 b W 5 z M S 5 7 R m x 1 Z G l v e G 9 u a W w s M T l 9 J n F 1 b 3 Q 7 L C Z x d W 9 0 O 1 N l Y 3 R p b 2 4 x L 1 R h Y m V s b G U x L 0 F 1 d G 9 S Z W 1 v d m V k Q 2 9 s d W 1 u c z E u e 0 Z s d W 9 y Z W 5 l L D I w f S Z x d W 9 0 O y w m c X V v d D t T Z W N 0 a W 9 u M S 9 U Y W J l b G x l M S 9 B d X R v U m V t b 3 Z l Z E N v b H V t b n M x L n t H Y W x h e G 9 s a W R l L D I x f S Z x d W 9 0 O y w m c X V v d D t T Z W N 0 a W 9 u M S 9 U Y W J l b G x l M S 9 B d X R v U m V t b 3 Z l Z E N v b H V t b n M x L n t P Q y A o T 2 N 0 b 2 N y e W x l b m U p L D I y f S Z x d W 9 0 O y w m c X V v d D t T Z W N 0 a W 9 u M S 9 U Y W J l b G x l M S 9 B d X R v U m V t b 3 Z l Z E N v b H V t b n M x L n t P e H l i Z W 5 6 b 2 5 l L D I z f S Z x d W 9 0 O y w m c X V v d D t T Z W N 0 a W 9 u M S 9 U Y W J l b G x l M S 9 B d X R v U m V t b 3 Z l Z E N v b H V t b n M x L n t Q a G V u Y W 5 0 a H J l b m U s M j R 9 J n F 1 b 3 Q 7 L C Z x d W 9 0 O 1 N l Y 3 R p b 2 4 x L 1 R h Y m V s b G U x L 0 F 1 d G 9 S Z W 1 v d m V k Q 2 9 s d W 1 u c z E u e 1 R E Q 1 B Q L D I 1 f S Z x d W 9 0 O y w m c X V v d D t T Z W N 0 a W 9 u M S 9 U Y W J l b G x l M S 9 B d X R v U m V t b 3 Z l Z E N v b H V t b n M x L n t U Z W J 1 Y 2 9 u Y X p v b G U s M j Z 9 J n F 1 b 3 Q 7 L C Z x d W 9 0 O 1 N l Y 3 R p b 2 4 x L 1 R h Y m V s b G U x L 0 F 1 d G 9 S Z W 1 v d m V k Q 2 9 s d W 1 u c z E u e 1 R l d H J h Y 2 9 u Y X p v b G U s M j d 9 J n F 1 b 3 Q 7 L C Z x d W 9 0 O 1 N l Y 3 R p b 2 4 x L 1 R h Y m V s b G U x L 0 F 1 d G 9 S Z W 1 v d m V k Q 2 9 s d W 1 u c z E u e 1 R v b m F s a W Q g c 3 V t L D I 4 f S Z x d W 9 0 O y w m c X V v d D t T Z W N 0 a W 9 u M S 9 U Y W J l b G x l M S 9 B d X R v U m V t b 3 Z l Z E N v b H V t b n M x L n t U c m l w a G V u e W w g c G h v c 3 B o Y X R l L D I 5 f S Z x d W 9 0 O y w m c X V v d D t T Z W N 0 a W 9 u M S 9 U Y W J l b G x l M S 9 B d X R v U m V t b 3 Z l Z E N v b H V t b n M x L n t V V i A z M j g s M z B 9 J n F 1 b 3 Q 7 L C Z x d W 9 0 O 1 N l Y 3 R p b 2 4 x L 1 R h Y m V s b G U x L 0 F 1 d G 9 S Z W 1 v d m V k Q 2 9 s d W 1 u c z E u e 1 V 2 a W 5 1 b C B B I F B s d X M s M z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x l M S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1 K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U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U p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5 Y j k 2 N D B l L T J l N 2 I t N D c 5 N S 0 4 N D E w L T B k O T U 4 Y 2 I y N D Z i Z i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s Z T F f M T g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O F Q x N D o x M j o x M y 4 0 O D I 3 M D c y W i I g L z 4 8 R W 5 0 c n k g V H l w Z T 0 i R m l s b E N v b H V t b l R 5 c G V z I i B W Y W x 1 Z T 0 i c 0 J R V U d B Q U F B Q U F Z Q U J R Q U F B Q V l B Q m d Z R 0 J n Q U F B Q U F G Q U F Z Q U J n Q U d B d 1 k 9 I i A v P j x F b n R y e S B U e X B l P S J G a W x s Q 2 9 s d W 1 u T m F t Z X M i I F Z h b H V l P S J z W y Z x d W 9 0 O y g t K S 1 D b 3 R p b m l u Z S Z x d W 9 0 O y w m c X V v d D s x N 8 6 x L U V 0 a G l u e W x l c 3 R y Y W R p b 2 w m c X V v d D s s J n F 1 b 3 Q 7 M i w y X H U w M D I 3 L D M s N C w 0 X H U w M D I 3 L D U s N V x 1 M D A y N y 1 I Z X B 0 Y W N o b G 9 y b 2 J p c G h l b n l s I C h C W i A j M T g w K S Z x d W 9 0 O y w m c X V v d D s y L D J c d T A w M j c s M y w 0 L D R c d T A w M j c s N V x 1 M D A y N y 1 I Z X h h Y 2 h s b 3 J v Y m l w a G V u e W w g K E J a I C M x M z g p J n F 1 b 3 Q 7 L C Z x d W 9 0 O z I s M l x 1 M D A y N y w 0 L D R c d T A w M j c s N S w 1 X H U w M D I 3 L U h l e G F j a G x v c m 9 i a X B o Z W 5 5 b C A o Q l o g I z E 1 M y k m c X V v d D s s J n F 1 b 3 Q 7 Q W N l b m F w a H R o Z W 5 l J n F 1 b 3 Q 7 L C Z x d W 9 0 O 0 F 2 b 2 J l b n p v b m U m c X V v d D s s J n F 1 b 3 Q 7 Q k h D L W J l d G E m c X V v d D s s J n F 1 b 3 Q 7 Q 2 F m Z m V p b m U m c X V v d D s s J n F 1 b 3 Q 7 Q 3 l w Z X J t Z X R o c m l u J n F 1 b 3 Q 7 L C Z x d W 9 0 O 0 R E R S 1 w L H B c d T A w M j c m c X V v d D s s J n F 1 b 3 Q 7 R E V I Q S A o R G k o M i 1 l d G h 5 b G h l e H l s K S B h Z G l w Y X R l K S Z x d W 9 0 O y w m c X V v d D t E S U 5 D S C A o R G l p c 2 9 u b 2 5 5 b C B o Z X h h a H l k c m 9 w a H R o Y W x h d G U p J n F 1 b 3 Q 7 L C Z x d W 9 0 O 0 R p c G h l b n l s Y W 1 p b m U m c X V v d D s s J n F 1 b 3 Q 7 R F B I U C A o Q m l z K D I t c H J v c H l s a G V w d H l s K S B w a H R o Y W x h d G U p J n F 1 b 3 Q 7 L C Z x d W 9 0 O 0 V I U y A o M i 1 F d G h 5 b G h l e H l s I H N h b G l j e W x h d G U p J n F 1 b 3 Q 7 L C Z x d W 9 0 O 0 V w b 3 h p Y 2 9 u Y X p v b G U m c X V v d D s s J n F 1 b 3 Q 7 R X N 0 c m 9 u Z S Z x d W 9 0 O y w m c X V v d D t G a X B y b 2 5 p b C Z x d W 9 0 O y w m c X V v d D t G b H V k a W 9 4 b 2 5 p b C Z x d W 9 0 O y w m c X V v d D t G b H V v c m V u Z S Z x d W 9 0 O y w m c X V v d D t H Y W x h e G 9 s a W R l J n F 1 b 3 Q 7 L C Z x d W 9 0 O 0 9 D I C h P Y 3 R v Y 3 J 5 b G V u Z S k m c X V v d D s s J n F 1 b 3 Q 7 T 3 h 5 Y m V u e m 9 u Z S Z x d W 9 0 O y w m c X V v d D t Q a G V u Y W 5 0 a H J l b m U m c X V v d D s s J n F 1 b 3 Q 7 V E R D U F A m c X V v d D s s J n F 1 b 3 Q 7 V G V i d W N v b m F 6 b 2 x l J n F 1 b 3 Q 7 L C Z x d W 9 0 O 1 R l d H J h Y 2 9 u Y X p v b G U m c X V v d D s s J n F 1 b 3 Q 7 V G 9 u Y W x p Z C B z d W 0 m c X V v d D s s J n F 1 b 3 Q 7 V H J p c G h l b n l s I H B o b 3 N w a G F 0 Z S Z x d W 9 0 O y w m c X V v d D t V V i A z M j g m c X V v d D s s J n F 1 b 3 Q 7 V X Z p b n V s I E E g U G x 1 c y Z x d W 9 0 O 1 0 i I C 8 + P E V u d H J 5 I F R 5 c G U 9 I k Z p b G x T d G F 0 d X M i I F Z h b H V l P S J z Q 2 9 t c G x l d G U i I C 8 + P E V u d H J 5 I F R 5 c G U 9 I k Z p b G x D b 3 V u d C I g V m F s d W U 9 I m w 1 N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x L 0 F 1 d G 9 S Z W 1 v d m V k Q 2 9 s d W 1 u c z E u e y g t K S 1 D b 3 R p b m l u Z S w w f S Z x d W 9 0 O y w m c X V v d D t T Z W N 0 a W 9 u M S 9 U Y W J l b G x l M S 9 B d X R v U m V t b 3 Z l Z E N v b H V t b n M x L n s x N 8 6 x L U V 0 a G l u e W x l c 3 R y Y W R p b 2 w s M X 0 m c X V v d D s s J n F 1 b 3 Q 7 U 2 V j d G l v b j E v V G F i Z W x s Z T E v Q X V 0 b 1 J l b W 9 2 Z W R D b 2 x 1 b W 5 z M S 5 7 M i w y X H U w M D I 3 L D M s N C w 0 X H U w M D I 3 L D U s N V x 1 M D A y N y 1 I Z X B 0 Y W N o b G 9 y b 2 J p c G h l b n l s I C h C W i A j M T g w K S w y f S Z x d W 9 0 O y w m c X V v d D t T Z W N 0 a W 9 u M S 9 U Y W J l b G x l M S 9 B d X R v U m V t b 3 Z l Z E N v b H V t b n M x L n s y L D J c d T A w M j c s M y w 0 L D R c d T A w M j c s N V x 1 M D A y N y 1 I Z X h h Y 2 h s b 3 J v Y m l w a G V u e W w g K E J a I C M x M z g p L D N 9 J n F 1 b 3 Q 7 L C Z x d W 9 0 O 1 N l Y 3 R p b 2 4 x L 1 R h Y m V s b G U x L 0 F 1 d G 9 S Z W 1 v d m V k Q 2 9 s d W 1 u c z E u e z I s M l x 1 M D A y N y w 0 L D R c d T A w M j c s N S w 1 X H U w M D I 3 L U h l e G F j a G x v c m 9 i a X B o Z W 5 5 b C A o Q l o g I z E 1 M y k s N H 0 m c X V v d D s s J n F 1 b 3 Q 7 U 2 V j d G l v b j E v V G F i Z W x s Z T E v Q X V 0 b 1 J l b W 9 2 Z W R D b 2 x 1 b W 5 z M S 5 7 Q W N l b m F w a H R o Z W 5 l L D V 9 J n F 1 b 3 Q 7 L C Z x d W 9 0 O 1 N l Y 3 R p b 2 4 x L 1 R h Y m V s b G U x L 0 F 1 d G 9 S Z W 1 v d m V k Q 2 9 s d W 1 u c z E u e 0 F 2 b 2 J l b n p v b m U s N n 0 m c X V v d D s s J n F 1 b 3 Q 7 U 2 V j d G l v b j E v V G F i Z W x s Z T E v Q X V 0 b 1 J l b W 9 2 Z W R D b 2 x 1 b W 5 z M S 5 7 Q k h D L W J l d G E s N 3 0 m c X V v d D s s J n F 1 b 3 Q 7 U 2 V j d G l v b j E v V G F i Z W x s Z T E v Q X V 0 b 1 J l b W 9 2 Z W R D b 2 x 1 b W 5 z M S 5 7 Q 2 F m Z m V p b m U s O H 0 m c X V v d D s s J n F 1 b 3 Q 7 U 2 V j d G l v b j E v V G F i Z W x s Z T E v Q X V 0 b 1 J l b W 9 2 Z W R D b 2 x 1 b W 5 z M S 5 7 Q 3 l w Z X J t Z X R o c m l u L D l 9 J n F 1 b 3 Q 7 L C Z x d W 9 0 O 1 N l Y 3 R p b 2 4 x L 1 R h Y m V s b G U x L 0 F 1 d G 9 S Z W 1 v d m V k Q 2 9 s d W 1 u c z E u e 0 R E R S 1 w L H B c d T A w M j c s M T B 9 J n F 1 b 3 Q 7 L C Z x d W 9 0 O 1 N l Y 3 R p b 2 4 x L 1 R h Y m V s b G U x L 0 F 1 d G 9 S Z W 1 v d m V k Q 2 9 s d W 1 u c z E u e 0 R F S E E g K E R p K D I t Z X R o e W x o Z X h 5 b C k g Y W R p c G F 0 Z S k s M T F 9 J n F 1 b 3 Q 7 L C Z x d W 9 0 O 1 N l Y 3 R p b 2 4 x L 1 R h Y m V s b G U x L 0 F 1 d G 9 S Z W 1 v d m V k Q 2 9 s d W 1 u c z E u e 0 R J T k N I I C h E a W l z b 2 5 v b n l s I G h l e G F o e W R y b 3 B o d G h h b G F 0 Z S k s M T J 9 J n F 1 b 3 Q 7 L C Z x d W 9 0 O 1 N l Y 3 R p b 2 4 x L 1 R h Y m V s b G U x L 0 F 1 d G 9 S Z W 1 v d m V k Q 2 9 s d W 1 u c z E u e 0 R p c G h l b n l s Y W 1 p b m U s M T N 9 J n F 1 b 3 Q 7 L C Z x d W 9 0 O 1 N l Y 3 R p b 2 4 x L 1 R h Y m V s b G U x L 0 F 1 d G 9 S Z W 1 v d m V k Q 2 9 s d W 1 u c z E u e 0 R Q S F A g K E J p c y g y L X B y b 3 B 5 b G h l c H R 5 b C k g c G h 0 a G F s Y X R l K S w x N H 0 m c X V v d D s s J n F 1 b 3 Q 7 U 2 V j d G l v b j E v V G F i Z W x s Z T E v Q X V 0 b 1 J l b W 9 2 Z W R D b 2 x 1 b W 5 z M S 5 7 R U h T I C g y L U V 0 a H l s a G V 4 e W w g c 2 F s a W N 5 b G F 0 Z S k s M T V 9 J n F 1 b 3 Q 7 L C Z x d W 9 0 O 1 N l Y 3 R p b 2 4 x L 1 R h Y m V s b G U x L 0 F 1 d G 9 S Z W 1 v d m V k Q 2 9 s d W 1 u c z E u e 0 V w b 3 h p Y 2 9 u Y X p v b G U s M T Z 9 J n F 1 b 3 Q 7 L C Z x d W 9 0 O 1 N l Y 3 R p b 2 4 x L 1 R h Y m V s b G U x L 0 F 1 d G 9 S Z W 1 v d m V k Q 2 9 s d W 1 u c z E u e 0 V z d H J v b m U s M T d 9 J n F 1 b 3 Q 7 L C Z x d W 9 0 O 1 N l Y 3 R p b 2 4 x L 1 R h Y m V s b G U x L 0 F 1 d G 9 S Z W 1 v d m V k Q 2 9 s d W 1 u c z E u e 0 Z p c H J v b m l s L D E 4 f S Z x d W 9 0 O y w m c X V v d D t T Z W N 0 a W 9 u M S 9 U Y W J l b G x l M S 9 B d X R v U m V t b 3 Z l Z E N v b H V t b n M x L n t G b H V k a W 9 4 b 2 5 p b C w x O X 0 m c X V v d D s s J n F 1 b 3 Q 7 U 2 V j d G l v b j E v V G F i Z W x s Z T E v Q X V 0 b 1 J l b W 9 2 Z W R D b 2 x 1 b W 5 z M S 5 7 R m x 1 b 3 J l b m U s M j B 9 J n F 1 b 3 Q 7 L C Z x d W 9 0 O 1 N l Y 3 R p b 2 4 x L 1 R h Y m V s b G U x L 0 F 1 d G 9 S Z W 1 v d m V k Q 2 9 s d W 1 u c z E u e 0 d h b G F 4 b 2 x p Z G U s M j F 9 J n F 1 b 3 Q 7 L C Z x d W 9 0 O 1 N l Y 3 R p b 2 4 x L 1 R h Y m V s b G U x L 0 F 1 d G 9 S Z W 1 v d m V k Q 2 9 s d W 1 u c z E u e 0 9 D I C h P Y 3 R v Y 3 J 5 b G V u Z S k s M j J 9 J n F 1 b 3 Q 7 L C Z x d W 9 0 O 1 N l Y 3 R p b 2 4 x L 1 R h Y m V s b G U x L 0 F 1 d G 9 S Z W 1 v d m V k Q 2 9 s d W 1 u c z E u e 0 9 4 e W J l b n p v b m U s M j N 9 J n F 1 b 3 Q 7 L C Z x d W 9 0 O 1 N l Y 3 R p b 2 4 x L 1 R h Y m V s b G U x L 0 F 1 d G 9 S Z W 1 v d m V k Q 2 9 s d W 1 u c z E u e 1 B o Z W 5 h b n R o c m V u Z S w y N H 0 m c X V v d D s s J n F 1 b 3 Q 7 U 2 V j d G l v b j E v V G F i Z W x s Z T E v Q X V 0 b 1 J l b W 9 2 Z W R D b 2 x 1 b W 5 z M S 5 7 V E R D U F A s M j V 9 J n F 1 b 3 Q 7 L C Z x d W 9 0 O 1 N l Y 3 R p b 2 4 x L 1 R h Y m V s b G U x L 0 F 1 d G 9 S Z W 1 v d m V k Q 2 9 s d W 1 u c z E u e 1 R l Y n V j b 2 5 h e m 9 s Z S w y N n 0 m c X V v d D s s J n F 1 b 3 Q 7 U 2 V j d G l v b j E v V G F i Z W x s Z T E v Q X V 0 b 1 J l b W 9 2 Z W R D b 2 x 1 b W 5 z M S 5 7 V G V 0 c m F j b 2 5 h e m 9 s Z S w y N 3 0 m c X V v d D s s J n F 1 b 3 Q 7 U 2 V j d G l v b j E v V G F i Z W x s Z T E v Q X V 0 b 1 J l b W 9 2 Z W R D b 2 x 1 b W 5 z M S 5 7 V G 9 u Y W x p Z C B z d W 0 s M j h 9 J n F 1 b 3 Q 7 L C Z x d W 9 0 O 1 N l Y 3 R p b 2 4 x L 1 R h Y m V s b G U x L 0 F 1 d G 9 S Z W 1 v d m V k Q 2 9 s d W 1 u c z E u e 1 R y a X B o Z W 5 5 b C B w a G 9 z c G h h d G U s M j l 9 J n F 1 b 3 Q 7 L C Z x d W 9 0 O 1 N l Y 3 R p b 2 4 x L 1 R h Y m V s b G U x L 0 F 1 d G 9 S Z W 1 v d m V k Q 2 9 s d W 1 u c z E u e 1 V W I D M y O C w z M H 0 m c X V v d D s s J n F 1 b 3 Q 7 U 2 V j d G l v b j E v V G F i Z W x s Z T E v Q X V 0 b 1 J l b W 9 2 Z W R D b 2 x 1 b W 5 z M S 5 7 V X Z p b n V s I E E g U G x 1 c y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1 R h Y m V s b G U x L 0 F 1 d G 9 S Z W 1 v d m V k Q 2 9 s d W 1 u c z E u e y g t K S 1 D b 3 R p b m l u Z S w w f S Z x d W 9 0 O y w m c X V v d D t T Z W N 0 a W 9 u M S 9 U Y W J l b G x l M S 9 B d X R v U m V t b 3 Z l Z E N v b H V t b n M x L n s x N 8 6 x L U V 0 a G l u e W x l c 3 R y Y W R p b 2 w s M X 0 m c X V v d D s s J n F 1 b 3 Q 7 U 2 V j d G l v b j E v V G F i Z W x s Z T E v Q X V 0 b 1 J l b W 9 2 Z W R D b 2 x 1 b W 5 z M S 5 7 M i w y X H U w M D I 3 L D M s N C w 0 X H U w M D I 3 L D U s N V x 1 M D A y N y 1 I Z X B 0 Y W N o b G 9 y b 2 J p c G h l b n l s I C h C W i A j M T g w K S w y f S Z x d W 9 0 O y w m c X V v d D t T Z W N 0 a W 9 u M S 9 U Y W J l b G x l M S 9 B d X R v U m V t b 3 Z l Z E N v b H V t b n M x L n s y L D J c d T A w M j c s M y w 0 L D R c d T A w M j c s N V x 1 M D A y N y 1 I Z X h h Y 2 h s b 3 J v Y m l w a G V u e W w g K E J a I C M x M z g p L D N 9 J n F 1 b 3 Q 7 L C Z x d W 9 0 O 1 N l Y 3 R p b 2 4 x L 1 R h Y m V s b G U x L 0 F 1 d G 9 S Z W 1 v d m V k Q 2 9 s d W 1 u c z E u e z I s M l x 1 M D A y N y w 0 L D R c d T A w M j c s N S w 1 X H U w M D I 3 L U h l e G F j a G x v c m 9 i a X B o Z W 5 5 b C A o Q l o g I z E 1 M y k s N H 0 m c X V v d D s s J n F 1 b 3 Q 7 U 2 V j d G l v b j E v V G F i Z W x s Z T E v Q X V 0 b 1 J l b W 9 2 Z W R D b 2 x 1 b W 5 z M S 5 7 Q W N l b m F w a H R o Z W 5 l L D V 9 J n F 1 b 3 Q 7 L C Z x d W 9 0 O 1 N l Y 3 R p b 2 4 x L 1 R h Y m V s b G U x L 0 F 1 d G 9 S Z W 1 v d m V k Q 2 9 s d W 1 u c z E u e 0 F 2 b 2 J l b n p v b m U s N n 0 m c X V v d D s s J n F 1 b 3 Q 7 U 2 V j d G l v b j E v V G F i Z W x s Z T E v Q X V 0 b 1 J l b W 9 2 Z W R D b 2 x 1 b W 5 z M S 5 7 Q k h D L W J l d G E s N 3 0 m c X V v d D s s J n F 1 b 3 Q 7 U 2 V j d G l v b j E v V G F i Z W x s Z T E v Q X V 0 b 1 J l b W 9 2 Z W R D b 2 x 1 b W 5 z M S 5 7 Q 2 F m Z m V p b m U s O H 0 m c X V v d D s s J n F 1 b 3 Q 7 U 2 V j d G l v b j E v V G F i Z W x s Z T E v Q X V 0 b 1 J l b W 9 2 Z W R D b 2 x 1 b W 5 z M S 5 7 Q 3 l w Z X J t Z X R o c m l u L D l 9 J n F 1 b 3 Q 7 L C Z x d W 9 0 O 1 N l Y 3 R p b 2 4 x L 1 R h Y m V s b G U x L 0 F 1 d G 9 S Z W 1 v d m V k Q 2 9 s d W 1 u c z E u e 0 R E R S 1 w L H B c d T A w M j c s M T B 9 J n F 1 b 3 Q 7 L C Z x d W 9 0 O 1 N l Y 3 R p b 2 4 x L 1 R h Y m V s b G U x L 0 F 1 d G 9 S Z W 1 v d m V k Q 2 9 s d W 1 u c z E u e 0 R F S E E g K E R p K D I t Z X R o e W x o Z X h 5 b C k g Y W R p c G F 0 Z S k s M T F 9 J n F 1 b 3 Q 7 L C Z x d W 9 0 O 1 N l Y 3 R p b 2 4 x L 1 R h Y m V s b G U x L 0 F 1 d G 9 S Z W 1 v d m V k Q 2 9 s d W 1 u c z E u e 0 R J T k N I I C h E a W l z b 2 5 v b n l s I G h l e G F o e W R y b 3 B o d G h h b G F 0 Z S k s M T J 9 J n F 1 b 3 Q 7 L C Z x d W 9 0 O 1 N l Y 3 R p b 2 4 x L 1 R h Y m V s b G U x L 0 F 1 d G 9 S Z W 1 v d m V k Q 2 9 s d W 1 u c z E u e 0 R p c G h l b n l s Y W 1 p b m U s M T N 9 J n F 1 b 3 Q 7 L C Z x d W 9 0 O 1 N l Y 3 R p b 2 4 x L 1 R h Y m V s b G U x L 0 F 1 d G 9 S Z W 1 v d m V k Q 2 9 s d W 1 u c z E u e 0 R Q S F A g K E J p c y g y L X B y b 3 B 5 b G h l c H R 5 b C k g c G h 0 a G F s Y X R l K S w x N H 0 m c X V v d D s s J n F 1 b 3 Q 7 U 2 V j d G l v b j E v V G F i Z W x s Z T E v Q X V 0 b 1 J l b W 9 2 Z W R D b 2 x 1 b W 5 z M S 5 7 R U h T I C g y L U V 0 a H l s a G V 4 e W w g c 2 F s a W N 5 b G F 0 Z S k s M T V 9 J n F 1 b 3 Q 7 L C Z x d W 9 0 O 1 N l Y 3 R p b 2 4 x L 1 R h Y m V s b G U x L 0 F 1 d G 9 S Z W 1 v d m V k Q 2 9 s d W 1 u c z E u e 0 V w b 3 h p Y 2 9 u Y X p v b G U s M T Z 9 J n F 1 b 3 Q 7 L C Z x d W 9 0 O 1 N l Y 3 R p b 2 4 x L 1 R h Y m V s b G U x L 0 F 1 d G 9 S Z W 1 v d m V k Q 2 9 s d W 1 u c z E u e 0 V z d H J v b m U s M T d 9 J n F 1 b 3 Q 7 L C Z x d W 9 0 O 1 N l Y 3 R p b 2 4 x L 1 R h Y m V s b G U x L 0 F 1 d G 9 S Z W 1 v d m V k Q 2 9 s d W 1 u c z E u e 0 Z p c H J v b m l s L D E 4 f S Z x d W 9 0 O y w m c X V v d D t T Z W N 0 a W 9 u M S 9 U Y W J l b G x l M S 9 B d X R v U m V t b 3 Z l Z E N v b H V t b n M x L n t G b H V k a W 9 4 b 2 5 p b C w x O X 0 m c X V v d D s s J n F 1 b 3 Q 7 U 2 V j d G l v b j E v V G F i Z W x s Z T E v Q X V 0 b 1 J l b W 9 2 Z W R D b 2 x 1 b W 5 z M S 5 7 R m x 1 b 3 J l b m U s M j B 9 J n F 1 b 3 Q 7 L C Z x d W 9 0 O 1 N l Y 3 R p b 2 4 x L 1 R h Y m V s b G U x L 0 F 1 d G 9 S Z W 1 v d m V k Q 2 9 s d W 1 u c z E u e 0 d h b G F 4 b 2 x p Z G U s M j F 9 J n F 1 b 3 Q 7 L C Z x d W 9 0 O 1 N l Y 3 R p b 2 4 x L 1 R h Y m V s b G U x L 0 F 1 d G 9 S Z W 1 v d m V k Q 2 9 s d W 1 u c z E u e 0 9 D I C h P Y 3 R v Y 3 J 5 b G V u Z S k s M j J 9 J n F 1 b 3 Q 7 L C Z x d W 9 0 O 1 N l Y 3 R p b 2 4 x L 1 R h Y m V s b G U x L 0 F 1 d G 9 S Z W 1 v d m V k Q 2 9 s d W 1 u c z E u e 0 9 4 e W J l b n p v b m U s M j N 9 J n F 1 b 3 Q 7 L C Z x d W 9 0 O 1 N l Y 3 R p b 2 4 x L 1 R h Y m V s b G U x L 0 F 1 d G 9 S Z W 1 v d m V k Q 2 9 s d W 1 u c z E u e 1 B o Z W 5 h b n R o c m V u Z S w y N H 0 m c X V v d D s s J n F 1 b 3 Q 7 U 2 V j d G l v b j E v V G F i Z W x s Z T E v Q X V 0 b 1 J l b W 9 2 Z W R D b 2 x 1 b W 5 z M S 5 7 V E R D U F A s M j V 9 J n F 1 b 3 Q 7 L C Z x d W 9 0 O 1 N l Y 3 R p b 2 4 x L 1 R h Y m V s b G U x L 0 F 1 d G 9 S Z W 1 v d m V k Q 2 9 s d W 1 u c z E u e 1 R l Y n V j b 2 5 h e m 9 s Z S w y N n 0 m c X V v d D s s J n F 1 b 3 Q 7 U 2 V j d G l v b j E v V G F i Z W x s Z T E v Q X V 0 b 1 J l b W 9 2 Z W R D b 2 x 1 b W 5 z M S 5 7 V G V 0 c m F j b 2 5 h e m 9 s Z S w y N 3 0 m c X V v d D s s J n F 1 b 3 Q 7 U 2 V j d G l v b j E v V G F i Z W x s Z T E v Q X V 0 b 1 J l b W 9 2 Z W R D b 2 x 1 b W 5 z M S 5 7 V G 9 u Y W x p Z C B z d W 0 s M j h 9 J n F 1 b 3 Q 7 L C Z x d W 9 0 O 1 N l Y 3 R p b 2 4 x L 1 R h Y m V s b G U x L 0 F 1 d G 9 S Z W 1 v d m V k Q 2 9 s d W 1 u c z E u e 1 R y a X B o Z W 5 5 b C B w a G 9 z c G h h d G U s M j l 9 J n F 1 b 3 Q 7 L C Z x d W 9 0 O 1 N l Y 3 R p b 2 4 x L 1 R h Y m V s b G U x L 0 F 1 d G 9 S Z W 1 v d m V k Q 2 9 s d W 1 u c z E u e 1 V W I D M y O C w z M H 0 m c X V v d D s s J n F 1 b 3 Q 7 U 2 V j d G l v b j E v V G F i Z W x s Z T E v Q X V 0 b 1 J l b W 9 2 Z W R D b 2 x 1 b W 5 z M S 5 7 V X Z p b n V s I E E g U G x 1 c y w z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b G U x J T I w K D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Y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Y p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N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N i k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k 2 N z Z j M G E t M T B k N y 0 0 N D k 4 L W J j N z Y t Z G I 3 M j l k Y j A x Z j A z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x l M V 8 x N j k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T I t M T h U M T Q 6 M T I 6 M T M u N D g y N z A 3 M l o i I C 8 + P E V u d H J 5 I F R 5 c G U 9 I k Z p b G x D b 2 x 1 b W 5 U e X B l c y I g V m F s d W U 9 I n N C U V V H Q U F B Q U F B W U F C U U F B Q U F Z Q U J n W U d C Z 0 F B Q U F B R k F B W U F C Z 0 F H Q X d Z P S I g L z 4 8 R W 5 0 c n k g V H l w Z T 0 i R m l s b E N v b H V t b k 5 h b W V z I i B W Y W x 1 Z T 0 i c 1 s m c X V v d D s o L S k t Q 2 9 0 a W 5 p b m U m c X V v d D s s J n F 1 b 3 Q 7 M T f O s S 1 F d G h p b n l s Z X N 0 c m F k a W 9 s J n F 1 b 3 Q 7 L C Z x d W 9 0 O z I s M l x 1 M D A y N y w z L D Q s N F x 1 M D A y N y w 1 L D V c d T A w M j c t S G V w d G F j a G x v c m 9 i a X B o Z W 5 5 b C A o Q l o g I z E 4 M C k m c X V v d D s s J n F 1 b 3 Q 7 M i w y X H U w M D I 3 L D M s N C w 0 X H U w M D I 3 L D V c d T A w M j c t S G V 4 Y W N o b G 9 y b 2 J p c G h l b n l s I C h C W i A j M T M 4 K S Z x d W 9 0 O y w m c X V v d D s y L D J c d T A w M j c s N C w 0 X H U w M D I 3 L D U s N V x 1 M D A y N y 1 I Z X h h Y 2 h s b 3 J v Y m l w a G V u e W w g K E J a I C M x N T M p J n F 1 b 3 Q 7 L C Z x d W 9 0 O 0 F j Z W 5 h c G h 0 a G V u Z S Z x d W 9 0 O y w m c X V v d D t B d m 9 i Z W 5 6 b 2 5 l J n F 1 b 3 Q 7 L C Z x d W 9 0 O 0 J I Q y 1 i Z X R h J n F 1 b 3 Q 7 L C Z x d W 9 0 O 0 N h Z m Z l a W 5 l J n F 1 b 3 Q 7 L C Z x d W 9 0 O 0 N 5 c G V y b W V 0 a H J p b i Z x d W 9 0 O y w m c X V v d D t E R E U t c C x w X H U w M D I 3 J n F 1 b 3 Q 7 L C Z x d W 9 0 O 0 R F S E E g K E R p K D I t Z X R o e W x o Z X h 5 b C k g Y W R p c G F 0 Z S k m c X V v d D s s J n F 1 b 3 Q 7 R E l O Q 0 g g K E R p a X N v b m 9 u e W w g a G V 4 Y W h 5 Z H J v c G h 0 a G F s Y X R l K S Z x d W 9 0 O y w m c X V v d D t E a X B o Z W 5 5 b G F t a W 5 l J n F 1 b 3 Q 7 L C Z x d W 9 0 O 0 R Q S F A g K E J p c y g y L X B y b 3 B 5 b G h l c H R 5 b C k g c G h 0 a G F s Y X R l K S Z x d W 9 0 O y w m c X V v d D t F S F M g K D I t R X R o e W x o Z X h 5 b C B z Y W x p Y 3 l s Y X R l K S Z x d W 9 0 O y w m c X V v d D t F c G 9 4 a W N v b m F 6 b 2 x l J n F 1 b 3 Q 7 L C Z x d W 9 0 O 0 V z d H J v b m U m c X V v d D s s J n F 1 b 3 Q 7 R m l w c m 9 u a W w m c X V v d D s s J n F 1 b 3 Q 7 R m x 1 Z G l v e G 9 u a W w m c X V v d D s s J n F 1 b 3 Q 7 R m x 1 b 3 J l b m U m c X V v d D s s J n F 1 b 3 Q 7 R 2 F s Y X h v b G l k Z S Z x d W 9 0 O y w m c X V v d D t P Q y A o T 2 N 0 b 2 N y e W x l b m U p J n F 1 b 3 Q 7 L C Z x d W 9 0 O 0 9 4 e W J l b n p v b m U m c X V v d D s s J n F 1 b 3 Q 7 U G h l b m F u d G h y Z W 5 l J n F 1 b 3 Q 7 L C Z x d W 9 0 O 1 R E Q 1 B Q J n F 1 b 3 Q 7 L C Z x d W 9 0 O 1 R l Y n V j b 2 5 h e m 9 s Z S Z x d W 9 0 O y w m c X V v d D t U Z X R y Y W N v b m F 6 b 2 x l J n F 1 b 3 Q 7 L C Z x d W 9 0 O 1 R v b m F s a W Q g c 3 V t J n F 1 b 3 Q 7 L C Z x d W 9 0 O 1 R y a X B o Z W 5 5 b C B w a G 9 z c G h h d G U m c X V v d D s s J n F 1 b 3 Q 7 V V Y g M z I 4 J n F 1 b 3 Q 7 L C Z x d W 9 0 O 1 V 2 a W 5 1 b C B B I F B s d X M m c X V v d D t d I i A v P j x F b n R y e S B U e X B l P S J G a W x s U 3 R h d H V z I i B W Y W x 1 Z T 0 i c 0 N v b X B s Z X R l I i A v P j x F b n R y e S B U e X B l P S J G a W x s Q 2 9 1 b n Q i I F Z h b H V l P S J s N T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S 9 B d X R v U m V t b 3 Z l Z E N v b H V t b n M x L n s o L S k t Q 2 9 0 a W 5 p b m U s M H 0 m c X V v d D s s J n F 1 b 3 Q 7 U 2 V j d G l v b j E v V G F i Z W x s Z T E v Q X V 0 b 1 J l b W 9 2 Z W R D b 2 x 1 b W 5 z M S 5 7 M T f O s S 1 F d G h p b n l s Z X N 0 c m F k a W 9 s L D F 9 J n F 1 b 3 Q 7 L C Z x d W 9 0 O 1 N l Y 3 R p b 2 4 x L 1 R h Y m V s b G U x L 0 F 1 d G 9 S Z W 1 v d m V k Q 2 9 s d W 1 u c z E u e z I s M l x 1 M D A y N y w z L D Q s N F x 1 M D A y N y w 1 L D V c d T A w M j c t S G V w d G F j a G x v c m 9 i a X B o Z W 5 5 b C A o Q l o g I z E 4 M C k s M n 0 m c X V v d D s s J n F 1 b 3 Q 7 U 2 V j d G l v b j E v V G F i Z W x s Z T E v Q X V 0 b 1 J l b W 9 2 Z W R D b 2 x 1 b W 5 z M S 5 7 M i w y X H U w M D I 3 L D M s N C w 0 X H U w M D I 3 L D V c d T A w M j c t S G V 4 Y W N o b G 9 y b 2 J p c G h l b n l s I C h C W i A j M T M 4 K S w z f S Z x d W 9 0 O y w m c X V v d D t T Z W N 0 a W 9 u M S 9 U Y W J l b G x l M S 9 B d X R v U m V t b 3 Z l Z E N v b H V t b n M x L n s y L D J c d T A w M j c s N C w 0 X H U w M D I 3 L D U s N V x 1 M D A y N y 1 I Z X h h Y 2 h s b 3 J v Y m l w a G V u e W w g K E J a I C M x N T M p L D R 9 J n F 1 b 3 Q 7 L C Z x d W 9 0 O 1 N l Y 3 R p b 2 4 x L 1 R h Y m V s b G U x L 0 F 1 d G 9 S Z W 1 v d m V k Q 2 9 s d W 1 u c z E u e 0 F j Z W 5 h c G h 0 a G V u Z S w 1 f S Z x d W 9 0 O y w m c X V v d D t T Z W N 0 a W 9 u M S 9 U Y W J l b G x l M S 9 B d X R v U m V t b 3 Z l Z E N v b H V t b n M x L n t B d m 9 i Z W 5 6 b 2 5 l L D Z 9 J n F 1 b 3 Q 7 L C Z x d W 9 0 O 1 N l Y 3 R p b 2 4 x L 1 R h Y m V s b G U x L 0 F 1 d G 9 S Z W 1 v d m V k Q 2 9 s d W 1 u c z E u e 0 J I Q y 1 i Z X R h L D d 9 J n F 1 b 3 Q 7 L C Z x d W 9 0 O 1 N l Y 3 R p b 2 4 x L 1 R h Y m V s b G U x L 0 F 1 d G 9 S Z W 1 v d m V k Q 2 9 s d W 1 u c z E u e 0 N h Z m Z l a W 5 l L D h 9 J n F 1 b 3 Q 7 L C Z x d W 9 0 O 1 N l Y 3 R p b 2 4 x L 1 R h Y m V s b G U x L 0 F 1 d G 9 S Z W 1 v d m V k Q 2 9 s d W 1 u c z E u e 0 N 5 c G V y b W V 0 a H J p b i w 5 f S Z x d W 9 0 O y w m c X V v d D t T Z W N 0 a W 9 u M S 9 U Y W J l b G x l M S 9 B d X R v U m V t b 3 Z l Z E N v b H V t b n M x L n t E R E U t c C x w X H U w M D I 3 L D E w f S Z x d W 9 0 O y w m c X V v d D t T Z W N 0 a W 9 u M S 9 U Y W J l b G x l M S 9 B d X R v U m V t b 3 Z l Z E N v b H V t b n M x L n t E R U h B I C h E a S g y L W V 0 a H l s a G V 4 e W w p I G F k a X B h d G U p L D E x f S Z x d W 9 0 O y w m c X V v d D t T Z W N 0 a W 9 u M S 9 U Y W J l b G x l M S 9 B d X R v U m V t b 3 Z l Z E N v b H V t b n M x L n t E S U 5 D S C A o R G l p c 2 9 u b 2 5 5 b C B o Z X h h a H l k c m 9 w a H R o Y W x h d G U p L D E y f S Z x d W 9 0 O y w m c X V v d D t T Z W N 0 a W 9 u M S 9 U Y W J l b G x l M S 9 B d X R v U m V t b 3 Z l Z E N v b H V t b n M x L n t E a X B o Z W 5 5 b G F t a W 5 l L D E z f S Z x d W 9 0 O y w m c X V v d D t T Z W N 0 a W 9 u M S 9 U Y W J l b G x l M S 9 B d X R v U m V t b 3 Z l Z E N v b H V t b n M x L n t E U E h Q I C h C a X M o M i 1 w c m 9 w e W x o Z X B 0 e W w p I H B o d G h h b G F 0 Z S k s M T R 9 J n F 1 b 3 Q 7 L C Z x d W 9 0 O 1 N l Y 3 R p b 2 4 x L 1 R h Y m V s b G U x L 0 F 1 d G 9 S Z W 1 v d m V k Q 2 9 s d W 1 u c z E u e 0 V I U y A o M i 1 F d G h 5 b G h l e H l s I H N h b G l j e W x h d G U p L D E 1 f S Z x d W 9 0 O y w m c X V v d D t T Z W N 0 a W 9 u M S 9 U Y W J l b G x l M S 9 B d X R v U m V t b 3 Z l Z E N v b H V t b n M x L n t F c G 9 4 a W N v b m F 6 b 2 x l L D E 2 f S Z x d W 9 0 O y w m c X V v d D t T Z W N 0 a W 9 u M S 9 U Y W J l b G x l M S 9 B d X R v U m V t b 3 Z l Z E N v b H V t b n M x L n t F c 3 R y b 2 5 l L D E 3 f S Z x d W 9 0 O y w m c X V v d D t T Z W N 0 a W 9 u M S 9 U Y W J l b G x l M S 9 B d X R v U m V t b 3 Z l Z E N v b H V t b n M x L n t G a X B y b 2 5 p b C w x O H 0 m c X V v d D s s J n F 1 b 3 Q 7 U 2 V j d G l v b j E v V G F i Z W x s Z T E v Q X V 0 b 1 J l b W 9 2 Z W R D b 2 x 1 b W 5 z M S 5 7 R m x 1 Z G l v e G 9 u a W w s M T l 9 J n F 1 b 3 Q 7 L C Z x d W 9 0 O 1 N l Y 3 R p b 2 4 x L 1 R h Y m V s b G U x L 0 F 1 d G 9 S Z W 1 v d m V k Q 2 9 s d W 1 u c z E u e 0 Z s d W 9 y Z W 5 l L D I w f S Z x d W 9 0 O y w m c X V v d D t T Z W N 0 a W 9 u M S 9 U Y W J l b G x l M S 9 B d X R v U m V t b 3 Z l Z E N v b H V t b n M x L n t H Y W x h e G 9 s a W R l L D I x f S Z x d W 9 0 O y w m c X V v d D t T Z W N 0 a W 9 u M S 9 U Y W J l b G x l M S 9 B d X R v U m V t b 3 Z l Z E N v b H V t b n M x L n t P Q y A o T 2 N 0 b 2 N y e W x l b m U p L D I y f S Z x d W 9 0 O y w m c X V v d D t T Z W N 0 a W 9 u M S 9 U Y W J l b G x l M S 9 B d X R v U m V t b 3 Z l Z E N v b H V t b n M x L n t P e H l i Z W 5 6 b 2 5 l L D I z f S Z x d W 9 0 O y w m c X V v d D t T Z W N 0 a W 9 u M S 9 U Y W J l b G x l M S 9 B d X R v U m V t b 3 Z l Z E N v b H V t b n M x L n t Q a G V u Y W 5 0 a H J l b m U s M j R 9 J n F 1 b 3 Q 7 L C Z x d W 9 0 O 1 N l Y 3 R p b 2 4 x L 1 R h Y m V s b G U x L 0 F 1 d G 9 S Z W 1 v d m V k Q 2 9 s d W 1 u c z E u e 1 R E Q 1 B Q L D I 1 f S Z x d W 9 0 O y w m c X V v d D t T Z W N 0 a W 9 u M S 9 U Y W J l b G x l M S 9 B d X R v U m V t b 3 Z l Z E N v b H V t b n M x L n t U Z W J 1 Y 2 9 u Y X p v b G U s M j Z 9 J n F 1 b 3 Q 7 L C Z x d W 9 0 O 1 N l Y 3 R p b 2 4 x L 1 R h Y m V s b G U x L 0 F 1 d G 9 S Z W 1 v d m V k Q 2 9 s d W 1 u c z E u e 1 R l d H J h Y 2 9 u Y X p v b G U s M j d 9 J n F 1 b 3 Q 7 L C Z x d W 9 0 O 1 N l Y 3 R p b 2 4 x L 1 R h Y m V s b G U x L 0 F 1 d G 9 S Z W 1 v d m V k Q 2 9 s d W 1 u c z E u e 1 R v b m F s a W Q g c 3 V t L D I 4 f S Z x d W 9 0 O y w m c X V v d D t T Z W N 0 a W 9 u M S 9 U Y W J l b G x l M S 9 B d X R v U m V t b 3 Z l Z E N v b H V t b n M x L n t U c m l w a G V u e W w g c G h v c 3 B o Y X R l L D I 5 f S Z x d W 9 0 O y w m c X V v d D t T Z W N 0 a W 9 u M S 9 U Y W J l b G x l M S 9 B d X R v U m V t b 3 Z l Z E N v b H V t b n M x L n t V V i A z M j g s M z B 9 J n F 1 b 3 Q 7 L C Z x d W 9 0 O 1 N l Y 3 R p b 2 4 x L 1 R h Y m V s b G U x L 0 F 1 d G 9 S Z W 1 v d m V k Q 2 9 s d W 1 u c z E u e 1 V 2 a W 5 1 b C B B I F B s d X M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U Y W J l b G x l M S 9 B d X R v U m V t b 3 Z l Z E N v b H V t b n M x L n s o L S k t Q 2 9 0 a W 5 p b m U s M H 0 m c X V v d D s s J n F 1 b 3 Q 7 U 2 V j d G l v b j E v V G F i Z W x s Z T E v Q X V 0 b 1 J l b W 9 2 Z W R D b 2 x 1 b W 5 z M S 5 7 M T f O s S 1 F d G h p b n l s Z X N 0 c m F k a W 9 s L D F 9 J n F 1 b 3 Q 7 L C Z x d W 9 0 O 1 N l Y 3 R p b 2 4 x L 1 R h Y m V s b G U x L 0 F 1 d G 9 S Z W 1 v d m V k Q 2 9 s d W 1 u c z E u e z I s M l x 1 M D A y N y w z L D Q s N F x 1 M D A y N y w 1 L D V c d T A w M j c t S G V w d G F j a G x v c m 9 i a X B o Z W 5 5 b C A o Q l o g I z E 4 M C k s M n 0 m c X V v d D s s J n F 1 b 3 Q 7 U 2 V j d G l v b j E v V G F i Z W x s Z T E v Q X V 0 b 1 J l b W 9 2 Z W R D b 2 x 1 b W 5 z M S 5 7 M i w y X H U w M D I 3 L D M s N C w 0 X H U w M D I 3 L D V c d T A w M j c t S G V 4 Y W N o b G 9 y b 2 J p c G h l b n l s I C h C W i A j M T M 4 K S w z f S Z x d W 9 0 O y w m c X V v d D t T Z W N 0 a W 9 u M S 9 U Y W J l b G x l M S 9 B d X R v U m V t b 3 Z l Z E N v b H V t b n M x L n s y L D J c d T A w M j c s N C w 0 X H U w M D I 3 L D U s N V x 1 M D A y N y 1 I Z X h h Y 2 h s b 3 J v Y m l w a G V u e W w g K E J a I C M x N T M p L D R 9 J n F 1 b 3 Q 7 L C Z x d W 9 0 O 1 N l Y 3 R p b 2 4 x L 1 R h Y m V s b G U x L 0 F 1 d G 9 S Z W 1 v d m V k Q 2 9 s d W 1 u c z E u e 0 F j Z W 5 h c G h 0 a G V u Z S w 1 f S Z x d W 9 0 O y w m c X V v d D t T Z W N 0 a W 9 u M S 9 U Y W J l b G x l M S 9 B d X R v U m V t b 3 Z l Z E N v b H V t b n M x L n t B d m 9 i Z W 5 6 b 2 5 l L D Z 9 J n F 1 b 3 Q 7 L C Z x d W 9 0 O 1 N l Y 3 R p b 2 4 x L 1 R h Y m V s b G U x L 0 F 1 d G 9 S Z W 1 v d m V k Q 2 9 s d W 1 u c z E u e 0 J I Q y 1 i Z X R h L D d 9 J n F 1 b 3 Q 7 L C Z x d W 9 0 O 1 N l Y 3 R p b 2 4 x L 1 R h Y m V s b G U x L 0 F 1 d G 9 S Z W 1 v d m V k Q 2 9 s d W 1 u c z E u e 0 N h Z m Z l a W 5 l L D h 9 J n F 1 b 3 Q 7 L C Z x d W 9 0 O 1 N l Y 3 R p b 2 4 x L 1 R h Y m V s b G U x L 0 F 1 d G 9 S Z W 1 v d m V k Q 2 9 s d W 1 u c z E u e 0 N 5 c G V y b W V 0 a H J p b i w 5 f S Z x d W 9 0 O y w m c X V v d D t T Z W N 0 a W 9 u M S 9 U Y W J l b G x l M S 9 B d X R v U m V t b 3 Z l Z E N v b H V t b n M x L n t E R E U t c C x w X H U w M D I 3 L D E w f S Z x d W 9 0 O y w m c X V v d D t T Z W N 0 a W 9 u M S 9 U Y W J l b G x l M S 9 B d X R v U m V t b 3 Z l Z E N v b H V t b n M x L n t E R U h B I C h E a S g y L W V 0 a H l s a G V 4 e W w p I G F k a X B h d G U p L D E x f S Z x d W 9 0 O y w m c X V v d D t T Z W N 0 a W 9 u M S 9 U Y W J l b G x l M S 9 B d X R v U m V t b 3 Z l Z E N v b H V t b n M x L n t E S U 5 D S C A o R G l p c 2 9 u b 2 5 5 b C B o Z X h h a H l k c m 9 w a H R o Y W x h d G U p L D E y f S Z x d W 9 0 O y w m c X V v d D t T Z W N 0 a W 9 u M S 9 U Y W J l b G x l M S 9 B d X R v U m V t b 3 Z l Z E N v b H V t b n M x L n t E a X B o Z W 5 5 b G F t a W 5 l L D E z f S Z x d W 9 0 O y w m c X V v d D t T Z W N 0 a W 9 u M S 9 U Y W J l b G x l M S 9 B d X R v U m V t b 3 Z l Z E N v b H V t b n M x L n t E U E h Q I C h C a X M o M i 1 w c m 9 w e W x o Z X B 0 e W w p I H B o d G h h b G F 0 Z S k s M T R 9 J n F 1 b 3 Q 7 L C Z x d W 9 0 O 1 N l Y 3 R p b 2 4 x L 1 R h Y m V s b G U x L 0 F 1 d G 9 S Z W 1 v d m V k Q 2 9 s d W 1 u c z E u e 0 V I U y A o M i 1 F d G h 5 b G h l e H l s I H N h b G l j e W x h d G U p L D E 1 f S Z x d W 9 0 O y w m c X V v d D t T Z W N 0 a W 9 u M S 9 U Y W J l b G x l M S 9 B d X R v U m V t b 3 Z l Z E N v b H V t b n M x L n t F c G 9 4 a W N v b m F 6 b 2 x l L D E 2 f S Z x d W 9 0 O y w m c X V v d D t T Z W N 0 a W 9 u M S 9 U Y W J l b G x l M S 9 B d X R v U m V t b 3 Z l Z E N v b H V t b n M x L n t F c 3 R y b 2 5 l L D E 3 f S Z x d W 9 0 O y w m c X V v d D t T Z W N 0 a W 9 u M S 9 U Y W J l b G x l M S 9 B d X R v U m V t b 3 Z l Z E N v b H V t b n M x L n t G a X B y b 2 5 p b C w x O H 0 m c X V v d D s s J n F 1 b 3 Q 7 U 2 V j d G l v b j E v V G F i Z W x s Z T E v Q X V 0 b 1 J l b W 9 2 Z W R D b 2 x 1 b W 5 z M S 5 7 R m x 1 Z G l v e G 9 u a W w s M T l 9 J n F 1 b 3 Q 7 L C Z x d W 9 0 O 1 N l Y 3 R p b 2 4 x L 1 R h Y m V s b G U x L 0 F 1 d G 9 S Z W 1 v d m V k Q 2 9 s d W 1 u c z E u e 0 Z s d W 9 y Z W 5 l L D I w f S Z x d W 9 0 O y w m c X V v d D t T Z W N 0 a W 9 u M S 9 U Y W J l b G x l M S 9 B d X R v U m V t b 3 Z l Z E N v b H V t b n M x L n t H Y W x h e G 9 s a W R l L D I x f S Z x d W 9 0 O y w m c X V v d D t T Z W N 0 a W 9 u M S 9 U Y W J l b G x l M S 9 B d X R v U m V t b 3 Z l Z E N v b H V t b n M x L n t P Q y A o T 2 N 0 b 2 N y e W x l b m U p L D I y f S Z x d W 9 0 O y w m c X V v d D t T Z W N 0 a W 9 u M S 9 U Y W J l b G x l M S 9 B d X R v U m V t b 3 Z l Z E N v b H V t b n M x L n t P e H l i Z W 5 6 b 2 5 l L D I z f S Z x d W 9 0 O y w m c X V v d D t T Z W N 0 a W 9 u M S 9 U Y W J l b G x l M S 9 B d X R v U m V t b 3 Z l Z E N v b H V t b n M x L n t Q a G V u Y W 5 0 a H J l b m U s M j R 9 J n F 1 b 3 Q 7 L C Z x d W 9 0 O 1 N l Y 3 R p b 2 4 x L 1 R h Y m V s b G U x L 0 F 1 d G 9 S Z W 1 v d m V k Q 2 9 s d W 1 u c z E u e 1 R E Q 1 B Q L D I 1 f S Z x d W 9 0 O y w m c X V v d D t T Z W N 0 a W 9 u M S 9 U Y W J l b G x l M S 9 B d X R v U m V t b 3 Z l Z E N v b H V t b n M x L n t U Z W J 1 Y 2 9 u Y X p v b G U s M j Z 9 J n F 1 b 3 Q 7 L C Z x d W 9 0 O 1 N l Y 3 R p b 2 4 x L 1 R h Y m V s b G U x L 0 F 1 d G 9 S Z W 1 v d m V k Q 2 9 s d W 1 u c z E u e 1 R l d H J h Y 2 9 u Y X p v b G U s M j d 9 J n F 1 b 3 Q 7 L C Z x d W 9 0 O 1 N l Y 3 R p b 2 4 x L 1 R h Y m V s b G U x L 0 F 1 d G 9 S Z W 1 v d m V k Q 2 9 s d W 1 u c z E u e 1 R v b m F s a W Q g c 3 V t L D I 4 f S Z x d W 9 0 O y w m c X V v d D t T Z W N 0 a W 9 u M S 9 U Y W J l b G x l M S 9 B d X R v U m V t b 3 Z l Z E N v b H V t b n M x L n t U c m l w a G V u e W w g c G h v c 3 B o Y X R l L D I 5 f S Z x d W 9 0 O y w m c X V v d D t T Z W N 0 a W 9 u M S 9 U Y W J l b G x l M S 9 B d X R v U m V t b 3 Z l Z E N v b H V t b n M x L n t V V i A z M j g s M z B 9 J n F 1 b 3 Q 7 L C Z x d W 9 0 O 1 N l Y 3 R p b 2 4 x L 1 R h Y m V s b G U x L 0 F 1 d G 9 S Z W 1 v d m V k Q 2 9 s d W 1 u c z E u e 1 V 2 a W 5 1 b C B B I F B s d X M s M z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b G U x J T I w K D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c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c p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N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N y k v R 2 U l Q z M l Q T R u Z G V y d G V y J T I w V H l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i d a l E B E y Q J z w 6 E C Z s o L 6 A A A A A A I A A A A A A B B m A A A A A Q A A I A A A A H d Q 7 f b f U U c q R j T s N L M 6 K G t V h 6 B 9 k F + z A M Q g o 9 Y / d l d s A A A A A A 6 A A A A A A g A A I A A A A C R A x S u o C o 4 q 5 3 c 5 N A 2 7 z n L r h b A 4 1 y z X x 6 V Z R g 9 O r U / U U A A A A H l W L g 5 t f U 5 s g + 5 Q 3 5 u C e V s U 9 y m t g / / t 7 B D y x 5 E u H V 3 c Q C T i a U 3 H d q m A R y P M a i e P k U 4 C t q U V G u m p 8 g H i n z R X R J z E 9 S 7 a M x h W j 7 / Z v j S e 5 x z b Q A A A A H X a V s r O W U 3 V k f d s a X Z 6 Y k A w X s Q P g h 9 U z e E 6 q h B t g s X L X t 1 K + o E z 8 3 k l q 8 M m q U C V 5 R 2 p 1 F z K / K 3 k B x Z v l + O i X k w = < / D a t a M a s h u p > 
</file>

<file path=customXml/itemProps1.xml><?xml version="1.0" encoding="utf-8"?>
<ds:datastoreItem xmlns:ds="http://schemas.openxmlformats.org/officeDocument/2006/customXml" ds:itemID="{2BC95B49-2993-41E0-BDC9-1D68CBBED9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A - BayWald</vt:lpstr>
      <vt:lpstr>C - Hainich</vt:lpstr>
      <vt:lpstr>E - SächsSchweiz</vt:lpstr>
      <vt:lpstr>F - VorpommBoddenlandschaft</vt:lpstr>
      <vt:lpstr>G - Jasmund</vt:lpstr>
      <vt:lpstr>H - Harz</vt:lpstr>
      <vt:lpstr>Z - Eiffel</vt:lpstr>
      <vt:lpstr>Stoffübersicht</vt:lpstr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micpeph</dc:creator>
  <cp:lastModifiedBy>Sobolová, Barbora (STAT)</cp:lastModifiedBy>
  <dcterms:created xsi:type="dcterms:W3CDTF">2024-12-17T15:17:07Z</dcterms:created>
  <dcterms:modified xsi:type="dcterms:W3CDTF">2025-03-07T10:55:21Z</dcterms:modified>
</cp:coreProperties>
</file>