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sel\Documents\Entrepreneur Challenge 2014\"/>
    </mc:Choice>
  </mc:AlternateContent>
  <bookViews>
    <workbookView xWindow="0" yWindow="0" windowWidth="19440" windowHeight="11760" tabRatio="861" activeTab="4"/>
  </bookViews>
  <sheets>
    <sheet name="Portada" sheetId="18" r:id="rId1"/>
    <sheet name="Memoria" sheetId="3" r:id="rId2"/>
    <sheet name="Inversiones" sheetId="2" r:id="rId3"/>
    <sheet name="Proyeccion costos" sheetId="4" r:id="rId4"/>
    <sheet name="Costos totales" sheetId="12" r:id="rId5"/>
    <sheet name="Ingresos" sheetId="5" r:id="rId6"/>
    <sheet name="CDT" sheetId="19" r:id="rId7"/>
    <sheet name="Punto equilibrio" sheetId="8" r:id="rId8"/>
    <sheet name="EdoRes" sheetId="13" r:id="rId9"/>
    <sheet name="Rentab" sheetId="14" r:id="rId10"/>
    <sheet name="Rec" sheetId="15" r:id="rId11"/>
    <sheet name="Deprec" sheetId="16" r:id="rId12"/>
    <sheet name="Hoja1" sheetId="20" state="hidden" r:id="rId13"/>
  </sheets>
  <definedNames>
    <definedName name="formulacion">Inversiones!$B$2:$K$51</definedName>
    <definedName name="ROTACION_AL_AÑO" localSheetId="4">Memoria!#REF!</definedName>
    <definedName name="ROTACION_AL_AÑO" localSheetId="3">Memoria!#REF!</definedName>
  </definedNames>
  <calcPr calcId="152511"/>
</workbook>
</file>

<file path=xl/calcChain.xml><?xml version="1.0" encoding="utf-8"?>
<calcChain xmlns="http://schemas.openxmlformats.org/spreadsheetml/2006/main">
  <c r="E54" i="3" l="1"/>
  <c r="D56" i="3"/>
  <c r="F48" i="3" l="1"/>
  <c r="G48" i="3"/>
  <c r="H48" i="3" s="1"/>
  <c r="I48" i="3" s="1"/>
  <c r="C58" i="3" l="1"/>
  <c r="D8" i="5" l="1"/>
  <c r="D6" i="5"/>
  <c r="D11" i="19"/>
  <c r="E11" i="19"/>
  <c r="F11" i="19"/>
  <c r="G11" i="19"/>
  <c r="H11" i="19"/>
  <c r="I11" i="19"/>
  <c r="J11" i="19"/>
  <c r="K11" i="19"/>
  <c r="L11" i="19"/>
  <c r="M11" i="19"/>
  <c r="N11" i="19"/>
  <c r="C11" i="19"/>
  <c r="B6" i="5"/>
  <c r="B5" i="19" s="1"/>
  <c r="C11" i="5"/>
  <c r="C10" i="5"/>
  <c r="B10" i="5"/>
  <c r="B24" i="5" s="1"/>
  <c r="C8" i="5"/>
  <c r="B8" i="5"/>
  <c r="B7" i="19" s="1"/>
  <c r="C6" i="5"/>
  <c r="B91" i="12"/>
  <c r="B84" i="12"/>
  <c r="E52" i="3"/>
  <c r="F52" i="3" s="1"/>
  <c r="F6" i="5" s="1"/>
  <c r="B75" i="12"/>
  <c r="B68" i="12"/>
  <c r="B53" i="12"/>
  <c r="B60" i="12"/>
  <c r="C9" i="19" l="1"/>
  <c r="E6" i="5"/>
  <c r="G52" i="3"/>
  <c r="G6" i="5" s="1"/>
  <c r="F43" i="3"/>
  <c r="F44" i="3"/>
  <c r="F45" i="3" l="1"/>
  <c r="H52" i="3"/>
  <c r="H6" i="5" s="1"/>
  <c r="G43" i="3"/>
  <c r="E17" i="14"/>
  <c r="I52" i="3" l="1"/>
  <c r="I6" i="5" s="1"/>
  <c r="B2" i="2"/>
  <c r="J52" i="3" l="1"/>
  <c r="J6" i="5" s="1"/>
  <c r="E23" i="14"/>
  <c r="D36" i="3"/>
  <c r="D37" i="3"/>
  <c r="D38" i="3"/>
  <c r="D39" i="3"/>
  <c r="D35" i="3"/>
  <c r="E35" i="3" s="1"/>
  <c r="K52" i="3" l="1"/>
  <c r="K6" i="5" s="1"/>
  <c r="B5" i="16"/>
  <c r="C5" i="16"/>
  <c r="D5" i="16"/>
  <c r="E5" i="16"/>
  <c r="B6" i="16"/>
  <c r="C6" i="16"/>
  <c r="D6" i="16"/>
  <c r="E6" i="16"/>
  <c r="B7" i="16"/>
  <c r="C7" i="16"/>
  <c r="D7" i="16"/>
  <c r="E7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C4" i="16"/>
  <c r="D4" i="16"/>
  <c r="E4" i="16"/>
  <c r="B4" i="16"/>
  <c r="L52" i="3" l="1"/>
  <c r="L6" i="5" s="1"/>
  <c r="B23" i="5"/>
  <c r="B22" i="5"/>
  <c r="M52" i="3" l="1"/>
  <c r="M6" i="5" s="1"/>
  <c r="D36" i="14"/>
  <c r="F36" i="14" s="1"/>
  <c r="F37" i="14" s="1"/>
  <c r="E22" i="14"/>
  <c r="E21" i="14"/>
  <c r="E20" i="14"/>
  <c r="E19" i="14"/>
  <c r="E18" i="14"/>
  <c r="D18" i="14"/>
  <c r="B36" i="4"/>
  <c r="B29" i="19" s="1"/>
  <c r="B35" i="4"/>
  <c r="B28" i="19" s="1"/>
  <c r="B34" i="4"/>
  <c r="B27" i="19" s="1"/>
  <c r="B33" i="4"/>
  <c r="B32" i="4"/>
  <c r="B25" i="19" s="1"/>
  <c r="B31" i="4"/>
  <c r="B24" i="19" s="1"/>
  <c r="B30" i="4"/>
  <c r="B23" i="19" s="1"/>
  <c r="B29" i="4"/>
  <c r="B22" i="19" s="1"/>
  <c r="B28" i="4"/>
  <c r="B21" i="19" s="1"/>
  <c r="B27" i="4"/>
  <c r="B20" i="19" s="1"/>
  <c r="B26" i="4"/>
  <c r="B19" i="19" s="1"/>
  <c r="B25" i="4"/>
  <c r="B18" i="19" s="1"/>
  <c r="B24" i="4"/>
  <c r="B17" i="19" s="1"/>
  <c r="B23" i="4"/>
  <c r="B16" i="19" s="1"/>
  <c r="B22" i="4"/>
  <c r="B15" i="19" s="1"/>
  <c r="C20" i="4"/>
  <c r="C46" i="19" s="1"/>
  <c r="B20" i="4"/>
  <c r="B46" i="19" s="1"/>
  <c r="C19" i="4"/>
  <c r="B19" i="4"/>
  <c r="B45" i="19" s="1"/>
  <c r="C18" i="4"/>
  <c r="B18" i="4"/>
  <c r="B44" i="19" s="1"/>
  <c r="C17" i="4"/>
  <c r="C43" i="19" s="1"/>
  <c r="B17" i="4"/>
  <c r="B43" i="19" s="1"/>
  <c r="C16" i="4"/>
  <c r="C42" i="19" s="1"/>
  <c r="B16" i="4"/>
  <c r="B42" i="19" s="1"/>
  <c r="C15" i="4"/>
  <c r="B15" i="4"/>
  <c r="B41" i="19" s="1"/>
  <c r="C14" i="4"/>
  <c r="B14" i="4"/>
  <c r="B40" i="19" s="1"/>
  <c r="C13" i="4"/>
  <c r="C39" i="19" s="1"/>
  <c r="B13" i="4"/>
  <c r="B39" i="19" s="1"/>
  <c r="C12" i="4"/>
  <c r="C38" i="19" s="1"/>
  <c r="B12" i="4"/>
  <c r="B38" i="19" s="1"/>
  <c r="C11" i="4"/>
  <c r="B11" i="4"/>
  <c r="B37" i="19" s="1"/>
  <c r="C10" i="4"/>
  <c r="C36" i="19" s="1"/>
  <c r="B10" i="4"/>
  <c r="B36" i="19" s="1"/>
  <c r="C9" i="4"/>
  <c r="C35" i="19" s="1"/>
  <c r="B9" i="4"/>
  <c r="B35" i="19" s="1"/>
  <c r="C8" i="4"/>
  <c r="B8" i="4"/>
  <c r="B34" i="19" s="1"/>
  <c r="C7" i="4"/>
  <c r="C33" i="19" s="1"/>
  <c r="B7" i="4"/>
  <c r="B33" i="19" s="1"/>
  <c r="C6" i="4"/>
  <c r="C32" i="19" s="1"/>
  <c r="B6" i="4"/>
  <c r="B32" i="19" s="1"/>
  <c r="F43" i="2"/>
  <c r="I43" i="2" s="1"/>
  <c r="F42" i="2"/>
  <c r="G42" i="2" s="1"/>
  <c r="F41" i="2"/>
  <c r="H41" i="2" s="1"/>
  <c r="F40" i="2"/>
  <c r="I40" i="2" s="1"/>
  <c r="F39" i="2"/>
  <c r="H39" i="2" s="1"/>
  <c r="F38" i="2"/>
  <c r="G38" i="2" s="1"/>
  <c r="F37" i="2"/>
  <c r="H37" i="2" s="1"/>
  <c r="F36" i="2"/>
  <c r="I36" i="2" s="1"/>
  <c r="F35" i="2"/>
  <c r="I35" i="2" s="1"/>
  <c r="F34" i="2"/>
  <c r="G34" i="2" s="1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F21" i="2"/>
  <c r="I21" i="2" s="1"/>
  <c r="F20" i="2"/>
  <c r="F18" i="16" s="1"/>
  <c r="F19" i="2"/>
  <c r="F17" i="16" s="1"/>
  <c r="I17" i="16" s="1"/>
  <c r="J17" i="16" s="1"/>
  <c r="F18" i="2"/>
  <c r="F16" i="16" s="1"/>
  <c r="F17" i="2"/>
  <c r="F15" i="16" s="1"/>
  <c r="I15" i="16" s="1"/>
  <c r="J15" i="16" s="1"/>
  <c r="F16" i="2"/>
  <c r="F14" i="16" s="1"/>
  <c r="I14" i="16" s="1"/>
  <c r="J14" i="16" s="1"/>
  <c r="F15" i="2"/>
  <c r="F13" i="16" s="1"/>
  <c r="F14" i="2"/>
  <c r="F12" i="16" s="1"/>
  <c r="I12" i="16" s="1"/>
  <c r="F13" i="2"/>
  <c r="F11" i="16" s="1"/>
  <c r="F12" i="2"/>
  <c r="F10" i="16" s="1"/>
  <c r="I10" i="16" s="1"/>
  <c r="F11" i="2"/>
  <c r="F9" i="16" s="1"/>
  <c r="I9" i="16" s="1"/>
  <c r="F10" i="2"/>
  <c r="F8" i="16" s="1"/>
  <c r="I8" i="16" s="1"/>
  <c r="F9" i="2"/>
  <c r="F7" i="16" s="1"/>
  <c r="I7" i="16" s="1"/>
  <c r="F8" i="2"/>
  <c r="F6" i="16" s="1"/>
  <c r="I6" i="16" s="1"/>
  <c r="F7" i="2"/>
  <c r="F5" i="16" s="1"/>
  <c r="I5" i="16" s="1"/>
  <c r="F6" i="2"/>
  <c r="F4" i="16" s="1"/>
  <c r="E45" i="3"/>
  <c r="E44" i="3"/>
  <c r="E43" i="3"/>
  <c r="E42" i="3"/>
  <c r="E41" i="3"/>
  <c r="E39" i="3"/>
  <c r="E38" i="3"/>
  <c r="E37" i="3"/>
  <c r="E36" i="3"/>
  <c r="E32" i="3"/>
  <c r="E31" i="3"/>
  <c r="E30" i="3"/>
  <c r="E29" i="3"/>
  <c r="E28" i="3"/>
  <c r="F19" i="3"/>
  <c r="F18" i="3"/>
  <c r="F17" i="3"/>
  <c r="F16" i="3"/>
  <c r="F15" i="3"/>
  <c r="F14" i="3"/>
  <c r="F13" i="3"/>
  <c r="G13" i="3" s="1"/>
  <c r="F12" i="3"/>
  <c r="G12" i="3" s="1"/>
  <c r="F11" i="3"/>
  <c r="G11" i="3" s="1"/>
  <c r="F10" i="3"/>
  <c r="G10" i="3" s="1"/>
  <c r="F9" i="3"/>
  <c r="F8" i="3"/>
  <c r="C25" i="4" s="1"/>
  <c r="F7" i="3"/>
  <c r="G7" i="3" s="1"/>
  <c r="F6" i="3"/>
  <c r="C23" i="4" s="1"/>
  <c r="C16" i="19" s="1"/>
  <c r="F5" i="3"/>
  <c r="B2" i="3"/>
  <c r="B1" i="4" s="1"/>
  <c r="B1" i="12" s="1"/>
  <c r="B1" i="5" s="1"/>
  <c r="B1" i="8" s="1"/>
  <c r="B2" i="15" s="1"/>
  <c r="B1" i="16" s="1"/>
  <c r="J24" i="2" l="1"/>
  <c r="J25" i="2"/>
  <c r="J28" i="2"/>
  <c r="G35" i="2"/>
  <c r="G41" i="2"/>
  <c r="H35" i="2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D58" i="3"/>
  <c r="D10" i="5"/>
  <c r="D42" i="19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H19" i="4"/>
  <c r="G17" i="12" s="1"/>
  <c r="C45" i="19"/>
  <c r="D45" i="19" s="1"/>
  <c r="F18" i="4"/>
  <c r="E16" i="12" s="1"/>
  <c r="C44" i="19"/>
  <c r="D44" i="19" s="1"/>
  <c r="D43" i="19"/>
  <c r="E43" i="19" s="1"/>
  <c r="F43" i="19" s="1"/>
  <c r="G43" i="19" s="1"/>
  <c r="H43" i="19" s="1"/>
  <c r="I43" i="19" s="1"/>
  <c r="J43" i="19" s="1"/>
  <c r="K43" i="19" s="1"/>
  <c r="L43" i="19" s="1"/>
  <c r="M43" i="19" s="1"/>
  <c r="N43" i="19" s="1"/>
  <c r="H15" i="4"/>
  <c r="G13" i="12" s="1"/>
  <c r="C41" i="19"/>
  <c r="F14" i="4"/>
  <c r="E12" i="12" s="1"/>
  <c r="C40" i="19"/>
  <c r="D39" i="19"/>
  <c r="E39" i="19" s="1"/>
  <c r="F39" i="19" s="1"/>
  <c r="G39" i="19" s="1"/>
  <c r="H39" i="19" s="1"/>
  <c r="I39" i="19" s="1"/>
  <c r="J39" i="19" s="1"/>
  <c r="K39" i="19" s="1"/>
  <c r="L39" i="19" s="1"/>
  <c r="M39" i="19" s="1"/>
  <c r="N39" i="19" s="1"/>
  <c r="D38" i="19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H11" i="4"/>
  <c r="G9" i="12" s="1"/>
  <c r="C37" i="19"/>
  <c r="D36" i="19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D35" i="19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H8" i="4"/>
  <c r="G6" i="12" s="1"/>
  <c r="C34" i="19"/>
  <c r="D33" i="19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D32" i="19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H25" i="4"/>
  <c r="G25" i="12" s="1"/>
  <c r="C18" i="19"/>
  <c r="F20" i="3"/>
  <c r="J26" i="2"/>
  <c r="J27" i="2"/>
  <c r="I4" i="16"/>
  <c r="J4" i="16" s="1"/>
  <c r="I13" i="16"/>
  <c r="J13" i="16" s="1"/>
  <c r="I16" i="16"/>
  <c r="J16" i="16" s="1"/>
  <c r="I18" i="16"/>
  <c r="J18" i="16" s="1"/>
  <c r="N52" i="3"/>
  <c r="N6" i="5" s="1"/>
  <c r="G5" i="3"/>
  <c r="G36" i="2"/>
  <c r="H36" i="2"/>
  <c r="J35" i="2"/>
  <c r="I39" i="2"/>
  <c r="G39" i="2"/>
  <c r="G40" i="2"/>
  <c r="G37" i="2"/>
  <c r="H40" i="2"/>
  <c r="H34" i="2"/>
  <c r="I37" i="2"/>
  <c r="H38" i="2"/>
  <c r="I41" i="2"/>
  <c r="J41" i="2" s="1"/>
  <c r="H42" i="2"/>
  <c r="I34" i="2"/>
  <c r="I38" i="2"/>
  <c r="I42" i="2"/>
  <c r="G43" i="2"/>
  <c r="H43" i="2"/>
  <c r="F44" i="2"/>
  <c r="F8" i="14" s="1"/>
  <c r="I19" i="2"/>
  <c r="I17" i="2"/>
  <c r="I15" i="2"/>
  <c r="G11" i="2"/>
  <c r="G14" i="2"/>
  <c r="I16" i="2"/>
  <c r="I18" i="2"/>
  <c r="I20" i="2"/>
  <c r="H10" i="2"/>
  <c r="I10" i="2"/>
  <c r="G15" i="2"/>
  <c r="G16" i="2"/>
  <c r="G17" i="2"/>
  <c r="G18" i="2"/>
  <c r="G19" i="2"/>
  <c r="G20" i="2"/>
  <c r="G21" i="2"/>
  <c r="H15" i="2"/>
  <c r="H16" i="2"/>
  <c r="H17" i="2"/>
  <c r="H18" i="2"/>
  <c r="H19" i="2"/>
  <c r="H20" i="2"/>
  <c r="H21" i="2"/>
  <c r="H7" i="2"/>
  <c r="I9" i="2"/>
  <c r="I13" i="2"/>
  <c r="I11" i="16"/>
  <c r="J11" i="16" s="1"/>
  <c r="I7" i="2"/>
  <c r="J12" i="16"/>
  <c r="C22" i="4"/>
  <c r="J22" i="2"/>
  <c r="J23" i="2"/>
  <c r="J29" i="2"/>
  <c r="J30" i="2"/>
  <c r="H14" i="2"/>
  <c r="I14" i="2"/>
  <c r="G13" i="2"/>
  <c r="H13" i="2"/>
  <c r="G12" i="2"/>
  <c r="H12" i="2"/>
  <c r="I12" i="2"/>
  <c r="H11" i="2"/>
  <c r="I11" i="2"/>
  <c r="G10" i="2"/>
  <c r="G9" i="2"/>
  <c r="H9" i="2"/>
  <c r="G8" i="2"/>
  <c r="H8" i="2"/>
  <c r="I8" i="2"/>
  <c r="G7" i="2"/>
  <c r="G6" i="2"/>
  <c r="F31" i="2"/>
  <c r="E8" i="14" s="1"/>
  <c r="H6" i="2"/>
  <c r="I6" i="2"/>
  <c r="G8" i="3"/>
  <c r="E13" i="4"/>
  <c r="D11" i="12" s="1"/>
  <c r="D13" i="4"/>
  <c r="C11" i="12" s="1"/>
  <c r="F17" i="4"/>
  <c r="E15" i="12" s="1"/>
  <c r="F13" i="4"/>
  <c r="E11" i="12" s="1"/>
  <c r="E17" i="4"/>
  <c r="D15" i="12" s="1"/>
  <c r="D17" i="4"/>
  <c r="C15" i="12" s="1"/>
  <c r="E9" i="4"/>
  <c r="D7" i="12" s="1"/>
  <c r="B31" i="12"/>
  <c r="F23" i="4"/>
  <c r="E23" i="12" s="1"/>
  <c r="G6" i="3"/>
  <c r="H9" i="4"/>
  <c r="G7" i="12" s="1"/>
  <c r="D12" i="4"/>
  <c r="C10" i="12" s="1"/>
  <c r="H13" i="4"/>
  <c r="G11" i="12" s="1"/>
  <c r="D16" i="4"/>
  <c r="C14" i="12" s="1"/>
  <c r="H17" i="4"/>
  <c r="G15" i="12" s="1"/>
  <c r="D20" i="4"/>
  <c r="C18" i="12" s="1"/>
  <c r="B4" i="12"/>
  <c r="B17" i="12"/>
  <c r="B24" i="12"/>
  <c r="B32" i="12"/>
  <c r="E12" i="4"/>
  <c r="D10" i="12" s="1"/>
  <c r="E16" i="4"/>
  <c r="D14" i="12" s="1"/>
  <c r="E20" i="4"/>
  <c r="D18" i="12" s="1"/>
  <c r="C24" i="4"/>
  <c r="C27" i="4"/>
  <c r="B7" i="12"/>
  <c r="B13" i="12"/>
  <c r="B22" i="12"/>
  <c r="B26" i="12"/>
  <c r="B35" i="12"/>
  <c r="D9" i="4"/>
  <c r="C7" i="12" s="1"/>
  <c r="H12" i="4"/>
  <c r="G10" i="12" s="1"/>
  <c r="H16" i="4"/>
  <c r="G14" i="12" s="1"/>
  <c r="H20" i="4"/>
  <c r="G18" i="12" s="1"/>
  <c r="B9" i="12"/>
  <c r="B28" i="12"/>
  <c r="B36" i="12"/>
  <c r="B16" i="12"/>
  <c r="B23" i="12"/>
  <c r="F8" i="4"/>
  <c r="E6" i="12" s="1"/>
  <c r="E8" i="4"/>
  <c r="D6" i="12" s="1"/>
  <c r="F11" i="4"/>
  <c r="E9" i="12" s="1"/>
  <c r="E11" i="4"/>
  <c r="D9" i="12" s="1"/>
  <c r="F15" i="4"/>
  <c r="E13" i="12" s="1"/>
  <c r="E15" i="4"/>
  <c r="D13" i="12" s="1"/>
  <c r="F19" i="4"/>
  <c r="E17" i="12" s="1"/>
  <c r="E19" i="4"/>
  <c r="D17" i="12" s="1"/>
  <c r="C26" i="4"/>
  <c r="C19" i="19" s="1"/>
  <c r="G9" i="3"/>
  <c r="B5" i="12"/>
  <c r="D8" i="4"/>
  <c r="C6" i="12" s="1"/>
  <c r="B8" i="12"/>
  <c r="D11" i="4"/>
  <c r="C9" i="12" s="1"/>
  <c r="D15" i="4"/>
  <c r="C13" i="12" s="1"/>
  <c r="D19" i="4"/>
  <c r="C17" i="12" s="1"/>
  <c r="B26" i="19"/>
  <c r="B33" i="12"/>
  <c r="G25" i="4"/>
  <c r="F25" i="12" s="1"/>
  <c r="F25" i="4"/>
  <c r="E25" i="12" s="1"/>
  <c r="E25" i="4"/>
  <c r="D25" i="12" s="1"/>
  <c r="B12" i="12"/>
  <c r="C5" i="4"/>
  <c r="E14" i="4"/>
  <c r="D12" i="12" s="1"/>
  <c r="H14" i="4"/>
  <c r="G12" i="12" s="1"/>
  <c r="D14" i="4"/>
  <c r="C12" i="12" s="1"/>
  <c r="E18" i="4"/>
  <c r="D16" i="12" s="1"/>
  <c r="H18" i="4"/>
  <c r="G16" i="12" s="1"/>
  <c r="D18" i="4"/>
  <c r="C16" i="12" s="1"/>
  <c r="G8" i="4"/>
  <c r="F6" i="12" s="1"/>
  <c r="G11" i="4"/>
  <c r="F9" i="12" s="1"/>
  <c r="G14" i="4"/>
  <c r="F12" i="12" s="1"/>
  <c r="G15" i="4"/>
  <c r="F13" i="12" s="1"/>
  <c r="G18" i="4"/>
  <c r="F16" i="12" s="1"/>
  <c r="G19" i="4"/>
  <c r="F17" i="12" s="1"/>
  <c r="D25" i="4"/>
  <c r="C25" i="12" s="1"/>
  <c r="B27" i="12"/>
  <c r="C28" i="4"/>
  <c r="C21" i="19" s="1"/>
  <c r="C30" i="4"/>
  <c r="B11" i="12"/>
  <c r="B15" i="12"/>
  <c r="G23" i="4"/>
  <c r="F23" i="12" s="1"/>
  <c r="F9" i="4"/>
  <c r="E7" i="12" s="1"/>
  <c r="F12" i="4"/>
  <c r="E10" i="12" s="1"/>
  <c r="G13" i="4"/>
  <c r="F11" i="12" s="1"/>
  <c r="F16" i="4"/>
  <c r="E14" i="12" s="1"/>
  <c r="G17" i="4"/>
  <c r="F15" i="12" s="1"/>
  <c r="F20" i="4"/>
  <c r="E18" i="12" s="1"/>
  <c r="D23" i="4"/>
  <c r="C23" i="12" s="1"/>
  <c r="H23" i="4"/>
  <c r="G23" i="12" s="1"/>
  <c r="B10" i="12"/>
  <c r="B14" i="12"/>
  <c r="B18" i="12"/>
  <c r="B25" i="12"/>
  <c r="B29" i="12"/>
  <c r="G9" i="4"/>
  <c r="F7" i="12" s="1"/>
  <c r="G12" i="4"/>
  <c r="F10" i="12" s="1"/>
  <c r="G16" i="4"/>
  <c r="F14" i="12" s="1"/>
  <c r="G20" i="4"/>
  <c r="F18" i="12" s="1"/>
  <c r="E23" i="4"/>
  <c r="D23" i="12" s="1"/>
  <c r="B6" i="12"/>
  <c r="B30" i="12"/>
  <c r="B34" i="12"/>
  <c r="J6" i="16"/>
  <c r="J5" i="16"/>
  <c r="J7" i="16"/>
  <c r="J8" i="16"/>
  <c r="J9" i="16"/>
  <c r="J10" i="16"/>
  <c r="G18" i="14"/>
  <c r="D37" i="14"/>
  <c r="D39" i="14"/>
  <c r="D41" i="14"/>
  <c r="F42" i="14"/>
  <c r="F40" i="14"/>
  <c r="F38" i="14"/>
  <c r="F41" i="14"/>
  <c r="F39" i="14"/>
  <c r="D38" i="14"/>
  <c r="D40" i="14"/>
  <c r="D42" i="14"/>
  <c r="E56" i="3"/>
  <c r="E8" i="5"/>
  <c r="G7" i="4"/>
  <c r="F5" i="12" s="1"/>
  <c r="D7" i="4"/>
  <c r="C5" i="12" s="1"/>
  <c r="H7" i="4"/>
  <c r="G5" i="12" s="1"/>
  <c r="E7" i="4"/>
  <c r="D5" i="12" s="1"/>
  <c r="F7" i="4"/>
  <c r="E5" i="12" s="1"/>
  <c r="G6" i="4"/>
  <c r="D6" i="4"/>
  <c r="H6" i="4"/>
  <c r="E6" i="4"/>
  <c r="F6" i="4"/>
  <c r="D10" i="4"/>
  <c r="C8" i="12" s="1"/>
  <c r="H10" i="4"/>
  <c r="G8" i="12" s="1"/>
  <c r="E10" i="4"/>
  <c r="D8" i="12" s="1"/>
  <c r="F10" i="4"/>
  <c r="E8" i="12" s="1"/>
  <c r="G10" i="4"/>
  <c r="F8" i="12" s="1"/>
  <c r="G18" i="3"/>
  <c r="C32" i="4"/>
  <c r="C25" i="19" s="1"/>
  <c r="D25" i="19" s="1"/>
  <c r="E25" i="19" s="1"/>
  <c r="F25" i="19" s="1"/>
  <c r="G25" i="19" s="1"/>
  <c r="H25" i="19" s="1"/>
  <c r="I25" i="19" s="1"/>
  <c r="J25" i="19" s="1"/>
  <c r="K25" i="19" s="1"/>
  <c r="L25" i="19" s="1"/>
  <c r="M25" i="19" s="1"/>
  <c r="N25" i="19" s="1"/>
  <c r="G15" i="3"/>
  <c r="C36" i="4"/>
  <c r="C29" i="19" s="1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G19" i="3"/>
  <c r="G17" i="3"/>
  <c r="C34" i="4"/>
  <c r="F34" i="4" s="1"/>
  <c r="E34" i="12" s="1"/>
  <c r="G16" i="3"/>
  <c r="G14" i="3"/>
  <c r="C31" i="4"/>
  <c r="C35" i="4"/>
  <c r="C29" i="4"/>
  <c r="C22" i="19" s="1"/>
  <c r="C33" i="4"/>
  <c r="J21" i="2" l="1"/>
  <c r="J20" i="2"/>
  <c r="J34" i="2"/>
  <c r="O16" i="19"/>
  <c r="O33" i="19"/>
  <c r="O35" i="19"/>
  <c r="O36" i="19"/>
  <c r="O38" i="19"/>
  <c r="O39" i="19"/>
  <c r="O43" i="19"/>
  <c r="O42" i="19"/>
  <c r="O46" i="19"/>
  <c r="E58" i="3"/>
  <c r="E10" i="5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E44" i="19"/>
  <c r="F44" i="19" s="1"/>
  <c r="G44" i="19" s="1"/>
  <c r="H44" i="19" s="1"/>
  <c r="I44" i="19" s="1"/>
  <c r="J44" i="19" s="1"/>
  <c r="K44" i="19" s="1"/>
  <c r="L44" i="19" s="1"/>
  <c r="M44" i="19" s="1"/>
  <c r="N44" i="19" s="1"/>
  <c r="D41" i="19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D40" i="19"/>
  <c r="E40" i="19" s="1"/>
  <c r="F40" i="19" s="1"/>
  <c r="G40" i="19" s="1"/>
  <c r="H40" i="19" s="1"/>
  <c r="I40" i="19" s="1"/>
  <c r="J40" i="19" s="1"/>
  <c r="K40" i="19" s="1"/>
  <c r="L40" i="19" s="1"/>
  <c r="M40" i="19" s="1"/>
  <c r="N40" i="19" s="1"/>
  <c r="D37" i="19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2" i="19"/>
  <c r="D22" i="19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/>
  <c r="D21" i="19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/>
  <c r="D27" i="4"/>
  <c r="C27" i="12" s="1"/>
  <c r="C20" i="19"/>
  <c r="H22" i="4"/>
  <c r="G22" i="12" s="1"/>
  <c r="C15" i="19"/>
  <c r="H30" i="4"/>
  <c r="G30" i="12" s="1"/>
  <c r="C23" i="19"/>
  <c r="D23" i="19" s="1"/>
  <c r="D19" i="19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G24" i="4"/>
  <c r="F24" i="12" s="1"/>
  <c r="C17" i="19"/>
  <c r="D18" i="19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J36" i="2"/>
  <c r="J10" i="2"/>
  <c r="I44" i="2"/>
  <c r="H24" i="4"/>
  <c r="G24" i="12" s="1"/>
  <c r="G22" i="4"/>
  <c r="F22" i="12" s="1"/>
  <c r="E22" i="4"/>
  <c r="D22" i="12" s="1"/>
  <c r="D22" i="4"/>
  <c r="C22" i="12" s="1"/>
  <c r="F22" i="4"/>
  <c r="E22" i="12" s="1"/>
  <c r="J37" i="2"/>
  <c r="J42" i="2"/>
  <c r="J39" i="2"/>
  <c r="J38" i="2"/>
  <c r="J40" i="2"/>
  <c r="H44" i="2"/>
  <c r="J43" i="2"/>
  <c r="G44" i="2"/>
  <c r="J19" i="2"/>
  <c r="J15" i="2"/>
  <c r="J18" i="2"/>
  <c r="J17" i="2"/>
  <c r="J16" i="2"/>
  <c r="I31" i="2"/>
  <c r="J7" i="2"/>
  <c r="J11" i="2"/>
  <c r="J14" i="2"/>
  <c r="J9" i="2"/>
  <c r="J13" i="2"/>
  <c r="J12" i="2"/>
  <c r="H31" i="2"/>
  <c r="J8" i="2"/>
  <c r="J6" i="2"/>
  <c r="G31" i="2"/>
  <c r="K31" i="2" s="1"/>
  <c r="D36" i="4"/>
  <c r="C36" i="12" s="1"/>
  <c r="G27" i="4"/>
  <c r="F27" i="12" s="1"/>
  <c r="E27" i="4"/>
  <c r="D27" i="12" s="1"/>
  <c r="H27" i="4"/>
  <c r="G27" i="12" s="1"/>
  <c r="G36" i="4"/>
  <c r="F36" i="12" s="1"/>
  <c r="D24" i="4"/>
  <c r="C24" i="12" s="1"/>
  <c r="E24" i="4"/>
  <c r="D24" i="12" s="1"/>
  <c r="C31" i="19"/>
  <c r="F24" i="4"/>
  <c r="E24" i="12" s="1"/>
  <c r="F36" i="4"/>
  <c r="E36" i="12" s="1"/>
  <c r="F27" i="4"/>
  <c r="E27" i="12" s="1"/>
  <c r="E36" i="4"/>
  <c r="D36" i="12" s="1"/>
  <c r="H36" i="4"/>
  <c r="G36" i="12" s="1"/>
  <c r="E30" i="4"/>
  <c r="D30" i="12" s="1"/>
  <c r="D34" i="4"/>
  <c r="C34" i="12" s="1"/>
  <c r="G30" i="4"/>
  <c r="F30" i="12" s="1"/>
  <c r="E4" i="12"/>
  <c r="E19" i="12" s="1"/>
  <c r="E7" i="8" s="1"/>
  <c r="F5" i="4"/>
  <c r="F4" i="12"/>
  <c r="F19" i="12" s="1"/>
  <c r="F7" i="8" s="1"/>
  <c r="G5" i="4"/>
  <c r="G4" i="12"/>
  <c r="G19" i="12" s="1"/>
  <c r="G7" i="8" s="1"/>
  <c r="H5" i="4"/>
  <c r="H34" i="4"/>
  <c r="G34" i="12" s="1"/>
  <c r="D30" i="4"/>
  <c r="C30" i="12" s="1"/>
  <c r="G34" i="4"/>
  <c r="F34" i="12" s="1"/>
  <c r="F30" i="4"/>
  <c r="E30" i="12" s="1"/>
  <c r="C4" i="12"/>
  <c r="D5" i="4"/>
  <c r="F28" i="4"/>
  <c r="E28" i="12" s="1"/>
  <c r="H28" i="4"/>
  <c r="G28" i="12" s="1"/>
  <c r="D28" i="4"/>
  <c r="C28" i="12" s="1"/>
  <c r="E28" i="4"/>
  <c r="D28" i="12" s="1"/>
  <c r="G28" i="4"/>
  <c r="F28" i="12" s="1"/>
  <c r="H26" i="4"/>
  <c r="D26" i="4"/>
  <c r="G26" i="4"/>
  <c r="F26" i="12" s="1"/>
  <c r="F26" i="4"/>
  <c r="E26" i="4"/>
  <c r="D26" i="12" s="1"/>
  <c r="D4" i="12"/>
  <c r="D19" i="12" s="1"/>
  <c r="D7" i="8" s="1"/>
  <c r="E5" i="4"/>
  <c r="C21" i="4"/>
  <c r="C37" i="4" s="1"/>
  <c r="I29" i="16"/>
  <c r="C13" i="13" s="1"/>
  <c r="J29" i="16"/>
  <c r="H13" i="14" s="1"/>
  <c r="H29" i="16"/>
  <c r="F29" i="16"/>
  <c r="F56" i="3"/>
  <c r="F54" i="3"/>
  <c r="F8" i="5" s="1"/>
  <c r="F32" i="4"/>
  <c r="E32" i="12" s="1"/>
  <c r="H32" i="4"/>
  <c r="G32" i="12" s="1"/>
  <c r="E32" i="4"/>
  <c r="D32" i="12" s="1"/>
  <c r="D32" i="4"/>
  <c r="C32" i="12" s="1"/>
  <c r="G32" i="4"/>
  <c r="F32" i="12" s="1"/>
  <c r="O29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E34" i="4"/>
  <c r="D34" i="12" s="1"/>
  <c r="G20" i="3"/>
  <c r="O25" i="19"/>
  <c r="C26" i="19"/>
  <c r="H33" i="4"/>
  <c r="G33" i="12" s="1"/>
  <c r="D33" i="4"/>
  <c r="C33" i="12" s="1"/>
  <c r="G33" i="4"/>
  <c r="F33" i="12" s="1"/>
  <c r="F33" i="4"/>
  <c r="E33" i="12" s="1"/>
  <c r="E33" i="4"/>
  <c r="D33" i="12" s="1"/>
  <c r="H29" i="4"/>
  <c r="D29" i="4"/>
  <c r="G29" i="4"/>
  <c r="F29" i="4"/>
  <c r="E29" i="4"/>
  <c r="C28" i="19"/>
  <c r="F35" i="4"/>
  <c r="E35" i="12" s="1"/>
  <c r="E35" i="4"/>
  <c r="D35" i="12" s="1"/>
  <c r="H35" i="4"/>
  <c r="G35" i="12" s="1"/>
  <c r="D35" i="4"/>
  <c r="C35" i="12" s="1"/>
  <c r="G35" i="4"/>
  <c r="F35" i="12" s="1"/>
  <c r="C24" i="19"/>
  <c r="F31" i="4"/>
  <c r="E31" i="12" s="1"/>
  <c r="E31" i="4"/>
  <c r="D31" i="12" s="1"/>
  <c r="H31" i="4"/>
  <c r="G31" i="12" s="1"/>
  <c r="D31" i="4"/>
  <c r="C31" i="12" s="1"/>
  <c r="G31" i="4"/>
  <c r="F31" i="12" s="1"/>
  <c r="C19" i="12" l="1"/>
  <c r="C40" i="12" s="1"/>
  <c r="O34" i="19"/>
  <c r="O37" i="19"/>
  <c r="O40" i="19"/>
  <c r="O41" i="19"/>
  <c r="F58" i="3"/>
  <c r="F10" i="5"/>
  <c r="O45" i="19"/>
  <c r="O44" i="19"/>
  <c r="D17" i="19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D20" i="19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18" i="19"/>
  <c r="O19" i="19"/>
  <c r="D13" i="13"/>
  <c r="J44" i="2"/>
  <c r="J31" i="2"/>
  <c r="D31" i="19"/>
  <c r="C14" i="19"/>
  <c r="C13" i="19" s="1"/>
  <c r="F40" i="12"/>
  <c r="G40" i="12"/>
  <c r="E40" i="12"/>
  <c r="D40" i="12"/>
  <c r="E26" i="12"/>
  <c r="F21" i="4"/>
  <c r="F37" i="4" s="1"/>
  <c r="E21" i="4"/>
  <c r="E37" i="4" s="1"/>
  <c r="G26" i="12"/>
  <c r="H21" i="4"/>
  <c r="H37" i="4" s="1"/>
  <c r="C26" i="12"/>
  <c r="D21" i="4"/>
  <c r="D37" i="4" s="1"/>
  <c r="G21" i="4"/>
  <c r="G37" i="4" s="1"/>
  <c r="G56" i="3"/>
  <c r="G54" i="3"/>
  <c r="G8" i="5" s="1"/>
  <c r="O27" i="19"/>
  <c r="E31" i="19"/>
  <c r="D28" i="19"/>
  <c r="D29" i="12"/>
  <c r="D37" i="12" s="1"/>
  <c r="D8" i="8" s="1"/>
  <c r="C29" i="12"/>
  <c r="D26" i="19"/>
  <c r="E26" i="19" s="1"/>
  <c r="F26" i="19" s="1"/>
  <c r="G26" i="19" s="1"/>
  <c r="H26" i="19" s="1"/>
  <c r="I26" i="19" s="1"/>
  <c r="J26" i="19" s="1"/>
  <c r="K26" i="19" s="1"/>
  <c r="L26" i="19" s="1"/>
  <c r="M26" i="19" s="1"/>
  <c r="N26" i="19" s="1"/>
  <c r="D24" i="19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E29" i="12"/>
  <c r="G29" i="12"/>
  <c r="F29" i="12"/>
  <c r="F37" i="12" s="1"/>
  <c r="F8" i="8" s="1"/>
  <c r="C7" i="8" l="1"/>
  <c r="AA47" i="12"/>
  <c r="C54" i="12" s="1"/>
  <c r="C22" i="8"/>
  <c r="O17" i="19"/>
  <c r="G58" i="3"/>
  <c r="G10" i="5"/>
  <c r="H21" i="8"/>
  <c r="H103" i="8"/>
  <c r="G103" i="8"/>
  <c r="G61" i="8"/>
  <c r="O20" i="19"/>
  <c r="O15" i="19"/>
  <c r="O23" i="19"/>
  <c r="E13" i="13"/>
  <c r="G21" i="8"/>
  <c r="I21" i="8"/>
  <c r="J21" i="8"/>
  <c r="G37" i="12"/>
  <c r="C37" i="12"/>
  <c r="D9" i="8"/>
  <c r="E37" i="12"/>
  <c r="F9" i="8"/>
  <c r="O11" i="19"/>
  <c r="H56" i="3"/>
  <c r="H54" i="3"/>
  <c r="H8" i="5" s="1"/>
  <c r="F31" i="19"/>
  <c r="O26" i="19"/>
  <c r="O24" i="19"/>
  <c r="D14" i="19"/>
  <c r="D13" i="19" s="1"/>
  <c r="D41" i="12"/>
  <c r="D42" i="12" s="1"/>
  <c r="D8" i="13" s="1"/>
  <c r="F41" i="12"/>
  <c r="F42" i="12" s="1"/>
  <c r="F8" i="13" s="1"/>
  <c r="E28" i="19"/>
  <c r="C85" i="12" l="1"/>
  <c r="D54" i="12"/>
  <c r="C62" i="8"/>
  <c r="H58" i="3"/>
  <c r="H10" i="5"/>
  <c r="C69" i="12"/>
  <c r="C104" i="8" s="1"/>
  <c r="G8" i="8"/>
  <c r="G9" i="8" s="1"/>
  <c r="E8" i="8"/>
  <c r="E9" i="8" s="1"/>
  <c r="C8" i="8"/>
  <c r="C9" i="8" s="1"/>
  <c r="F13" i="13"/>
  <c r="G85" i="12"/>
  <c r="D85" i="12"/>
  <c r="F85" i="12"/>
  <c r="E85" i="12"/>
  <c r="E54" i="12"/>
  <c r="E69" i="12"/>
  <c r="F54" i="12"/>
  <c r="F69" i="12"/>
  <c r="G54" i="12"/>
  <c r="G69" i="12"/>
  <c r="D69" i="12"/>
  <c r="G41" i="12"/>
  <c r="G42" i="12" s="1"/>
  <c r="G8" i="13" s="1"/>
  <c r="C41" i="12"/>
  <c r="AA48" i="12" s="1"/>
  <c r="C55" i="12" s="1"/>
  <c r="E41" i="12"/>
  <c r="E42" i="12" s="1"/>
  <c r="E8" i="13" s="1"/>
  <c r="I56" i="3"/>
  <c r="I54" i="3"/>
  <c r="I8" i="5" s="1"/>
  <c r="G31" i="19"/>
  <c r="F28" i="19"/>
  <c r="E14" i="19"/>
  <c r="E13" i="19" s="1"/>
  <c r="I58" i="3" l="1"/>
  <c r="I10" i="5"/>
  <c r="J61" i="8"/>
  <c r="H61" i="8"/>
  <c r="I61" i="8"/>
  <c r="I103" i="8"/>
  <c r="J103" i="8"/>
  <c r="G13" i="13"/>
  <c r="C42" i="12"/>
  <c r="C8" i="13" s="1"/>
  <c r="J56" i="3"/>
  <c r="J54" i="3"/>
  <c r="J8" i="5" s="1"/>
  <c r="H31" i="19"/>
  <c r="F14" i="19"/>
  <c r="F13" i="19" s="1"/>
  <c r="G28" i="19"/>
  <c r="H28" i="19" s="1"/>
  <c r="J58" i="3" l="1"/>
  <c r="J10" i="5"/>
  <c r="F86" i="12"/>
  <c r="F87" i="12" s="1"/>
  <c r="E86" i="12"/>
  <c r="E87" i="12" s="1"/>
  <c r="G86" i="12"/>
  <c r="G87" i="12" s="1"/>
  <c r="D86" i="12"/>
  <c r="D87" i="12" s="1"/>
  <c r="C86" i="12"/>
  <c r="C87" i="12" s="1"/>
  <c r="E70" i="12"/>
  <c r="E71" i="12" s="1"/>
  <c r="D70" i="12"/>
  <c r="D71" i="12" s="1"/>
  <c r="F70" i="12"/>
  <c r="F71" i="12" s="1"/>
  <c r="C70" i="12"/>
  <c r="C71" i="12" s="1"/>
  <c r="G70" i="12"/>
  <c r="G71" i="12" s="1"/>
  <c r="K56" i="3"/>
  <c r="K54" i="3"/>
  <c r="K8" i="5" s="1"/>
  <c r="I28" i="19"/>
  <c r="J28" i="19" s="1"/>
  <c r="K28" i="19" s="1"/>
  <c r="L28" i="19" s="1"/>
  <c r="M28" i="19" s="1"/>
  <c r="N28" i="19" s="1"/>
  <c r="I31" i="19"/>
  <c r="G14" i="19"/>
  <c r="G13" i="19" s="1"/>
  <c r="K58" i="3" l="1"/>
  <c r="K10" i="5"/>
  <c r="D55" i="12"/>
  <c r="C56" i="12"/>
  <c r="O28" i="19"/>
  <c r="L56" i="3"/>
  <c r="L54" i="3"/>
  <c r="L8" i="5" s="1"/>
  <c r="J31" i="19"/>
  <c r="H14" i="19"/>
  <c r="L58" i="3" l="1"/>
  <c r="L10" i="5"/>
  <c r="E55" i="12"/>
  <c r="D56" i="12"/>
  <c r="M56" i="3"/>
  <c r="M54" i="3"/>
  <c r="M8" i="5" s="1"/>
  <c r="K31" i="19"/>
  <c r="H13" i="19"/>
  <c r="I14" i="19"/>
  <c r="I13" i="19" s="1"/>
  <c r="M58" i="3" l="1"/>
  <c r="M10" i="5"/>
  <c r="F55" i="12"/>
  <c r="E56" i="12"/>
  <c r="N56" i="3"/>
  <c r="N54" i="3"/>
  <c r="N8" i="5" s="1"/>
  <c r="L31" i="19"/>
  <c r="J14" i="19"/>
  <c r="N58" i="3" l="1"/>
  <c r="N10" i="5"/>
  <c r="O52" i="3"/>
  <c r="G55" i="12"/>
  <c r="G56" i="12" s="1"/>
  <c r="F56" i="12"/>
  <c r="O56" i="3"/>
  <c r="O54" i="3"/>
  <c r="C72" i="12" s="1"/>
  <c r="M31" i="19"/>
  <c r="J13" i="19"/>
  <c r="K14" i="19"/>
  <c r="K13" i="19" s="1"/>
  <c r="C57" i="12" l="1"/>
  <c r="C58" i="12" s="1"/>
  <c r="O58" i="3"/>
  <c r="C88" i="12"/>
  <c r="C89" i="12" s="1"/>
  <c r="C43" i="12"/>
  <c r="D57" i="12"/>
  <c r="D72" i="12"/>
  <c r="C73" i="12"/>
  <c r="N31" i="19"/>
  <c r="O31" i="19" s="1"/>
  <c r="L14" i="19"/>
  <c r="L13" i="19" s="1"/>
  <c r="C95" i="12" l="1"/>
  <c r="C79" i="12"/>
  <c r="C80" i="12" s="1"/>
  <c r="C102" i="8" s="1"/>
  <c r="C103" i="8"/>
  <c r="C64" i="12"/>
  <c r="C65" i="12" s="1"/>
  <c r="C60" i="8" s="1"/>
  <c r="C61" i="8"/>
  <c r="D88" i="12"/>
  <c r="E57" i="12"/>
  <c r="D58" i="12"/>
  <c r="D73" i="12"/>
  <c r="E72" i="12"/>
  <c r="C44" i="12"/>
  <c r="D43" i="12"/>
  <c r="E43" i="12" s="1"/>
  <c r="M14" i="19"/>
  <c r="C96" i="12" l="1"/>
  <c r="C57" i="3" s="1"/>
  <c r="C55" i="3"/>
  <c r="C9" i="5" s="1"/>
  <c r="C7" i="19" s="1"/>
  <c r="C21" i="8"/>
  <c r="G102" i="8" s="1"/>
  <c r="G104" i="8" s="1"/>
  <c r="C50" i="12"/>
  <c r="C51" i="12" s="1"/>
  <c r="C20" i="8" s="1"/>
  <c r="C63" i="8"/>
  <c r="F64" i="8" s="1"/>
  <c r="C105" i="8"/>
  <c r="C7" i="5"/>
  <c r="C5" i="19" s="1"/>
  <c r="E88" i="12"/>
  <c r="D89" i="12"/>
  <c r="F57" i="12"/>
  <c r="E58" i="12"/>
  <c r="F72" i="12"/>
  <c r="E73" i="12"/>
  <c r="D44" i="12"/>
  <c r="E44" i="12"/>
  <c r="F43" i="12"/>
  <c r="M13" i="19"/>
  <c r="N14" i="19"/>
  <c r="N13" i="19" s="1"/>
  <c r="G60" i="8" l="1"/>
  <c r="G62" i="8" s="1"/>
  <c r="D55" i="3"/>
  <c r="D57" i="3"/>
  <c r="C59" i="3"/>
  <c r="I58" i="8"/>
  <c r="J58" i="8" s="1"/>
  <c r="C64" i="8"/>
  <c r="I100" i="8"/>
  <c r="F106" i="8"/>
  <c r="C106" i="8"/>
  <c r="G59" i="8"/>
  <c r="G63" i="8" s="1"/>
  <c r="G101" i="8"/>
  <c r="G105" i="8" s="1"/>
  <c r="C18" i="5"/>
  <c r="D9" i="5"/>
  <c r="D7" i="19" s="1"/>
  <c r="D53" i="3"/>
  <c r="G19" i="8"/>
  <c r="F88" i="12"/>
  <c r="E89" i="12"/>
  <c r="C4" i="19"/>
  <c r="F58" i="12"/>
  <c r="G57" i="12"/>
  <c r="G58" i="12" s="1"/>
  <c r="E55" i="3"/>
  <c r="F73" i="12"/>
  <c r="G72" i="12"/>
  <c r="G73" i="12" s="1"/>
  <c r="G20" i="8"/>
  <c r="G22" i="8" s="1"/>
  <c r="O13" i="19"/>
  <c r="G43" i="12"/>
  <c r="G44" i="12" s="1"/>
  <c r="F44" i="12"/>
  <c r="O14" i="19"/>
  <c r="D59" i="3" l="1"/>
  <c r="H58" i="8"/>
  <c r="H59" i="8" s="1"/>
  <c r="D11" i="5"/>
  <c r="D9" i="19" s="1"/>
  <c r="E57" i="3"/>
  <c r="I59" i="8"/>
  <c r="I60" i="8"/>
  <c r="I62" i="8" s="1"/>
  <c r="J60" i="8"/>
  <c r="J62" i="8" s="1"/>
  <c r="J59" i="8"/>
  <c r="J100" i="8"/>
  <c r="I101" i="8"/>
  <c r="H100" i="8"/>
  <c r="I102" i="8"/>
  <c r="I104" i="8" s="1"/>
  <c r="E9" i="5"/>
  <c r="E7" i="19" s="1"/>
  <c r="E53" i="3"/>
  <c r="D7" i="5"/>
  <c r="D5" i="19" s="1"/>
  <c r="G88" i="12"/>
  <c r="G89" i="12" s="1"/>
  <c r="F89" i="12"/>
  <c r="F55" i="3"/>
  <c r="C23" i="8"/>
  <c r="I18" i="8" s="1"/>
  <c r="J18" i="8" s="1"/>
  <c r="C48" i="19"/>
  <c r="C49" i="19" s="1"/>
  <c r="G23" i="8"/>
  <c r="H60" i="8" l="1"/>
  <c r="H62" i="8" s="1"/>
  <c r="E59" i="3"/>
  <c r="E11" i="5"/>
  <c r="E9" i="19" s="1"/>
  <c r="F57" i="3"/>
  <c r="I63" i="8"/>
  <c r="H102" i="8"/>
  <c r="H104" i="8" s="1"/>
  <c r="H101" i="8"/>
  <c r="J101" i="8"/>
  <c r="J102" i="8"/>
  <c r="J104" i="8" s="1"/>
  <c r="I105" i="8"/>
  <c r="J63" i="8"/>
  <c r="H63" i="8"/>
  <c r="F9" i="5"/>
  <c r="F7" i="19" s="1"/>
  <c r="D18" i="5"/>
  <c r="H18" i="8"/>
  <c r="F53" i="3"/>
  <c r="F59" i="3" s="1"/>
  <c r="E7" i="5"/>
  <c r="E5" i="19" s="1"/>
  <c r="C24" i="8"/>
  <c r="I20" i="8"/>
  <c r="I22" i="8" s="1"/>
  <c r="I19" i="8"/>
  <c r="F24" i="8"/>
  <c r="G55" i="3"/>
  <c r="F11" i="5" l="1"/>
  <c r="F9" i="19" s="1"/>
  <c r="G57" i="3"/>
  <c r="H105" i="8"/>
  <c r="J105" i="8"/>
  <c r="H19" i="8"/>
  <c r="H20" i="8"/>
  <c r="H22" i="8" s="1"/>
  <c r="E18" i="5"/>
  <c r="G9" i="5"/>
  <c r="G7" i="19" s="1"/>
  <c r="G53" i="3"/>
  <c r="F7" i="5"/>
  <c r="F5" i="19" s="1"/>
  <c r="J20" i="8"/>
  <c r="J22" i="8" s="1"/>
  <c r="J19" i="8"/>
  <c r="I23" i="8"/>
  <c r="E4" i="19"/>
  <c r="E48" i="19" s="1"/>
  <c r="H55" i="3"/>
  <c r="D4" i="19"/>
  <c r="D48" i="19" s="1"/>
  <c r="D49" i="19" s="1"/>
  <c r="G59" i="3" l="1"/>
  <c r="G11" i="5"/>
  <c r="G9" i="19" s="1"/>
  <c r="H57" i="3"/>
  <c r="H23" i="8"/>
  <c r="H9" i="5"/>
  <c r="H7" i="19" s="1"/>
  <c r="F18" i="5"/>
  <c r="H53" i="3"/>
  <c r="H59" i="3" s="1"/>
  <c r="G7" i="5"/>
  <c r="G5" i="19" s="1"/>
  <c r="J23" i="8"/>
  <c r="I55" i="3"/>
  <c r="E49" i="19"/>
  <c r="H11" i="5" l="1"/>
  <c r="H9" i="19" s="1"/>
  <c r="I57" i="3"/>
  <c r="G18" i="5"/>
  <c r="I9" i="5"/>
  <c r="I7" i="19" s="1"/>
  <c r="I53" i="3"/>
  <c r="H7" i="5"/>
  <c r="H5" i="19" s="1"/>
  <c r="G4" i="19"/>
  <c r="G48" i="19" s="1"/>
  <c r="J55" i="3"/>
  <c r="F4" i="19"/>
  <c r="F48" i="19" s="1"/>
  <c r="F49" i="19" s="1"/>
  <c r="I11" i="5" l="1"/>
  <c r="I9" i="19" s="1"/>
  <c r="J57" i="3"/>
  <c r="I59" i="3"/>
  <c r="G49" i="19"/>
  <c r="J9" i="5"/>
  <c r="J7" i="19" s="1"/>
  <c r="J53" i="3"/>
  <c r="J59" i="3" s="1"/>
  <c r="I7" i="5"/>
  <c r="I5" i="19" s="1"/>
  <c r="H18" i="5"/>
  <c r="H4" i="19"/>
  <c r="H48" i="19" s="1"/>
  <c r="K55" i="3"/>
  <c r="J11" i="5" l="1"/>
  <c r="J9" i="19" s="1"/>
  <c r="K57" i="3"/>
  <c r="K9" i="5"/>
  <c r="K7" i="19" s="1"/>
  <c r="H49" i="19"/>
  <c r="K53" i="3"/>
  <c r="J7" i="5"/>
  <c r="J5" i="19" s="1"/>
  <c r="I18" i="5"/>
  <c r="I4" i="19"/>
  <c r="I48" i="19" s="1"/>
  <c r="L55" i="3"/>
  <c r="K11" i="5" l="1"/>
  <c r="K9" i="19" s="1"/>
  <c r="L57" i="3"/>
  <c r="K59" i="3"/>
  <c r="I49" i="19"/>
  <c r="L9" i="5"/>
  <c r="L7" i="19" s="1"/>
  <c r="J18" i="5"/>
  <c r="L53" i="3"/>
  <c r="K7" i="5"/>
  <c r="K5" i="19" s="1"/>
  <c r="J4" i="19"/>
  <c r="J48" i="19" s="1"/>
  <c r="M55" i="3"/>
  <c r="L11" i="5" l="1"/>
  <c r="L9" i="19" s="1"/>
  <c r="M57" i="3"/>
  <c r="L59" i="3"/>
  <c r="J49" i="19"/>
  <c r="M9" i="5"/>
  <c r="M7" i="19" s="1"/>
  <c r="M53" i="3"/>
  <c r="M59" i="3" s="1"/>
  <c r="L7" i="5"/>
  <c r="L5" i="19" s="1"/>
  <c r="K18" i="5"/>
  <c r="K4" i="19"/>
  <c r="K48" i="19" s="1"/>
  <c r="N55" i="3"/>
  <c r="M11" i="5" l="1"/>
  <c r="M9" i="19" s="1"/>
  <c r="N57" i="3"/>
  <c r="N9" i="5"/>
  <c r="N7" i="19" s="1"/>
  <c r="O7" i="19" s="1"/>
  <c r="N53" i="3"/>
  <c r="N59" i="3" s="1"/>
  <c r="M7" i="5"/>
  <c r="M5" i="19" s="1"/>
  <c r="L18" i="5"/>
  <c r="L4" i="19"/>
  <c r="L48" i="19" s="1"/>
  <c r="O55" i="3"/>
  <c r="K49" i="19"/>
  <c r="N11" i="5" l="1"/>
  <c r="O57" i="3"/>
  <c r="O8" i="5"/>
  <c r="C23" i="5" s="1"/>
  <c r="D23" i="5" s="1"/>
  <c r="E23" i="5" s="1"/>
  <c r="F23" i="5" s="1"/>
  <c r="G23" i="5" s="1"/>
  <c r="H23" i="5" s="1"/>
  <c r="I23" i="5" s="1"/>
  <c r="J23" i="5" s="1"/>
  <c r="M18" i="5"/>
  <c r="O53" i="3"/>
  <c r="N7" i="5"/>
  <c r="L49" i="19"/>
  <c r="M4" i="19"/>
  <c r="M48" i="19" s="1"/>
  <c r="O10" i="5" l="1"/>
  <c r="C24" i="5" s="1"/>
  <c r="D24" i="5" s="1"/>
  <c r="E24" i="5" s="1"/>
  <c r="F24" i="5" s="1"/>
  <c r="G24" i="5" s="1"/>
  <c r="H24" i="5" s="1"/>
  <c r="I24" i="5" s="1"/>
  <c r="J24" i="5" s="1"/>
  <c r="N9" i="19"/>
  <c r="O9" i="19" s="1"/>
  <c r="O59" i="3"/>
  <c r="N18" i="5"/>
  <c r="N5" i="19"/>
  <c r="O5" i="19" s="1"/>
  <c r="O6" i="5"/>
  <c r="C22" i="5" s="1"/>
  <c r="D22" i="5" s="1"/>
  <c r="E22" i="5" s="1"/>
  <c r="F22" i="5" s="1"/>
  <c r="G22" i="5" s="1"/>
  <c r="H22" i="5" s="1"/>
  <c r="I22" i="5" s="1"/>
  <c r="J22" i="5" s="1"/>
  <c r="M49" i="19"/>
  <c r="N4" i="19" l="1"/>
  <c r="O4" i="19" s="1"/>
  <c r="O18" i="5"/>
  <c r="C35" i="5"/>
  <c r="D35" i="5"/>
  <c r="D6" i="8" l="1"/>
  <c r="D10" i="8" s="1"/>
  <c r="D11" i="8" s="1"/>
  <c r="D7" i="13"/>
  <c r="C7" i="13"/>
  <c r="C10" i="13" s="1"/>
  <c r="C6" i="8"/>
  <c r="C9" i="14"/>
  <c r="D19" i="14" s="1"/>
  <c r="G19" i="14" s="1"/>
  <c r="N48" i="19"/>
  <c r="O48" i="19" s="1"/>
  <c r="C12" i="13"/>
  <c r="C20" i="13" s="1"/>
  <c r="C10" i="8"/>
  <c r="C11" i="8" s="1"/>
  <c r="C10" i="14"/>
  <c r="C18" i="13" l="1"/>
  <c r="C19" i="13"/>
  <c r="N49" i="19"/>
  <c r="C51" i="19" s="1"/>
  <c r="E35" i="5"/>
  <c r="D12" i="13"/>
  <c r="D19" i="13" s="1"/>
  <c r="D10" i="13"/>
  <c r="D20" i="14"/>
  <c r="F35" i="5"/>
  <c r="C21" i="13"/>
  <c r="C23" i="13" l="1"/>
  <c r="C30" i="13" s="1"/>
  <c r="E6" i="8"/>
  <c r="E10" i="8" s="1"/>
  <c r="E11" i="8" s="1"/>
  <c r="E7" i="13"/>
  <c r="E10" i="13" s="1"/>
  <c r="E47" i="2"/>
  <c r="F47" i="2" s="1"/>
  <c r="F6" i="8"/>
  <c r="F10" i="8" s="1"/>
  <c r="F11" i="8" s="1"/>
  <c r="F7" i="13"/>
  <c r="C26" i="13"/>
  <c r="C11" i="14"/>
  <c r="D21" i="14" s="1"/>
  <c r="G21" i="14" s="1"/>
  <c r="G35" i="5"/>
  <c r="G20" i="14"/>
  <c r="C12" i="14"/>
  <c r="D21" i="13"/>
  <c r="D18" i="13"/>
  <c r="D20" i="13"/>
  <c r="C29" i="13" l="1"/>
  <c r="D26" i="13"/>
  <c r="D9" i="14"/>
  <c r="C19" i="14" s="1"/>
  <c r="F19" i="14" s="1"/>
  <c r="L18" i="14" s="1"/>
  <c r="C24" i="13"/>
  <c r="G47" i="2"/>
  <c r="G48" i="2" s="1"/>
  <c r="G50" i="2" s="1"/>
  <c r="L31" i="2" s="1"/>
  <c r="I47" i="2"/>
  <c r="I48" i="2" s="1"/>
  <c r="I50" i="2" s="1"/>
  <c r="H47" i="2"/>
  <c r="H48" i="2" s="1"/>
  <c r="H50" i="2" s="1"/>
  <c r="F48" i="2"/>
  <c r="F50" i="2" s="1"/>
  <c r="G7" i="13"/>
  <c r="G6" i="8"/>
  <c r="G10" i="8" s="1"/>
  <c r="G11" i="8" s="1"/>
  <c r="E12" i="13"/>
  <c r="D10" i="14"/>
  <c r="F12" i="13"/>
  <c r="F19" i="13" s="1"/>
  <c r="F10" i="13"/>
  <c r="C13" i="14"/>
  <c r="D23" i="14" s="1"/>
  <c r="G23" i="14" s="1"/>
  <c r="D23" i="13"/>
  <c r="D22" i="14"/>
  <c r="H35" i="5"/>
  <c r="J9" i="14" l="1"/>
  <c r="J47" i="2"/>
  <c r="J48" i="2" s="1"/>
  <c r="J50" i="2" s="1"/>
  <c r="E18" i="13"/>
  <c r="E19" i="13"/>
  <c r="G8" i="14"/>
  <c r="J8" i="14" s="1"/>
  <c r="D29" i="13"/>
  <c r="D24" i="13"/>
  <c r="E20" i="13"/>
  <c r="E21" i="13"/>
  <c r="C20" i="14"/>
  <c r="J10" i="14"/>
  <c r="G22" i="14"/>
  <c r="F18" i="13"/>
  <c r="F21" i="13"/>
  <c r="F20" i="13"/>
  <c r="G10" i="13"/>
  <c r="G12" i="13"/>
  <c r="G19" i="13" s="1"/>
  <c r="J35" i="5"/>
  <c r="I35" i="5"/>
  <c r="H19" i="14"/>
  <c r="F26" i="13" l="1"/>
  <c r="C18" i="14"/>
  <c r="F18" i="14" s="1"/>
  <c r="H18" i="14" s="1"/>
  <c r="E26" i="13"/>
  <c r="D11" i="14" s="1"/>
  <c r="J11" i="14" s="1"/>
  <c r="E23" i="13"/>
  <c r="F23" i="13"/>
  <c r="D24" i="14"/>
  <c r="G24" i="14"/>
  <c r="G21" i="13"/>
  <c r="G20" i="13"/>
  <c r="G18" i="13"/>
  <c r="D12" i="14"/>
  <c r="F20" i="14"/>
  <c r="C38" i="14"/>
  <c r="D6" i="15"/>
  <c r="C37" i="14" l="1"/>
  <c r="E37" i="14" s="1"/>
  <c r="C6" i="15"/>
  <c r="C7" i="15" s="1"/>
  <c r="G26" i="13"/>
  <c r="D13" i="14" s="1"/>
  <c r="J13" i="14" s="1"/>
  <c r="F29" i="13"/>
  <c r="F24" i="13"/>
  <c r="E29" i="13"/>
  <c r="E24" i="13"/>
  <c r="D7" i="15"/>
  <c r="C21" i="14"/>
  <c r="F21" i="14" s="1"/>
  <c r="L20" i="14" s="1"/>
  <c r="C22" i="14"/>
  <c r="F22" i="14" s="1"/>
  <c r="J12" i="14"/>
  <c r="H20" i="14"/>
  <c r="L19" i="14"/>
  <c r="G23" i="13"/>
  <c r="E38" i="14"/>
  <c r="G38" i="14"/>
  <c r="G37" i="14" l="1"/>
  <c r="G29" i="13"/>
  <c r="G24" i="13"/>
  <c r="H21" i="14"/>
  <c r="C40" i="14" s="1"/>
  <c r="C23" i="14"/>
  <c r="F23" i="14" s="1"/>
  <c r="L22" i="14" s="1"/>
  <c r="C24" i="14"/>
  <c r="C39" i="14"/>
  <c r="E6" i="15"/>
  <c r="E7" i="15" s="1"/>
  <c r="F6" i="15" l="1"/>
  <c r="F7" i="15" s="1"/>
  <c r="H23" i="14"/>
  <c r="H22" i="14"/>
  <c r="L21" i="14"/>
  <c r="F24" i="14"/>
  <c r="E29" i="14" s="1"/>
  <c r="G40" i="14"/>
  <c r="E40" i="14"/>
  <c r="E39" i="14"/>
  <c r="G39" i="14"/>
  <c r="H24" i="14" l="1"/>
  <c r="H6" i="15"/>
  <c r="E28" i="14"/>
  <c r="F28" i="14" s="1"/>
  <c r="F29" i="14"/>
  <c r="L23" i="14"/>
  <c r="L24" i="14"/>
  <c r="C42" i="14"/>
  <c r="G42" i="14" s="1"/>
  <c r="C41" i="14"/>
  <c r="G6" i="15"/>
  <c r="G7" i="15" s="1"/>
  <c r="H7" i="15" l="1"/>
  <c r="E27" i="14"/>
  <c r="F27" i="14" s="1"/>
  <c r="E42" i="14"/>
  <c r="F46" i="14"/>
  <c r="E41" i="14"/>
  <c r="G41" i="14"/>
  <c r="G43" i="14" s="1"/>
  <c r="F47" i="14" s="1"/>
  <c r="C43" i="14"/>
  <c r="E43" i="14" l="1"/>
  <c r="C50" i="14" s="1"/>
  <c r="C51" i="14" l="1"/>
  <c r="D50" i="14" s="1"/>
  <c r="F48" i="14"/>
  <c r="G47" i="14" s="1"/>
</calcChain>
</file>

<file path=xl/comments1.xml><?xml version="1.0" encoding="utf-8"?>
<comments xmlns="http://schemas.openxmlformats.org/spreadsheetml/2006/main">
  <authors>
    <author>SAUL BAUTISTA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ENLISTARAN TODOS LOS ARTICULOS A ADQUIRIR CON EL RECURSO DEL PROGRAMA.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MEDIDA DE COMPRA DE LOS ARTICULOS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CANTIDAD DE ARTICULOS POR ADQUIRIR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COSTO DE COMPRA DE LOS ARTICULOS A ADQUIRIR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BIENES DURADEROS PARA EL FUNCIONAMIENTO DEL PROYECTO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SON GASTOS PAGADOS POR ANTICIPADO PERO NECESARIOS PARA LA APERTURA DEL PROYECTO</t>
        </r>
      </text>
    </comment>
    <comment ref="B46" authorId="0" shapeId="0">
      <text>
        <r>
          <rPr>
            <b/>
            <sz val="9"/>
            <color indexed="32"/>
            <rFont val="Arial"/>
            <family val="2"/>
          </rPr>
          <t>INSUMOS DE PRONTA UTILIZACION INDISPENSABLES PARA LA OPERACIÓN DEL PROYECTO</t>
        </r>
      </text>
    </comment>
  </commentList>
</comments>
</file>

<file path=xl/comments2.xml><?xml version="1.0" encoding="utf-8"?>
<comments xmlns="http://schemas.openxmlformats.org/spreadsheetml/2006/main">
  <authors>
    <author>ISRAEL VARGAS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Son los que se tienen que pagar sin importar si la empresa produce mayor o menor cantidad de productos, ejemplo: Rentas, Sueldos, Luz, Telefono,etc.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Son aquellos que varían al incrementar la producción o disminuir.</t>
        </r>
      </text>
    </comment>
  </commentList>
</comments>
</file>

<file path=xl/comments3.xml><?xml version="1.0" encoding="utf-8"?>
<comments xmlns="http://schemas.openxmlformats.org/spreadsheetml/2006/main">
  <authors>
    <author>ISRAEL VARGAS</author>
  </authors>
  <commentList>
    <comment ref="B3" authorId="0" shapeId="0">
      <text>
        <r>
          <rPr>
            <b/>
            <sz val="9"/>
            <color indexed="32"/>
            <rFont val="Arial"/>
            <family val="2"/>
          </rPr>
          <t>Son los que se tienen que pagar sin importar si la empresa produce mayor o menor cantidad de productos, ejemplo: Rentas, Sueldos, Luz, Telefono,etc.</t>
        </r>
      </text>
    </comment>
    <comment ref="B21" authorId="0" shapeId="0">
      <text>
        <r>
          <rPr>
            <b/>
            <sz val="9"/>
            <color indexed="32"/>
            <rFont val="Arial"/>
            <family val="2"/>
          </rPr>
          <t>Son aquellos que varían al incrementar la producción o disminuir.</t>
        </r>
      </text>
    </comment>
  </commentList>
</comments>
</file>

<file path=xl/comments4.xml><?xml version="1.0" encoding="utf-8"?>
<comments xmlns="http://schemas.openxmlformats.org/spreadsheetml/2006/main">
  <authors>
    <author>usuario01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CALCULAR EL PUNTO DE EQUILIBRIO EN PORCENTAJE DE VENTAS CON LA FORMULA ESTUDIADA.</t>
        </r>
      </text>
    </comment>
  </commentList>
</comments>
</file>

<file path=xl/sharedStrings.xml><?xml version="1.0" encoding="utf-8"?>
<sst xmlns="http://schemas.openxmlformats.org/spreadsheetml/2006/main" count="439" uniqueCount="267">
  <si>
    <t>CONCEPTOS</t>
  </si>
  <si>
    <t>UNIDAD</t>
  </si>
  <si>
    <t>CANTIDAD</t>
  </si>
  <si>
    <t>COSTO UNITARIO</t>
  </si>
  <si>
    <t>MONTOS</t>
  </si>
  <si>
    <t>TOTAL</t>
  </si>
  <si>
    <t>ACTIVO FIJO</t>
  </si>
  <si>
    <t>ACTIVO DIFERIDO</t>
  </si>
  <si>
    <t>CAPITAL DE TRABAJO</t>
  </si>
  <si>
    <t>VENTAS</t>
  </si>
  <si>
    <t xml:space="preserve">CONCEPTO </t>
  </si>
  <si>
    <t>COSTOS DEL PROYECTO</t>
  </si>
  <si>
    <t>PROYECCION DE INGRESOS</t>
  </si>
  <si>
    <t>COSTOS FIJOS</t>
  </si>
  <si>
    <t>AÑO 1</t>
  </si>
  <si>
    <t>AÑO 2</t>
  </si>
  <si>
    <t>AÑO 3</t>
  </si>
  <si>
    <t>AÑO 4</t>
  </si>
  <si>
    <t>AÑO 5</t>
  </si>
  <si>
    <t>COSTOS VARIABLES</t>
  </si>
  <si>
    <t xml:space="preserve">COSTOS FIJOS </t>
  </si>
  <si>
    <t>COSTOS TOTALES</t>
  </si>
  <si>
    <t>CONCEPTOS / AÑO</t>
  </si>
  <si>
    <t xml:space="preserve">PUNTO DE EQUILIBRIO $ </t>
  </si>
  <si>
    <t>PUNTO DE EQUILIBRIO %</t>
  </si>
  <si>
    <t>MEMORIAS DE CALCULO</t>
  </si>
  <si>
    <t>CONCEPTO</t>
  </si>
  <si>
    <t>presupuesto</t>
  </si>
  <si>
    <t>ESTADO DE RESULTADOS CONSOLIDADO PROYECTADO</t>
  </si>
  <si>
    <t>( PESOS )</t>
  </si>
  <si>
    <t>CONCEPTO/PERIODO</t>
  </si>
  <si>
    <t xml:space="preserve">P r o y e c t a d o s </t>
  </si>
  <si>
    <t>Año 1</t>
  </si>
  <si>
    <t>Año 2</t>
  </si>
  <si>
    <t>Año 3</t>
  </si>
  <si>
    <t>Año 4</t>
  </si>
  <si>
    <t>Año 5</t>
  </si>
  <si>
    <t>INGRESOS POR VENTAS</t>
  </si>
  <si>
    <t>COSTOS DE PRODUCCION</t>
  </si>
  <si>
    <t>UTILIDAD  BRUTA</t>
  </si>
  <si>
    <t>UTILIDAD DE OPERACIÓN</t>
  </si>
  <si>
    <t xml:space="preserve">UTILIDADES ANTES DE IMPUESTOS </t>
  </si>
  <si>
    <t>PTU (10%)</t>
  </si>
  <si>
    <t xml:space="preserve">UTILIDAD NETA </t>
  </si>
  <si>
    <t>Egresos Totales</t>
  </si>
  <si>
    <t>EVALUACION FINANCIERA</t>
  </si>
  <si>
    <t>INDICADORES FINANCIEROS</t>
  </si>
  <si>
    <t>FLUJO NETO DE EFECTIVO</t>
  </si>
  <si>
    <t>Inversiones para el proyecto</t>
  </si>
  <si>
    <t>Valor de Rescate</t>
  </si>
  <si>
    <t>Flujo Neto de Efectivo</t>
  </si>
  <si>
    <t>Fija</t>
  </si>
  <si>
    <t>Diferida</t>
  </si>
  <si>
    <t>Cap de trab.</t>
  </si>
  <si>
    <t>Total</t>
  </si>
  <si>
    <t>Los indicadores financieros que arroja el proyecto son:</t>
  </si>
  <si>
    <t>VAN=</t>
  </si>
  <si>
    <t>TIR =</t>
  </si>
  <si>
    <t>B/C =</t>
  </si>
  <si>
    <t xml:space="preserve"> </t>
  </si>
  <si>
    <t>SUBTOTAL</t>
  </si>
  <si>
    <t>PERÍODO DE RECUPERACIÓN DE LA INVERSION</t>
  </si>
  <si>
    <t>FLUJO ACT.</t>
  </si>
  <si>
    <t>SALDO</t>
  </si>
  <si>
    <t xml:space="preserve">El ultimo saldo negativo corresponde  </t>
  </si>
  <si>
    <t>al numero de años de recuperacion</t>
  </si>
  <si>
    <t>Periodo de recuperacion</t>
  </si>
  <si>
    <t>años</t>
  </si>
  <si>
    <t>Calculo de Depreciaciones</t>
  </si>
  <si>
    <t>COSTO          UNITARIO</t>
  </si>
  <si>
    <t>Proyeccion de costos</t>
  </si>
  <si>
    <t>Utilidad por socio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</si>
  <si>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</si>
  <si>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</si>
  <si>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</si>
  <si>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</si>
  <si>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</si>
  <si>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</si>
  <si>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</si>
  <si>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</si>
  <si>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</si>
  <si>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</si>
  <si>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</si>
  <si>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</si>
  <si>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Años</t>
  </si>
  <si>
    <t>Flujo Neto</t>
  </si>
  <si>
    <t>Tasa de</t>
  </si>
  <si>
    <t>Flujo Neto de</t>
  </si>
  <si>
    <t>de Efectivo</t>
  </si>
  <si>
    <t>Descuento</t>
  </si>
  <si>
    <t>Efect. Actualz</t>
  </si>
  <si>
    <t>VAN 1</t>
  </si>
  <si>
    <t>VAN 2</t>
  </si>
  <si>
    <t xml:space="preserve"> TIR=</t>
  </si>
  <si>
    <t>MESES</t>
  </si>
  <si>
    <t>Partida</t>
  </si>
  <si>
    <t>Insumos de Producción</t>
  </si>
  <si>
    <t>ITEM</t>
  </si>
  <si>
    <t>VOLUMEN ESTIMADO DE VENTAS</t>
  </si>
  <si>
    <t>Precio de Venta ($/Und).</t>
  </si>
  <si>
    <t>COSTO/UNIDAD</t>
  </si>
  <si>
    <t>FUENTE DE FINANCIAMIENTO</t>
  </si>
  <si>
    <t>APORTACIÓN SOCIOS</t>
  </si>
  <si>
    <t>OTROS CREDITOS</t>
  </si>
  <si>
    <t>C. FIJOS</t>
  </si>
  <si>
    <t>C. VARIABLES</t>
  </si>
  <si>
    <t>ESTUDIOS</t>
  </si>
  <si>
    <t>MARKETING</t>
  </si>
  <si>
    <t>PROYECTOS</t>
  </si>
  <si>
    <t>ANALIS</t>
  </si>
  <si>
    <t>TRATADOS</t>
  </si>
  <si>
    <t>CONVENIOS</t>
  </si>
  <si>
    <t>GIRAS</t>
  </si>
  <si>
    <t>EXPO</t>
  </si>
  <si>
    <t>TANTERO</t>
  </si>
  <si>
    <t>UNIDADES PRODUCIDAS</t>
  </si>
  <si>
    <t>Nombre del material</t>
  </si>
  <si>
    <t>Unidad de compra</t>
  </si>
  <si>
    <t>Costo por unidad de compra</t>
  </si>
  <si>
    <t>PRODUCTO 3</t>
  </si>
  <si>
    <t>TOTAL PRODUCTOS</t>
  </si>
  <si>
    <t>Consumo anual</t>
  </si>
  <si>
    <t>SERVICIOS Y GASTOS</t>
  </si>
  <si>
    <t>TOTAL ANUAL</t>
  </si>
  <si>
    <t>Consumo Anual</t>
  </si>
  <si>
    <t>Unidad de Compra</t>
  </si>
  <si>
    <t>COSTOS MENSUAL</t>
  </si>
  <si>
    <t>Precio maximo</t>
  </si>
  <si>
    <t>Precio minimo</t>
  </si>
  <si>
    <t>% De Margen Utilidad</t>
  </si>
  <si>
    <t xml:space="preserve">Precio por unidad </t>
  </si>
  <si>
    <t>Precio promedio/prospectado</t>
  </si>
  <si>
    <t>% Incremento Producción</t>
  </si>
  <si>
    <t>Cantidad de compra al mes</t>
  </si>
  <si>
    <t>OTROS INGRESOS 1</t>
  </si>
  <si>
    <t>OTROS INGRESOS 2</t>
  </si>
  <si>
    <t>OTROS INGRESOS 3</t>
  </si>
  <si>
    <t>INGRESO TOTAL ($)</t>
  </si>
  <si>
    <t>1.a</t>
  </si>
  <si>
    <t>1.b</t>
  </si>
  <si>
    <t>1.c</t>
  </si>
  <si>
    <t>COSTOS DE OPERACIÓN</t>
  </si>
  <si>
    <t>Variables</t>
  </si>
  <si>
    <t>Fijos</t>
  </si>
  <si>
    <t>FLUJO DE EFECTIVO ($)</t>
  </si>
  <si>
    <t>FLUJO DE EFECTIVO ACUMULADO</t>
  </si>
  <si>
    <t>Necesidades de Capital de Trabajo</t>
  </si>
  <si>
    <t>1.d</t>
  </si>
  <si>
    <t>OTROS INGRESOS</t>
  </si>
  <si>
    <t>AÑO 6</t>
  </si>
  <si>
    <t>AÑO 7</t>
  </si>
  <si>
    <t>AÑO 8</t>
  </si>
  <si>
    <t>VENTAS ANUALES</t>
  </si>
  <si>
    <t>DETERMINACIÓN DEL CAPITAL DE TRABAJO</t>
  </si>
  <si>
    <t>Vendiendo por encima de dicho punto se obtienen beneficios y vendiendo por debajo se obtienen pérdidas.</t>
  </si>
  <si>
    <t>Datos para el gráfico</t>
  </si>
  <si>
    <t>$ Ventas</t>
  </si>
  <si>
    <t>Costo Variable</t>
  </si>
  <si>
    <t>Costo Fijo</t>
  </si>
  <si>
    <t>Costo Total</t>
  </si>
  <si>
    <t>Datos iniciales</t>
  </si>
  <si>
    <t>Precio Venta</t>
  </si>
  <si>
    <t>Gastos Fijos Mes</t>
  </si>
  <si>
    <t>$ Ventas Equilibrio</t>
  </si>
  <si>
    <t>Utilidad</t>
  </si>
  <si>
    <t>Costo Unitario</t>
  </si>
  <si>
    <t>Unidades Ventas</t>
  </si>
  <si>
    <t>El punto de equilibrio es aquel punto donde los Ingresos totales se igualan a los Costos totales.</t>
  </si>
  <si>
    <t>AMORTIZACIONES</t>
  </si>
  <si>
    <t>GASTOS FINANCIEROS (Intereses)</t>
  </si>
  <si>
    <t>IVA (16%)</t>
  </si>
  <si>
    <t>ISR (35%)</t>
  </si>
  <si>
    <t>CAPACIDAD DE PAGO ANUAL</t>
  </si>
  <si>
    <t>Ingresos totales</t>
  </si>
  <si>
    <t>Egresos totales</t>
  </si>
  <si>
    <t>Valor Residual</t>
  </si>
  <si>
    <t>Recup. De cap. De Trab.</t>
  </si>
  <si>
    <t>Año de operación</t>
  </si>
  <si>
    <t xml:space="preserve">CALCULO DEL VAN,  R B/C Y TIR CON UNA TASA DE DESCUENTO DEL </t>
  </si>
  <si>
    <t>Costos totales ($)</t>
  </si>
  <si>
    <t>Costos actualizados ($)</t>
  </si>
  <si>
    <t>Flujo neto de efectivo act. ($)</t>
  </si>
  <si>
    <t xml:space="preserve">Factor de actualización </t>
  </si>
  <si>
    <t>TIR CALCULADA</t>
  </si>
  <si>
    <t xml:space="preserve">TIR EVALUADA </t>
  </si>
  <si>
    <t>Ingresos totales ($)</t>
  </si>
  <si>
    <t>Ingresos actualizados ($)</t>
  </si>
  <si>
    <t xml:space="preserve">AÑOS </t>
  </si>
  <si>
    <r>
      <t xml:space="preserve">R </t>
    </r>
    <r>
      <rPr>
        <b/>
        <vertAlign val="superscript"/>
        <sz val="10"/>
        <rFont val="Arial"/>
        <family val="2"/>
      </rPr>
      <t>B/C</t>
    </r>
    <r>
      <rPr>
        <b/>
        <sz val="10"/>
        <rFont val="Arial"/>
        <family val="2"/>
      </rPr>
      <t xml:space="preserve"> Anual</t>
    </r>
  </si>
  <si>
    <t>R B/C Inversión</t>
  </si>
  <si>
    <r>
      <t xml:space="preserve">R </t>
    </r>
    <r>
      <rPr>
        <b/>
        <vertAlign val="superscript"/>
        <sz val="9"/>
        <rFont val="Arial"/>
        <family val="2"/>
      </rPr>
      <t>B/C</t>
    </r>
    <r>
      <rPr>
        <b/>
        <sz val="9"/>
        <rFont val="Arial"/>
        <family val="2"/>
      </rPr>
      <t xml:space="preserve"> Proyecto</t>
    </r>
  </si>
  <si>
    <r>
      <t xml:space="preserve">RELACION </t>
    </r>
    <r>
      <rPr>
        <b/>
        <vertAlign val="superscript"/>
        <sz val="11"/>
        <color theme="0"/>
        <rFont val="Arial"/>
        <family val="2"/>
      </rPr>
      <t>B/C</t>
    </r>
  </si>
  <si>
    <r>
      <t xml:space="preserve">R </t>
    </r>
    <r>
      <rPr>
        <b/>
        <vertAlign val="superscript"/>
        <sz val="10"/>
        <color rgb="FF002060"/>
        <rFont val="Arial"/>
        <family val="2"/>
      </rPr>
      <t>B/C</t>
    </r>
  </si>
  <si>
    <t>Pago de Servicios y Costos de Mantenimiento de equipo</t>
  </si>
  <si>
    <t>Concepto</t>
  </si>
  <si>
    <t>Pago Mensual</t>
  </si>
  <si>
    <t>Agua</t>
  </si>
  <si>
    <t>Costos de Salarios y Mano de Obra</t>
  </si>
  <si>
    <t>Sueldo diario</t>
  </si>
  <si>
    <t>Costo Mensual</t>
  </si>
  <si>
    <t>Costos de Insumos</t>
  </si>
  <si>
    <t>Gastos Operativos</t>
  </si>
  <si>
    <t>Costo Anual</t>
  </si>
  <si>
    <t>Servicio</t>
  </si>
  <si>
    <t>VALOR ORIGINAL</t>
  </si>
  <si>
    <t>TASA</t>
  </si>
  <si>
    <t>AÑOS</t>
  </si>
  <si>
    <t>DEP ANUAL</t>
  </si>
  <si>
    <t>VALOR RESCATE</t>
  </si>
  <si>
    <t xml:space="preserve">NOMBRE DEL PROYECTO: </t>
  </si>
  <si>
    <t>Pto. Equilibrio unidades</t>
  </si>
  <si>
    <t>EQUIPO</t>
  </si>
  <si>
    <t xml:space="preserve">Consumo Mensual </t>
  </si>
  <si>
    <t>Margen Neto de Utilidades</t>
  </si>
  <si>
    <t>TORTILLERIA TIO FRANK</t>
  </si>
  <si>
    <t>Poliza</t>
  </si>
  <si>
    <t>Lote</t>
  </si>
  <si>
    <t>PRODUCCION GENERAL</t>
  </si>
  <si>
    <t>RAZONES FINANCIERAS</t>
  </si>
  <si>
    <t>P 1</t>
  </si>
  <si>
    <t>P2</t>
  </si>
  <si>
    <t>P3</t>
  </si>
  <si>
    <t>PUNTO DE EQUILIBRIO</t>
  </si>
  <si>
    <t>I</t>
  </si>
  <si>
    <t>II</t>
  </si>
  <si>
    <t>CALCULOS TECNICOS</t>
  </si>
  <si>
    <t xml:space="preserve">      MEMORIAS DE CALCULO</t>
  </si>
  <si>
    <t xml:space="preserve">      PROYECCION DE COSTOS</t>
  </si>
  <si>
    <t>III</t>
  </si>
  <si>
    <t>PROYECCION FINANCIERA MINIMA A 5 AÑOS.</t>
  </si>
  <si>
    <t xml:space="preserve">      ESTADO DE RESULTADOS</t>
  </si>
  <si>
    <t>ANALISIS DE RENTABILIDAD</t>
  </si>
  <si>
    <t xml:space="preserve">      PUNTO DE EQUILIBRIO</t>
  </si>
  <si>
    <t xml:space="preserve">     ANALISIS DE RENTABILIDAD (VAN, TIR, B/C)</t>
  </si>
  <si>
    <t xml:space="preserve">      PRESUPUESTO DE INVERSION </t>
  </si>
  <si>
    <t xml:space="preserve">     PERÍODO DE RECUPERACIÓN DE LA INVERSION</t>
  </si>
  <si>
    <t xml:space="preserve">     CALCULO DEPRECIACIONES</t>
  </si>
  <si>
    <t xml:space="preserve">     COSTOS TOTALES Y PRECIOS</t>
  </si>
  <si>
    <t xml:space="preserve">     INGRESOS</t>
  </si>
  <si>
    <t xml:space="preserve">    CAPITAL DE TRABAJO</t>
  </si>
  <si>
    <t>INDICE</t>
  </si>
  <si>
    <t>INVERSIONES</t>
  </si>
  <si>
    <t>VENTAS TOTALES</t>
  </si>
  <si>
    <t>….</t>
  </si>
  <si>
    <t>SOLO LLENAR CUADROS EN AMARILLO</t>
  </si>
  <si>
    <t>Computadora</t>
  </si>
  <si>
    <t>Escritorios</t>
  </si>
  <si>
    <t>Sillones Ejecutivos</t>
  </si>
  <si>
    <t>Archivero</t>
  </si>
  <si>
    <t>Librero</t>
  </si>
  <si>
    <t xml:space="preserve">Sillas </t>
  </si>
  <si>
    <t>Impresoras</t>
  </si>
  <si>
    <t>Blusa terminado</t>
  </si>
  <si>
    <t>pieza</t>
  </si>
  <si>
    <t>Energía Eléctrica</t>
  </si>
  <si>
    <t>Telefonos e Internet</t>
  </si>
  <si>
    <t>Arrendamiento</t>
  </si>
  <si>
    <t>Otros gastos menores</t>
  </si>
  <si>
    <t>Departamento de Ventas</t>
  </si>
  <si>
    <t>Departamento de diseño</t>
  </si>
  <si>
    <t>Departamento de Informática</t>
  </si>
  <si>
    <t>Departamento de Finanzas</t>
  </si>
  <si>
    <t>Contador Público</t>
  </si>
  <si>
    <t>Papeleria y útiles</t>
  </si>
  <si>
    <t>Blusa B</t>
  </si>
  <si>
    <t>Blusa A</t>
  </si>
  <si>
    <t>Blusa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</si>
</sst>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#,##0_ ;\-#,##0\ "/>
    <numFmt numFmtId="166" formatCode="#,##0.000"/>
    <numFmt numFmtId="167" formatCode="#,##0.0"/>
    <numFmt numFmtId="168" formatCode="General_)"/>
    <numFmt numFmtId="169" formatCode="_-* #,##0.00\ _P_t_s_-;\-* #,##0.00\ _P_t_s_-;_-* &quot;-&quot;??\ _P_t_s_-;_-@_-"/>
    <numFmt numFmtId="170" formatCode="#,##0.00_ ;\-#,##0.00\ "/>
    <numFmt numFmtId="171" formatCode="_-* #,##0.00\ _€_-;\-* #,##0.00\ _€_-;_-* &quot;-&quot;??\ _€_-;_-@_-"/>
    <numFmt numFmtId="172" formatCode="0.0%"/>
    <numFmt numFmtId="173" formatCode="#,##0.0_);\(#,##0.0\)"/>
    <numFmt numFmtId="174" formatCode="&quot;$&quot;#,##0.00"/>
    <numFmt numFmtId="175" formatCode="_-* #,##0_-;\-* #,##0_-;_-* &quot;-&quot;??_-;_-@_-"/>
    <numFmt numFmtId="176" formatCode="0.00000"/>
    <numFmt numFmtId="177" formatCode="_-* #,##0.000_-;\-* #,##0.000_-;_-* &quot;-&quot;??_-;_-@_-"/>
    <numFmt numFmtId="178" formatCode="#,##0.0_ ;\-#,##0.0\ "/>
    <numFmt numFmtId="179" formatCode="###0;###0"/>
    <numFmt numFmtId="180" formatCode="_-* #,##0.0_-;\-* #,##0.0_-;_-* &quot;-&quot;??_-;_-@_-"/>
    <numFmt numFmtId="181" formatCode="0.0"/>
  </numFmts>
  <fonts count="13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8"/>
      <name val="Calibri"/>
      <family val="2"/>
    </font>
    <font>
      <b/>
      <i/>
      <sz val="20"/>
      <color indexed="8"/>
      <name val="Calibri"/>
      <family val="2"/>
    </font>
    <font>
      <b/>
      <i/>
      <sz val="16"/>
      <color indexed="8"/>
      <name val="Calibri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name val="Calibri"/>
      <family val="2"/>
    </font>
    <font>
      <b/>
      <sz val="16"/>
      <name val="Calibri"/>
      <family val="2"/>
    </font>
    <font>
      <sz val="10"/>
      <name val="Courier"/>
      <family val="3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b/>
      <i/>
      <sz val="10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rgb="FF002060"/>
      <name val="Calibri"/>
      <family val="2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9"/>
      <color indexed="32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rgb="FF00206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indexed="8"/>
      <name val="Calibri"/>
      <family val="2"/>
    </font>
    <font>
      <b/>
      <sz val="9"/>
      <color theme="0"/>
      <name val="Arial"/>
      <family val="2"/>
    </font>
    <font>
      <b/>
      <sz val="11"/>
      <color rgb="FF00206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theme="0"/>
      <name val="Calibri"/>
      <family val="2"/>
    </font>
    <font>
      <b/>
      <sz val="11"/>
      <color theme="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rgb="FF00206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ourier New"/>
      <family val="3"/>
    </font>
    <font>
      <u/>
      <sz val="10"/>
      <color indexed="12"/>
      <name val="Courier New"/>
      <family val="3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11"/>
      <color indexed="12"/>
      <name val="Calibri"/>
      <family val="2"/>
    </font>
    <font>
      <sz val="10"/>
      <name val="Calibri"/>
      <family val="2"/>
    </font>
    <font>
      <b/>
      <sz val="10"/>
      <color rgb="FF002060"/>
      <name val="Arial Narrow"/>
      <family val="2"/>
    </font>
    <font>
      <b/>
      <sz val="12"/>
      <color rgb="FF002060"/>
      <name val="Arial"/>
      <family val="2"/>
    </font>
    <font>
      <sz val="10"/>
      <color rgb="FF002060"/>
      <name val="Arial"/>
      <family val="2"/>
    </font>
    <font>
      <b/>
      <sz val="10"/>
      <color theme="0"/>
      <name val="Tahoma"/>
      <family val="2"/>
    </font>
    <font>
      <b/>
      <sz val="10"/>
      <color rgb="FF002060"/>
      <name val="Tahoma"/>
      <family val="2"/>
    </font>
    <font>
      <b/>
      <vertAlign val="superscript"/>
      <sz val="10"/>
      <name val="Arial"/>
      <family val="2"/>
    </font>
    <font>
      <b/>
      <vertAlign val="superscript"/>
      <sz val="9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b/>
      <vertAlign val="superscript"/>
      <sz val="11"/>
      <color theme="0"/>
      <name val="Arial"/>
      <family val="2"/>
    </font>
    <font>
      <b/>
      <vertAlign val="superscript"/>
      <sz val="10"/>
      <color rgb="FF00206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indexed="8"/>
      <name val="Cambria"/>
      <family val="1"/>
      <scheme val="major"/>
    </font>
    <font>
      <b/>
      <sz val="18"/>
      <color rgb="FFFF0000"/>
      <name val="Cambria"/>
      <family val="1"/>
      <scheme val="major"/>
    </font>
    <font>
      <b/>
      <sz val="11"/>
      <color rgb="FF0070C0"/>
      <name val="Calibri"/>
      <family val="2"/>
    </font>
    <font>
      <b/>
      <sz val="12"/>
      <color rgb="FF002060"/>
      <name val="Calibri"/>
      <family val="2"/>
    </font>
    <font>
      <b/>
      <sz val="18"/>
      <color indexed="8"/>
      <name val="Calibri"/>
      <family val="2"/>
    </font>
    <font>
      <b/>
      <sz val="14"/>
      <color rgb="FF002060"/>
      <name val="Arial"/>
      <family val="2"/>
    </font>
    <font>
      <b/>
      <i/>
      <u/>
      <sz val="12"/>
      <name val="Arial"/>
      <family val="2"/>
    </font>
    <font>
      <b/>
      <sz val="12"/>
      <color rgb="FF002060"/>
      <name val="Cambria"/>
      <family val="1"/>
      <scheme val="major"/>
    </font>
    <font>
      <b/>
      <i/>
      <sz val="12"/>
      <color rgb="FF002060"/>
      <name val="Cambria"/>
      <family val="1"/>
      <scheme val="major"/>
    </font>
    <font>
      <sz val="11"/>
      <color rgb="FF002060"/>
      <name val="Cambria"/>
      <family val="1"/>
      <scheme val="major"/>
    </font>
    <font>
      <b/>
      <sz val="11"/>
      <color theme="5" tint="-0.499984740745262"/>
      <name val="Cambria"/>
      <family val="1"/>
      <scheme val="major"/>
    </font>
    <font>
      <b/>
      <sz val="10"/>
      <color theme="5" tint="-0.499984740745262"/>
      <name val="Cambria"/>
      <family val="1"/>
      <scheme val="major"/>
    </font>
    <font>
      <b/>
      <sz val="12"/>
      <color theme="5" tint="-0.499984740745262"/>
      <name val="Cambria"/>
      <family val="1"/>
      <scheme val="maj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12"/>
      <name val="Courier New"/>
      <family val="3"/>
    </font>
    <font>
      <sz val="9"/>
      <name val="Calibri"/>
      <family val="2"/>
      <scheme val="minor"/>
    </font>
    <font>
      <u/>
      <sz val="11"/>
      <color indexed="12"/>
      <name val="Courier New"/>
      <family val="3"/>
    </font>
    <font>
      <b/>
      <sz val="14"/>
      <color theme="6" tint="-0.499984740745262"/>
      <name val="Calibri"/>
      <family val="2"/>
    </font>
    <font>
      <sz val="14"/>
      <color theme="0"/>
      <name val="Calibri"/>
      <family val="2"/>
    </font>
    <font>
      <b/>
      <sz val="10"/>
      <name val="Calibri"/>
      <family val="2"/>
    </font>
    <font>
      <sz val="9"/>
      <color theme="0"/>
      <name val="Arial"/>
      <family val="2"/>
    </font>
    <font>
      <sz val="10"/>
      <color theme="0"/>
      <name val="Arial"/>
      <family val="2"/>
    </font>
    <font>
      <sz val="10"/>
      <color rgb="FF002060"/>
      <name val="Calibri"/>
      <family val="2"/>
      <scheme val="minor"/>
    </font>
    <font>
      <b/>
      <sz val="12"/>
      <color theme="0"/>
      <name val="Arial Narrow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2060"/>
      </bottom>
      <diagonal/>
    </border>
    <border>
      <left/>
      <right style="medium">
        <color indexed="64"/>
      </right>
      <top style="medium">
        <color indexed="64"/>
      </top>
      <bottom style="thin">
        <color rgb="FF002060"/>
      </bottom>
      <diagonal/>
    </border>
    <border>
      <left/>
      <right style="medium">
        <color indexed="64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/>
      <top style="thin">
        <color rgb="FF002060"/>
      </top>
      <bottom style="thin">
        <color rgb="FF002060"/>
      </bottom>
      <diagonal/>
    </border>
    <border>
      <left style="medium">
        <color indexed="64"/>
      </left>
      <right/>
      <top style="thin">
        <color rgb="FF002060"/>
      </top>
      <bottom style="medium">
        <color indexed="64"/>
      </bottom>
      <diagonal/>
    </border>
    <border>
      <left/>
      <right/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 style="thin">
        <color rgb="FF002060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0" borderId="0"/>
    <xf numFmtId="9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0" fillId="0" borderId="0"/>
    <xf numFmtId="0" fontId="60" fillId="0" borderId="0"/>
    <xf numFmtId="0" fontId="81" fillId="0" borderId="0" applyNumberFormat="0" applyFill="0" applyBorder="0" applyAlignment="0" applyProtection="0">
      <alignment vertical="top"/>
      <protection locked="0"/>
    </xf>
  </cellStyleXfs>
  <cellXfs count="685">
    <xf numFmtId="0" fontId="0" fillId="0" borderId="0" xfId="0"/>
    <xf numFmtId="0" fontId="7" fillId="0" borderId="0" xfId="0" applyFont="1" applyAlignment="1">
      <alignment horizontal="center"/>
    </xf>
    <xf numFmtId="0" fontId="0" fillId="3" borderId="1" xfId="0" applyFill="1" applyBorder="1" applyAlignment="1">
      <alignment horizontal="justify" vertical="top" wrapText="1"/>
    </xf>
    <xf numFmtId="0" fontId="0" fillId="0" borderId="0" xfId="0" applyAlignment="1">
      <alignment horizontal="center"/>
    </xf>
    <xf numFmtId="0" fontId="11" fillId="0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43" fontId="11" fillId="0" borderId="1" xfId="2" applyFont="1" applyBorder="1" applyAlignment="1">
      <alignment horizontal="right"/>
    </xf>
    <xf numFmtId="0" fontId="16" fillId="0" borderId="0" xfId="0" applyFont="1"/>
    <xf numFmtId="0" fontId="20" fillId="0" borderId="1" xfId="0" applyFont="1" applyBorder="1"/>
    <xf numFmtId="0" fontId="16" fillId="0" borderId="1" xfId="0" applyFont="1" applyBorder="1"/>
    <xf numFmtId="0" fontId="19" fillId="0" borderId="1" xfId="0" applyFont="1" applyBorder="1"/>
    <xf numFmtId="0" fontId="22" fillId="0" borderId="1" xfId="0" applyFont="1" applyBorder="1" applyProtection="1"/>
    <xf numFmtId="0" fontId="0" fillId="2" borderId="0" xfId="0" applyFill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/>
    <xf numFmtId="168" fontId="29" fillId="0" borderId="0" xfId="4" applyNumberFormat="1" applyFont="1" applyFill="1"/>
    <xf numFmtId="4" fontId="15" fillId="0" borderId="0" xfId="4" applyNumberFormat="1" applyFont="1" applyFill="1"/>
    <xf numFmtId="168" fontId="14" fillId="0" borderId="0" xfId="4" applyNumberFormat="1" applyFont="1"/>
    <xf numFmtId="0" fontId="0" fillId="0" borderId="0" xfId="0" applyProtection="1">
      <protection locked="0"/>
    </xf>
    <xf numFmtId="0" fontId="0" fillId="0" borderId="0" xfId="0" applyBorder="1"/>
    <xf numFmtId="168" fontId="15" fillId="0" borderId="10" xfId="4" applyNumberFormat="1" applyFont="1" applyFill="1" applyBorder="1" applyAlignment="1">
      <alignment horizontal="center"/>
    </xf>
    <xf numFmtId="3" fontId="15" fillId="0" borderId="1" xfId="4" applyNumberFormat="1" applyFont="1" applyFill="1" applyBorder="1"/>
    <xf numFmtId="170" fontId="16" fillId="0" borderId="11" xfId="2" applyNumberFormat="1" applyFont="1" applyBorder="1"/>
    <xf numFmtId="4" fontId="16" fillId="2" borderId="0" xfId="0" applyNumberFormat="1" applyFont="1" applyFill="1" applyBorder="1"/>
    <xf numFmtId="4" fontId="27" fillId="2" borderId="0" xfId="0" applyNumberFormat="1" applyFont="1" applyFill="1" applyBorder="1"/>
    <xf numFmtId="0" fontId="16" fillId="0" borderId="0" xfId="0" applyFont="1" applyBorder="1"/>
    <xf numFmtId="4" fontId="15" fillId="0" borderId="1" xfId="4" applyNumberFormat="1" applyFont="1" applyFill="1" applyBorder="1"/>
    <xf numFmtId="171" fontId="15" fillId="0" borderId="1" xfId="2" applyNumberFormat="1" applyFont="1" applyFill="1" applyBorder="1"/>
    <xf numFmtId="0" fontId="16" fillId="2" borderId="0" xfId="0" applyFont="1" applyFill="1" applyBorder="1"/>
    <xf numFmtId="0" fontId="16" fillId="0" borderId="0" xfId="0" applyFont="1" applyFill="1" applyBorder="1"/>
    <xf numFmtId="168" fontId="15" fillId="0" borderId="12" xfId="4" applyNumberFormat="1" applyFont="1" applyFill="1" applyBorder="1" applyAlignment="1">
      <alignment horizontal="center"/>
    </xf>
    <xf numFmtId="3" fontId="15" fillId="0" borderId="3" xfId="4" applyNumberFormat="1" applyFont="1" applyFill="1" applyBorder="1"/>
    <xf numFmtId="43" fontId="15" fillId="0" borderId="3" xfId="2" applyFont="1" applyFill="1" applyBorder="1"/>
    <xf numFmtId="170" fontId="16" fillId="0" borderId="13" xfId="2" applyNumberFormat="1" applyFont="1" applyBorder="1"/>
    <xf numFmtId="4" fontId="15" fillId="0" borderId="0" xfId="4" applyNumberFormat="1" applyFont="1" applyFill="1" applyBorder="1"/>
    <xf numFmtId="3" fontId="15" fillId="0" borderId="0" xfId="4" applyNumberFormat="1" applyFont="1" applyFill="1" applyBorder="1"/>
    <xf numFmtId="4" fontId="17" fillId="0" borderId="0" xfId="4" applyNumberFormat="1" applyFont="1" applyFill="1" applyBorder="1"/>
    <xf numFmtId="168" fontId="14" fillId="0" borderId="0" xfId="4" applyNumberFormat="1" applyFont="1" applyBorder="1"/>
    <xf numFmtId="168" fontId="30" fillId="0" borderId="0" xfId="4" applyNumberFormat="1" applyFont="1" applyFill="1"/>
    <xf numFmtId="168" fontId="31" fillId="0" borderId="0" xfId="4" applyNumberFormat="1" applyFont="1" applyFill="1"/>
    <xf numFmtId="168" fontId="16" fillId="0" borderId="0" xfId="4" applyNumberFormat="1" applyFont="1" applyFill="1"/>
    <xf numFmtId="168" fontId="23" fillId="0" borderId="0" xfId="4" applyNumberFormat="1" applyFont="1" applyFill="1"/>
    <xf numFmtId="166" fontId="15" fillId="0" borderId="1" xfId="4" applyNumberFormat="1" applyFont="1" applyFill="1" applyBorder="1" applyAlignment="1">
      <alignment horizontal="center"/>
    </xf>
    <xf numFmtId="4" fontId="15" fillId="0" borderId="11" xfId="4" applyNumberFormat="1" applyFont="1" applyFill="1" applyBorder="1"/>
    <xf numFmtId="168" fontId="23" fillId="0" borderId="0" xfId="4" applyNumberFormat="1" applyFont="1" applyFill="1" applyAlignment="1">
      <alignment horizontal="right"/>
    </xf>
    <xf numFmtId="168" fontId="23" fillId="0" borderId="0" xfId="4" applyNumberFormat="1" applyFont="1" applyFill="1" applyBorder="1" applyAlignment="1">
      <alignment horizontal="center"/>
    </xf>
    <xf numFmtId="3" fontId="16" fillId="0" borderId="0" xfId="4" applyNumberFormat="1" applyFont="1" applyFill="1" applyBorder="1"/>
    <xf numFmtId="168" fontId="16" fillId="0" borderId="0" xfId="4" applyNumberFormat="1" applyFont="1" applyFill="1" applyAlignment="1">
      <alignment horizontal="right"/>
    </xf>
    <xf numFmtId="10" fontId="14" fillId="0" borderId="0" xfId="4" applyNumberFormat="1" applyFont="1"/>
    <xf numFmtId="168" fontId="15" fillId="0" borderId="0" xfId="4" applyNumberFormat="1" applyFont="1" applyFill="1"/>
    <xf numFmtId="168" fontId="17" fillId="0" borderId="8" xfId="4" applyNumberFormat="1" applyFont="1" applyFill="1" applyBorder="1"/>
    <xf numFmtId="4" fontId="17" fillId="0" borderId="9" xfId="8" applyNumberFormat="1" applyFont="1" applyFill="1" applyBorder="1" applyAlignment="1">
      <alignment horizontal="right"/>
    </xf>
    <xf numFmtId="168" fontId="17" fillId="0" borderId="0" xfId="4" applyNumberFormat="1" applyFont="1" applyFill="1" applyAlignment="1">
      <alignment horizontal="center"/>
    </xf>
    <xf numFmtId="168" fontId="15" fillId="0" borderId="0" xfId="4" applyNumberFormat="1" applyFont="1" applyFill="1" applyBorder="1"/>
    <xf numFmtId="168" fontId="17" fillId="0" borderId="10" xfId="4" applyNumberFormat="1" applyFont="1" applyFill="1" applyBorder="1"/>
    <xf numFmtId="10" fontId="17" fillId="0" borderId="11" xfId="5" applyNumberFormat="1" applyFont="1" applyFill="1" applyBorder="1" applyAlignment="1">
      <alignment horizontal="right"/>
    </xf>
    <xf numFmtId="168" fontId="17" fillId="0" borderId="12" xfId="4" applyNumberFormat="1" applyFont="1" applyFill="1" applyBorder="1"/>
    <xf numFmtId="2" fontId="17" fillId="0" borderId="13" xfId="4" applyNumberFormat="1" applyFont="1" applyFill="1" applyBorder="1" applyAlignment="1">
      <alignment horizontal="right"/>
    </xf>
    <xf numFmtId="0" fontId="16" fillId="0" borderId="0" xfId="0" applyFont="1" applyProtection="1">
      <protection locked="0"/>
    </xf>
    <xf numFmtId="0" fontId="32" fillId="0" borderId="0" xfId="0" applyFont="1"/>
    <xf numFmtId="0" fontId="33" fillId="0" borderId="0" xfId="0" applyFont="1"/>
    <xf numFmtId="0" fontId="33" fillId="0" borderId="0" xfId="0" applyFont="1" applyFill="1"/>
    <xf numFmtId="0" fontId="33" fillId="0" borderId="0" xfId="0" applyFont="1" applyBorder="1"/>
    <xf numFmtId="0" fontId="33" fillId="0" borderId="0" xfId="0" applyFont="1" applyFill="1" applyBorder="1"/>
    <xf numFmtId="4" fontId="33" fillId="0" borderId="0" xfId="0" applyNumberFormat="1" applyFont="1" applyFill="1"/>
    <xf numFmtId="167" fontId="33" fillId="0" borderId="0" xfId="0" applyNumberFormat="1" applyFont="1" applyFill="1"/>
    <xf numFmtId="0" fontId="24" fillId="0" borderId="0" xfId="0" applyFont="1"/>
    <xf numFmtId="0" fontId="35" fillId="0" borderId="0" xfId="0" applyFont="1"/>
    <xf numFmtId="0" fontId="36" fillId="0" borderId="0" xfId="0" applyFont="1"/>
    <xf numFmtId="168" fontId="28" fillId="0" borderId="0" xfId="4" applyNumberFormat="1" applyFont="1" applyFill="1" applyBorder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37" fillId="0" borderId="1" xfId="0" applyFont="1" applyBorder="1" applyAlignment="1">
      <alignment vertical="center" wrapText="1"/>
    </xf>
    <xf numFmtId="9" fontId="0" fillId="0" borderId="0" xfId="3" applyFont="1"/>
    <xf numFmtId="0" fontId="16" fillId="0" borderId="0" xfId="0" applyFont="1" applyAlignment="1">
      <alignment horizontal="center" vertical="center"/>
    </xf>
    <xf numFmtId="0" fontId="40" fillId="0" borderId="0" xfId="0" applyFont="1"/>
    <xf numFmtId="175" fontId="21" fillId="0" borderId="1" xfId="2" applyNumberFormat="1" applyFont="1" applyBorder="1" applyAlignment="1">
      <alignment horizontal="right"/>
    </xf>
    <xf numFmtId="175" fontId="21" fillId="0" borderId="1" xfId="0" applyNumberFormat="1" applyFont="1" applyBorder="1"/>
    <xf numFmtId="175" fontId="16" fillId="0" borderId="1" xfId="0" applyNumberFormat="1" applyFont="1" applyBorder="1"/>
    <xf numFmtId="175" fontId="21" fillId="0" borderId="1" xfId="2" applyNumberFormat="1" applyFont="1" applyBorder="1"/>
    <xf numFmtId="175" fontId="16" fillId="0" borderId="0" xfId="0" applyNumberFormat="1" applyFont="1"/>
    <xf numFmtId="3" fontId="3" fillId="3" borderId="1" xfId="1" applyNumberFormat="1" applyFont="1" applyFill="1" applyBorder="1"/>
    <xf numFmtId="3" fontId="1" fillId="3" borderId="1" xfId="1" applyNumberFormat="1" applyFont="1" applyFill="1" applyBorder="1" applyAlignment="1">
      <alignment horizontal="center" vertical="center" wrapText="1"/>
    </xf>
    <xf numFmtId="3" fontId="11" fillId="0" borderId="1" xfId="1" applyNumberFormat="1" applyFont="1" applyFill="1" applyBorder="1"/>
    <xf numFmtId="0" fontId="42" fillId="2" borderId="0" xfId="0" applyFont="1" applyFill="1" applyAlignment="1">
      <alignment horizontal="center"/>
    </xf>
    <xf numFmtId="10" fontId="42" fillId="2" borderId="0" xfId="0" applyNumberFormat="1" applyFont="1" applyFill="1" applyAlignment="1">
      <alignment horizontal="center"/>
    </xf>
    <xf numFmtId="0" fontId="27" fillId="2" borderId="1" xfId="0" applyFont="1" applyFill="1" applyBorder="1"/>
    <xf numFmtId="4" fontId="27" fillId="2" borderId="1" xfId="0" applyNumberFormat="1" applyFont="1" applyFill="1" applyBorder="1" applyProtection="1">
      <protection hidden="1"/>
    </xf>
    <xf numFmtId="176" fontId="27" fillId="2" borderId="1" xfId="0" applyNumberFormat="1" applyFont="1" applyFill="1" applyBorder="1" applyProtection="1">
      <protection hidden="1"/>
    </xf>
    <xf numFmtId="4" fontId="27" fillId="2" borderId="0" xfId="0" applyNumberFormat="1" applyFont="1" applyFill="1" applyAlignment="1" applyProtection="1">
      <alignment horizontal="center"/>
      <protection hidden="1"/>
    </xf>
    <xf numFmtId="0" fontId="43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43" fontId="11" fillId="0" borderId="0" xfId="2" applyFont="1" applyFill="1"/>
    <xf numFmtId="43" fontId="0" fillId="0" borderId="0" xfId="2" applyFont="1"/>
    <xf numFmtId="3" fontId="0" fillId="0" borderId="0" xfId="0" applyNumberFormat="1" applyAlignment="1">
      <alignment horizontal="center"/>
    </xf>
    <xf numFmtId="3" fontId="0" fillId="0" borderId="0" xfId="2" applyNumberFormat="1" applyFont="1" applyAlignment="1">
      <alignment horizontal="center"/>
    </xf>
    <xf numFmtId="43" fontId="0" fillId="0" borderId="0" xfId="0" applyNumberFormat="1"/>
    <xf numFmtId="167" fontId="0" fillId="0" borderId="0" xfId="2" applyNumberFormat="1" applyFont="1" applyAlignment="1">
      <alignment horizontal="center"/>
    </xf>
    <xf numFmtId="43" fontId="11" fillId="0" borderId="0" xfId="2" applyFont="1"/>
    <xf numFmtId="177" fontId="0" fillId="0" borderId="0" xfId="2" applyNumberFormat="1" applyFont="1"/>
    <xf numFmtId="165" fontId="11" fillId="0" borderId="0" xfId="0" applyNumberFormat="1" applyFont="1"/>
    <xf numFmtId="165" fontId="0" fillId="0" borderId="0" xfId="0" applyNumberFormat="1"/>
    <xf numFmtId="4" fontId="45" fillId="0" borderId="0" xfId="0" applyNumberFormat="1" applyFont="1" applyAlignment="1">
      <alignment horizontal="center" vertical="center"/>
    </xf>
    <xf numFmtId="175" fontId="11" fillId="0" borderId="0" xfId="2" applyNumberFormat="1" applyFont="1" applyFill="1"/>
    <xf numFmtId="175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9" fontId="0" fillId="0" borderId="0" xfId="3" applyFont="1" applyAlignment="1">
      <alignment vertical="center"/>
    </xf>
    <xf numFmtId="9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0" fontId="55" fillId="0" borderId="0" xfId="0" applyFont="1"/>
    <xf numFmtId="0" fontId="41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0" fontId="49" fillId="4" borderId="31" xfId="0" applyFont="1" applyFill="1" applyBorder="1" applyAlignment="1">
      <alignment horizontal="center" vertical="center"/>
    </xf>
    <xf numFmtId="0" fontId="49" fillId="4" borderId="32" xfId="0" applyFont="1" applyFill="1" applyBorder="1" applyAlignment="1">
      <alignment horizontal="center" vertical="center" wrapText="1"/>
    </xf>
    <xf numFmtId="0" fontId="49" fillId="4" borderId="32" xfId="0" applyFont="1" applyFill="1" applyBorder="1" applyAlignment="1">
      <alignment horizontal="center" vertical="center"/>
    </xf>
    <xf numFmtId="0" fontId="49" fillId="4" borderId="33" xfId="0" applyFont="1" applyFill="1" applyBorder="1" applyAlignment="1">
      <alignment horizontal="center" vertical="center"/>
    </xf>
    <xf numFmtId="44" fontId="50" fillId="5" borderId="6" xfId="1" applyNumberFormat="1" applyFont="1" applyFill="1" applyBorder="1" applyAlignment="1">
      <alignment horizontal="center" vertical="center"/>
    </xf>
    <xf numFmtId="0" fontId="50" fillId="5" borderId="6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9" fontId="0" fillId="0" borderId="0" xfId="3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2" fillId="5" borderId="5" xfId="0" applyFont="1" applyFill="1" applyBorder="1" applyAlignment="1">
      <alignment horizontal="center" vertical="center"/>
    </xf>
    <xf numFmtId="44" fontId="50" fillId="5" borderId="7" xfId="1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left" vertical="center" wrapText="1"/>
    </xf>
    <xf numFmtId="0" fontId="52" fillId="5" borderId="8" xfId="0" applyFont="1" applyFill="1" applyBorder="1" applyAlignment="1">
      <alignment vertical="center" wrapText="1"/>
    </xf>
    <xf numFmtId="0" fontId="51" fillId="5" borderId="4" xfId="0" applyFont="1" applyFill="1" applyBorder="1" applyAlignment="1">
      <alignment vertical="center"/>
    </xf>
    <xf numFmtId="3" fontId="51" fillId="5" borderId="4" xfId="1" applyNumberFormat="1" applyFont="1" applyFill="1" applyBorder="1" applyAlignment="1">
      <alignment vertical="center"/>
    </xf>
    <xf numFmtId="3" fontId="51" fillId="5" borderId="4" xfId="0" applyNumberFormat="1" applyFont="1" applyFill="1" applyBorder="1" applyAlignment="1">
      <alignment vertical="center"/>
    </xf>
    <xf numFmtId="3" fontId="51" fillId="5" borderId="9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justify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3" fontId="3" fillId="3" borderId="6" xfId="1" applyNumberFormat="1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vertical="center"/>
    </xf>
    <xf numFmtId="9" fontId="3" fillId="3" borderId="0" xfId="3" applyFont="1" applyFill="1" applyBorder="1" applyAlignment="1">
      <alignment vertical="center"/>
    </xf>
    <xf numFmtId="0" fontId="0" fillId="3" borderId="35" xfId="0" applyFill="1" applyBorder="1" applyAlignment="1">
      <alignment horizontal="justify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3" fontId="3" fillId="3" borderId="36" xfId="1" applyNumberFormat="1" applyFont="1" applyFill="1" applyBorder="1" applyAlignment="1">
      <alignment horizontal="center" vertical="center" wrapText="1"/>
    </xf>
    <xf numFmtId="3" fontId="3" fillId="3" borderId="36" xfId="1" applyNumberFormat="1" applyFont="1" applyFill="1" applyBorder="1" applyAlignment="1">
      <alignment vertical="center"/>
    </xf>
    <xf numFmtId="0" fontId="51" fillId="5" borderId="6" xfId="0" applyFont="1" applyFill="1" applyBorder="1" applyAlignment="1">
      <alignment vertical="center"/>
    </xf>
    <xf numFmtId="0" fontId="51" fillId="5" borderId="7" xfId="0" applyFont="1" applyFill="1" applyBorder="1" applyAlignment="1">
      <alignment vertical="center"/>
    </xf>
    <xf numFmtId="0" fontId="50" fillId="4" borderId="41" xfId="0" applyFont="1" applyFill="1" applyBorder="1" applyAlignment="1">
      <alignment vertical="center"/>
    </xf>
    <xf numFmtId="3" fontId="50" fillId="4" borderId="41" xfId="1" applyNumberFormat="1" applyFont="1" applyFill="1" applyBorder="1" applyAlignment="1">
      <alignment vertical="center"/>
    </xf>
    <xf numFmtId="0" fontId="49" fillId="4" borderId="31" xfId="0" applyFont="1" applyFill="1" applyBorder="1" applyAlignment="1">
      <alignment horizontal="center"/>
    </xf>
    <xf numFmtId="3" fontId="49" fillId="4" borderId="32" xfId="0" applyNumberFormat="1" applyFont="1" applyFill="1" applyBorder="1" applyAlignment="1">
      <alignment horizontal="center"/>
    </xf>
    <xf numFmtId="3" fontId="49" fillId="4" borderId="33" xfId="0" applyNumberFormat="1" applyFont="1" applyFill="1" applyBorder="1" applyAlignment="1">
      <alignment horizontal="center"/>
    </xf>
    <xf numFmtId="3" fontId="3" fillId="3" borderId="16" xfId="1" applyNumberFormat="1" applyFont="1" applyFill="1" applyBorder="1"/>
    <xf numFmtId="3" fontId="3" fillId="3" borderId="11" xfId="1" applyNumberFormat="1" applyFont="1" applyFill="1" applyBorder="1"/>
    <xf numFmtId="0" fontId="0" fillId="3" borderId="10" xfId="0" applyFill="1" applyBorder="1" applyAlignment="1">
      <alignment horizontal="justify" vertical="top" wrapText="1"/>
    </xf>
    <xf numFmtId="3" fontId="3" fillId="3" borderId="28" xfId="1" applyNumberFormat="1" applyFont="1" applyFill="1" applyBorder="1"/>
    <xf numFmtId="3" fontId="60" fillId="0" borderId="0" xfId="0" applyNumberFormat="1" applyFont="1"/>
    <xf numFmtId="0" fontId="49" fillId="4" borderId="32" xfId="0" applyFont="1" applyFill="1" applyBorder="1" applyAlignment="1">
      <alignment horizontal="center"/>
    </xf>
    <xf numFmtId="0" fontId="49" fillId="4" borderId="33" xfId="0" applyFont="1" applyFill="1" applyBorder="1" applyAlignment="1">
      <alignment horizontal="center"/>
    </xf>
    <xf numFmtId="0" fontId="58" fillId="4" borderId="2" xfId="0" applyFont="1" applyFill="1" applyBorder="1" applyAlignment="1">
      <alignment horizontal="center"/>
    </xf>
    <xf numFmtId="0" fontId="60" fillId="0" borderId="0" xfId="0" applyFont="1"/>
    <xf numFmtId="0" fontId="49" fillId="4" borderId="34" xfId="0" applyFont="1" applyFill="1" applyBorder="1" applyAlignment="1">
      <alignment horizontal="center"/>
    </xf>
    <xf numFmtId="0" fontId="61" fillId="4" borderId="24" xfId="0" applyFont="1" applyFill="1" applyBorder="1" applyAlignment="1">
      <alignment horizontal="center" vertical="center"/>
    </xf>
    <xf numFmtId="0" fontId="61" fillId="4" borderId="25" xfId="0" applyFont="1" applyFill="1" applyBorder="1" applyAlignment="1">
      <alignment horizontal="center" vertical="center"/>
    </xf>
    <xf numFmtId="44" fontId="61" fillId="4" borderId="25" xfId="1" applyNumberFormat="1" applyFont="1" applyFill="1" applyBorder="1" applyAlignment="1">
      <alignment horizontal="center" vertical="center" wrapText="1"/>
    </xf>
    <xf numFmtId="0" fontId="61" fillId="4" borderId="25" xfId="0" applyFont="1" applyFill="1" applyBorder="1" applyAlignment="1">
      <alignment horizontal="center" vertical="center" wrapText="1"/>
    </xf>
    <xf numFmtId="0" fontId="61" fillId="4" borderId="26" xfId="0" applyFont="1" applyFill="1" applyBorder="1" applyAlignment="1">
      <alignment horizontal="center" vertical="center"/>
    </xf>
    <xf numFmtId="0" fontId="52" fillId="5" borderId="5" xfId="0" applyFont="1" applyFill="1" applyBorder="1" applyAlignment="1">
      <alignment horizontal="left" vertical="center" wrapText="1"/>
    </xf>
    <xf numFmtId="0" fontId="49" fillId="4" borderId="5" xfId="0" applyFont="1" applyFill="1" applyBorder="1" applyAlignment="1">
      <alignment horizontal="left" vertical="center"/>
    </xf>
    <xf numFmtId="4" fontId="50" fillId="4" borderId="31" xfId="1" applyNumberFormat="1" applyFont="1" applyFill="1" applyBorder="1" applyAlignment="1">
      <alignment vertical="center"/>
    </xf>
    <xf numFmtId="4" fontId="50" fillId="4" borderId="34" xfId="1" applyNumberFormat="1" applyFont="1" applyFill="1" applyBorder="1" applyAlignment="1">
      <alignment vertical="center"/>
    </xf>
    <xf numFmtId="4" fontId="50" fillId="4" borderId="7" xfId="1" applyNumberFormat="1" applyFont="1" applyFill="1" applyBorder="1" applyAlignment="1">
      <alignment vertical="center"/>
    </xf>
    <xf numFmtId="0" fontId="50" fillId="4" borderId="31" xfId="0" applyFont="1" applyFill="1" applyBorder="1" applyAlignment="1">
      <alignment vertical="center"/>
    </xf>
    <xf numFmtId="165" fontId="50" fillId="4" borderId="32" xfId="1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43" fontId="11" fillId="0" borderId="0" xfId="2" applyFont="1" applyBorder="1" applyAlignment="1">
      <alignment horizontal="right"/>
    </xf>
    <xf numFmtId="43" fontId="9" fillId="0" borderId="0" xfId="2" applyFont="1" applyBorder="1" applyAlignment="1">
      <alignment horizontal="right"/>
    </xf>
    <xf numFmtId="0" fontId="46" fillId="4" borderId="2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78" fontId="11" fillId="0" borderId="0" xfId="2" applyNumberFormat="1" applyFont="1" applyBorder="1" applyAlignment="1">
      <alignment horizontal="center" vertical="center"/>
    </xf>
    <xf numFmtId="0" fontId="64" fillId="5" borderId="5" xfId="0" applyFont="1" applyFill="1" applyBorder="1" applyAlignment="1">
      <alignment horizontal="left" vertical="center"/>
    </xf>
    <xf numFmtId="0" fontId="47" fillId="0" borderId="45" xfId="0" applyFont="1" applyBorder="1" applyAlignment="1">
      <alignment horizontal="left" vertical="center" wrapText="1"/>
    </xf>
    <xf numFmtId="0" fontId="48" fillId="0" borderId="45" xfId="0" applyFont="1" applyBorder="1" applyAlignment="1">
      <alignment horizontal="left" vertical="center" wrapText="1"/>
    </xf>
    <xf numFmtId="0" fontId="63" fillId="5" borderId="6" xfId="0" applyFont="1" applyFill="1" applyBorder="1" applyAlignment="1">
      <alignment horizontal="left" vertical="top" wrapText="1"/>
    </xf>
    <xf numFmtId="9" fontId="63" fillId="5" borderId="6" xfId="0" applyNumberFormat="1" applyFont="1" applyFill="1" applyBorder="1" applyAlignment="1">
      <alignment horizontal="left" vertical="top" wrapText="1"/>
    </xf>
    <xf numFmtId="9" fontId="63" fillId="5" borderId="7" xfId="0" applyNumberFormat="1" applyFont="1" applyFill="1" applyBorder="1" applyAlignment="1">
      <alignment horizontal="left" vertical="top" wrapText="1"/>
    </xf>
    <xf numFmtId="0" fontId="47" fillId="0" borderId="50" xfId="0" applyFont="1" applyBorder="1" applyAlignment="1">
      <alignment horizontal="left" vertical="center" wrapText="1"/>
    </xf>
    <xf numFmtId="0" fontId="47" fillId="0" borderId="46" xfId="0" applyFont="1" applyBorder="1" applyAlignment="1">
      <alignment horizontal="left" vertical="center" wrapText="1"/>
    </xf>
    <xf numFmtId="179" fontId="63" fillId="4" borderId="47" xfId="0" applyNumberFormat="1" applyFont="1" applyFill="1" applyBorder="1" applyAlignment="1">
      <alignment horizontal="center" vertical="center" wrapText="1"/>
    </xf>
    <xf numFmtId="179" fontId="63" fillId="4" borderId="48" xfId="0" applyNumberFormat="1" applyFont="1" applyFill="1" applyBorder="1" applyAlignment="1">
      <alignment horizontal="center" vertical="center" wrapText="1"/>
    </xf>
    <xf numFmtId="43" fontId="66" fillId="7" borderId="51" xfId="2" applyNumberFormat="1" applyFont="1" applyFill="1" applyBorder="1" applyAlignment="1">
      <alignment horizontal="center" vertical="center" wrapText="1" readingOrder="1"/>
    </xf>
    <xf numFmtId="0" fontId="65" fillId="6" borderId="53" xfId="0" applyFont="1" applyFill="1" applyBorder="1" applyAlignment="1">
      <alignment horizontal="left" vertical="center" wrapText="1" indent="1" readingOrder="1"/>
    </xf>
    <xf numFmtId="43" fontId="66" fillId="6" borderId="54" xfId="2" applyNumberFormat="1" applyFont="1" applyFill="1" applyBorder="1" applyAlignment="1">
      <alignment horizontal="center" vertical="center" wrapText="1" readingOrder="1"/>
    </xf>
    <xf numFmtId="0" fontId="65" fillId="7" borderId="53" xfId="0" applyFont="1" applyFill="1" applyBorder="1" applyAlignment="1">
      <alignment horizontal="left" vertical="center" wrapText="1" indent="1" readingOrder="1"/>
    </xf>
    <xf numFmtId="43" fontId="66" fillId="7" borderId="54" xfId="2" applyNumberFormat="1" applyFont="1" applyFill="1" applyBorder="1" applyAlignment="1">
      <alignment horizontal="center" vertical="center" wrapText="1" readingOrder="1"/>
    </xf>
    <xf numFmtId="9" fontId="66" fillId="6" borderId="54" xfId="3" applyNumberFormat="1" applyFont="1" applyFill="1" applyBorder="1" applyAlignment="1">
      <alignment horizontal="right" vertical="center" wrapText="1" readingOrder="1"/>
    </xf>
    <xf numFmtId="0" fontId="65" fillId="7" borderId="52" xfId="0" applyFont="1" applyFill="1" applyBorder="1" applyAlignment="1">
      <alignment horizontal="left" vertical="center" wrapText="1" indent="1" readingOrder="1"/>
    </xf>
    <xf numFmtId="43" fontId="39" fillId="3" borderId="1" xfId="0" applyNumberFormat="1" applyFont="1" applyFill="1" applyBorder="1" applyAlignment="1">
      <alignment horizontal="justify" vertical="center" wrapText="1"/>
    </xf>
    <xf numFmtId="178" fontId="54" fillId="0" borderId="0" xfId="2" applyNumberFormat="1" applyFont="1" applyBorder="1" applyAlignment="1">
      <alignment horizontal="center" vertical="center"/>
    </xf>
    <xf numFmtId="0" fontId="49" fillId="4" borderId="0" xfId="0" applyFont="1" applyFill="1" applyBorder="1" applyAlignment="1">
      <alignment horizontal="left" vertical="center"/>
    </xf>
    <xf numFmtId="0" fontId="49" fillId="4" borderId="37" xfId="0" applyFont="1" applyFill="1" applyBorder="1" applyAlignment="1">
      <alignment horizontal="center"/>
    </xf>
    <xf numFmtId="0" fontId="49" fillId="4" borderId="25" xfId="0" applyFont="1" applyFill="1" applyBorder="1" applyAlignment="1">
      <alignment horizontal="center"/>
    </xf>
    <xf numFmtId="0" fontId="49" fillId="4" borderId="26" xfId="0" applyFont="1" applyFill="1" applyBorder="1" applyAlignment="1">
      <alignment horizontal="center"/>
    </xf>
    <xf numFmtId="3" fontId="71" fillId="0" borderId="0" xfId="0" applyNumberFormat="1" applyFont="1"/>
    <xf numFmtId="3" fontId="38" fillId="0" borderId="60" xfId="0" applyNumberFormat="1" applyFont="1" applyBorder="1" applyAlignment="1">
      <alignment horizontal="center" vertical="center"/>
    </xf>
    <xf numFmtId="3" fontId="38" fillId="0" borderId="62" xfId="0" applyNumberFormat="1" applyFont="1" applyBorder="1" applyAlignment="1">
      <alignment horizontal="center" vertical="center"/>
    </xf>
    <xf numFmtId="3" fontId="38" fillId="0" borderId="16" xfId="0" applyNumberFormat="1" applyFont="1" applyBorder="1"/>
    <xf numFmtId="3" fontId="71" fillId="0" borderId="62" xfId="0" applyNumberFormat="1" applyFont="1" applyBorder="1" applyAlignment="1">
      <alignment horizontal="center" vertical="center"/>
    </xf>
    <xf numFmtId="3" fontId="71" fillId="0" borderId="16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left" vertical="center"/>
    </xf>
    <xf numFmtId="3" fontId="71" fillId="0" borderId="1" xfId="0" applyNumberFormat="1" applyFont="1" applyBorder="1"/>
    <xf numFmtId="3" fontId="71" fillId="0" borderId="16" xfId="0" applyNumberFormat="1" applyFont="1" applyBorder="1"/>
    <xf numFmtId="3" fontId="38" fillId="0" borderId="67" xfId="0" applyNumberFormat="1" applyFont="1" applyBorder="1" applyAlignment="1">
      <alignment horizontal="center" vertical="center"/>
    </xf>
    <xf numFmtId="3" fontId="71" fillId="0" borderId="3" xfId="0" applyNumberFormat="1" applyFont="1" applyBorder="1"/>
    <xf numFmtId="3" fontId="38" fillId="0" borderId="31" xfId="0" applyNumberFormat="1" applyFont="1" applyBorder="1" applyAlignment="1">
      <alignment horizontal="center" vertical="center"/>
    </xf>
    <xf numFmtId="3" fontId="38" fillId="0" borderId="33" xfId="0" applyNumberFormat="1" applyFont="1" applyBorder="1"/>
    <xf numFmtId="0" fontId="69" fillId="0" borderId="0" xfId="0" applyFont="1"/>
    <xf numFmtId="0" fontId="68" fillId="4" borderId="35" xfId="0" applyFont="1" applyFill="1" applyBorder="1"/>
    <xf numFmtId="0" fontId="72" fillId="4" borderId="12" xfId="0" applyFont="1" applyFill="1" applyBorder="1" applyAlignment="1">
      <alignment horizontal="center" vertical="center" wrapText="1"/>
    </xf>
    <xf numFmtId="0" fontId="72" fillId="4" borderId="3" xfId="0" applyFont="1" applyFill="1" applyBorder="1" applyAlignment="1">
      <alignment horizontal="center" vertical="center" wrapText="1"/>
    </xf>
    <xf numFmtId="0" fontId="72" fillId="4" borderId="13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vertical="top" wrapText="1"/>
    </xf>
    <xf numFmtId="164" fontId="70" fillId="4" borderId="31" xfId="1" applyFont="1" applyFill="1" applyBorder="1"/>
    <xf numFmtId="43" fontId="39" fillId="3" borderId="10" xfId="0" applyNumberFormat="1" applyFont="1" applyFill="1" applyBorder="1" applyAlignment="1">
      <alignment horizontal="justify" vertical="center" wrapText="1"/>
    </xf>
    <xf numFmtId="0" fontId="39" fillId="3" borderId="12" xfId="0" applyFont="1" applyFill="1" applyBorder="1" applyAlignment="1">
      <alignment vertical="top" wrapText="1"/>
    </xf>
    <xf numFmtId="172" fontId="0" fillId="5" borderId="17" xfId="3" applyNumberFormat="1" applyFont="1" applyFill="1" applyBorder="1"/>
    <xf numFmtId="4" fontId="0" fillId="0" borderId="0" xfId="0" applyNumberFormat="1"/>
    <xf numFmtId="4" fontId="0" fillId="3" borderId="1" xfId="0" applyNumberFormat="1" applyFill="1" applyBorder="1" applyAlignment="1">
      <alignment vertical="center" wrapText="1"/>
    </xf>
    <xf numFmtId="4" fontId="0" fillId="3" borderId="15" xfId="0" applyNumberFormat="1" applyFill="1" applyBorder="1" applyAlignment="1">
      <alignment vertical="center" wrapText="1"/>
    </xf>
    <xf numFmtId="3" fontId="63" fillId="4" borderId="57" xfId="0" applyNumberFormat="1" applyFont="1" applyFill="1" applyBorder="1" applyAlignment="1">
      <alignment horizontal="center" vertical="center"/>
    </xf>
    <xf numFmtId="3" fontId="63" fillId="4" borderId="58" xfId="0" applyNumberFormat="1" applyFont="1" applyFill="1" applyBorder="1" applyAlignment="1">
      <alignment horizontal="center" vertical="center"/>
    </xf>
    <xf numFmtId="3" fontId="63" fillId="4" borderId="59" xfId="0" applyNumberFormat="1" applyFont="1" applyFill="1" applyBorder="1" applyAlignment="1">
      <alignment horizontal="center" vertical="center"/>
    </xf>
    <xf numFmtId="3" fontId="74" fillId="5" borderId="60" xfId="0" applyNumberFormat="1" applyFont="1" applyFill="1" applyBorder="1" applyAlignment="1">
      <alignment horizontal="center" vertical="center"/>
    </xf>
    <xf numFmtId="3" fontId="74" fillId="5" borderId="1" xfId="0" applyNumberFormat="1" applyFont="1" applyFill="1" applyBorder="1"/>
    <xf numFmtId="3" fontId="38" fillId="0" borderId="0" xfId="0" applyNumberFormat="1" applyFont="1" applyBorder="1" applyAlignment="1">
      <alignment horizontal="center" vertical="center"/>
    </xf>
    <xf numFmtId="3" fontId="38" fillId="0" borderId="0" xfId="0" applyNumberFormat="1" applyFont="1" applyBorder="1"/>
    <xf numFmtId="3" fontId="38" fillId="8" borderId="65" xfId="0" applyNumberFormat="1" applyFont="1" applyFill="1" applyBorder="1" applyAlignment="1">
      <alignment horizontal="center" vertical="center"/>
    </xf>
    <xf numFmtId="3" fontId="38" fillId="8" borderId="60" xfId="0" applyNumberFormat="1" applyFont="1" applyFill="1" applyBorder="1" applyAlignment="1">
      <alignment horizontal="center" vertical="center"/>
    </xf>
    <xf numFmtId="3" fontId="34" fillId="8" borderId="4" xfId="0" applyNumberFormat="1" applyFont="1" applyFill="1" applyBorder="1"/>
    <xf numFmtId="3" fontId="74" fillId="5" borderId="70" xfId="0" applyNumberFormat="1" applyFont="1" applyFill="1" applyBorder="1" applyAlignment="1">
      <alignment horizontal="center" vertical="center"/>
    </xf>
    <xf numFmtId="3" fontId="74" fillId="5" borderId="15" xfId="0" applyNumberFormat="1" applyFont="1" applyFill="1" applyBorder="1"/>
    <xf numFmtId="3" fontId="74" fillId="5" borderId="31" xfId="0" applyNumberFormat="1" applyFont="1" applyFill="1" applyBorder="1" applyAlignment="1">
      <alignment horizontal="center" vertical="center"/>
    </xf>
    <xf numFmtId="3" fontId="74" fillId="5" borderId="32" xfId="0" applyNumberFormat="1" applyFont="1" applyFill="1" applyBorder="1"/>
    <xf numFmtId="0" fontId="77" fillId="4" borderId="5" xfId="0" applyFont="1" applyFill="1" applyBorder="1" applyAlignment="1">
      <alignment horizontal="justify" vertical="center" wrapText="1"/>
    </xf>
    <xf numFmtId="0" fontId="77" fillId="4" borderId="6" xfId="0" applyFont="1" applyFill="1" applyBorder="1" applyAlignment="1">
      <alignment horizontal="justify" vertical="center" wrapText="1"/>
    </xf>
    <xf numFmtId="0" fontId="78" fillId="3" borderId="20" xfId="0" applyFont="1" applyFill="1" applyBorder="1" applyAlignment="1">
      <alignment horizontal="justify" vertical="center" wrapText="1"/>
    </xf>
    <xf numFmtId="0" fontId="78" fillId="3" borderId="0" xfId="0" applyFont="1" applyFill="1" applyBorder="1" applyAlignment="1">
      <alignment horizontal="center" vertical="center" wrapText="1"/>
    </xf>
    <xf numFmtId="3" fontId="62" fillId="3" borderId="0" xfId="1" applyNumberFormat="1" applyFont="1" applyFill="1" applyBorder="1" applyAlignment="1">
      <alignment horizontal="center" vertical="center" wrapText="1"/>
    </xf>
    <xf numFmtId="0" fontId="77" fillId="4" borderId="39" xfId="0" applyFont="1" applyFill="1" applyBorder="1" applyAlignment="1">
      <alignment horizontal="justify" vertical="center" wrapText="1"/>
    </xf>
    <xf numFmtId="0" fontId="77" fillId="4" borderId="35" xfId="0" applyFont="1" applyFill="1" applyBorder="1" applyAlignment="1">
      <alignment horizontal="justify" vertical="center" wrapText="1"/>
    </xf>
    <xf numFmtId="0" fontId="77" fillId="4" borderId="36" xfId="0" applyFont="1" applyFill="1" applyBorder="1" applyAlignment="1">
      <alignment horizontal="justify" vertical="center" wrapText="1"/>
    </xf>
    <xf numFmtId="3" fontId="50" fillId="4" borderId="37" xfId="1" applyNumberFormat="1" applyFont="1" applyFill="1" applyBorder="1" applyAlignment="1">
      <alignment vertical="center"/>
    </xf>
    <xf numFmtId="0" fontId="77" fillId="4" borderId="6" xfId="0" applyFont="1" applyFill="1" applyBorder="1" applyAlignment="1">
      <alignment horizontal="center" vertical="center" wrapText="1"/>
    </xf>
    <xf numFmtId="3" fontId="50" fillId="4" borderId="34" xfId="1" applyNumberFormat="1" applyFont="1" applyFill="1" applyBorder="1" applyAlignment="1">
      <alignment horizontal="center" vertical="center" wrapText="1"/>
    </xf>
    <xf numFmtId="4" fontId="50" fillId="4" borderId="32" xfId="1" applyNumberFormat="1" applyFont="1" applyFill="1" applyBorder="1" applyAlignment="1">
      <alignment vertical="center"/>
    </xf>
    <xf numFmtId="4" fontId="50" fillId="4" borderId="33" xfId="1" applyNumberFormat="1" applyFont="1" applyFill="1" applyBorder="1" applyAlignment="1">
      <alignment vertical="center"/>
    </xf>
    <xf numFmtId="3" fontId="78" fillId="0" borderId="7" xfId="0" applyNumberFormat="1" applyFont="1" applyBorder="1" applyAlignment="1">
      <alignment vertical="center"/>
    </xf>
    <xf numFmtId="3" fontId="62" fillId="3" borderId="38" xfId="1" applyNumberFormat="1" applyFont="1" applyFill="1" applyBorder="1" applyAlignment="1">
      <alignment vertical="center"/>
    </xf>
    <xf numFmtId="3" fontId="11" fillId="0" borderId="11" xfId="1" applyNumberFormat="1" applyFont="1" applyFill="1" applyBorder="1"/>
    <xf numFmtId="0" fontId="79" fillId="0" borderId="27" xfId="0" applyFont="1" applyFill="1" applyBorder="1" applyAlignment="1">
      <alignment horizontal="left"/>
    </xf>
    <xf numFmtId="0" fontId="79" fillId="0" borderId="10" xfId="0" applyFont="1" applyFill="1" applyBorder="1" applyAlignment="1">
      <alignment horizontal="left"/>
    </xf>
    <xf numFmtId="0" fontId="79" fillId="0" borderId="12" xfId="0" applyFont="1" applyFill="1" applyBorder="1" applyAlignment="1">
      <alignment horizontal="left"/>
    </xf>
    <xf numFmtId="0" fontId="50" fillId="4" borderId="31" xfId="0" applyFont="1" applyFill="1" applyBorder="1" applyAlignment="1">
      <alignment horizontal="center"/>
    </xf>
    <xf numFmtId="0" fontId="50" fillId="4" borderId="32" xfId="0" applyFont="1" applyFill="1" applyBorder="1" applyAlignment="1">
      <alignment horizontal="center"/>
    </xf>
    <xf numFmtId="0" fontId="50" fillId="4" borderId="33" xfId="0" applyFont="1" applyFill="1" applyBorder="1" applyAlignment="1">
      <alignment horizontal="center"/>
    </xf>
    <xf numFmtId="170" fontId="64" fillId="5" borderId="6" xfId="1" applyNumberFormat="1" applyFont="1" applyFill="1" applyBorder="1" applyAlignment="1">
      <alignment horizontal="right" vertical="center"/>
    </xf>
    <xf numFmtId="165" fontId="64" fillId="5" borderId="6" xfId="0" applyNumberFormat="1" applyFont="1" applyFill="1" applyBorder="1" applyAlignment="1">
      <alignment horizontal="right" vertical="center"/>
    </xf>
    <xf numFmtId="0" fontId="9" fillId="0" borderId="0" xfId="0" applyFont="1"/>
    <xf numFmtId="0" fontId="9" fillId="0" borderId="0" xfId="0" applyFont="1" applyBorder="1"/>
    <xf numFmtId="0" fontId="81" fillId="0" borderId="0" xfId="11" applyAlignment="1" applyProtection="1"/>
    <xf numFmtId="0" fontId="79" fillId="0" borderId="0" xfId="0" applyFont="1"/>
    <xf numFmtId="0" fontId="84" fillId="0" borderId="0" xfId="0" applyFont="1"/>
    <xf numFmtId="0" fontId="85" fillId="0" borderId="0" xfId="0" applyFont="1"/>
    <xf numFmtId="10" fontId="3" fillId="3" borderId="3" xfId="3" applyNumberFormat="1" applyFont="1" applyFill="1" applyBorder="1" applyAlignment="1">
      <alignment horizontal="center"/>
    </xf>
    <xf numFmtId="10" fontId="3" fillId="3" borderId="13" xfId="3" applyNumberFormat="1" applyFont="1" applyFill="1" applyBorder="1" applyAlignment="1">
      <alignment horizontal="center"/>
    </xf>
    <xf numFmtId="175" fontId="75" fillId="5" borderId="1" xfId="0" applyNumberFormat="1" applyFont="1" applyFill="1" applyBorder="1" applyAlignment="1">
      <alignment horizontal="right"/>
    </xf>
    <xf numFmtId="0" fontId="86" fillId="5" borderId="1" xfId="0" applyFont="1" applyFill="1" applyBorder="1"/>
    <xf numFmtId="9" fontId="16" fillId="0" borderId="0" xfId="3" applyFont="1"/>
    <xf numFmtId="43" fontId="21" fillId="0" borderId="1" xfId="0" applyNumberFormat="1" applyFont="1" applyBorder="1"/>
    <xf numFmtId="43" fontId="21" fillId="0" borderId="1" xfId="0" applyNumberFormat="1" applyFont="1" applyBorder="1" applyAlignment="1">
      <alignment horizontal="right"/>
    </xf>
    <xf numFmtId="43" fontId="16" fillId="0" borderId="1" xfId="2" applyNumberFormat="1" applyFont="1" applyBorder="1"/>
    <xf numFmtId="9" fontId="87" fillId="5" borderId="0" xfId="3" applyFont="1" applyFill="1" applyAlignment="1">
      <alignment horizontal="center" vertical="center"/>
    </xf>
    <xf numFmtId="168" fontId="15" fillId="0" borderId="27" xfId="4" applyNumberFormat="1" applyFont="1" applyFill="1" applyBorder="1" applyAlignment="1">
      <alignment horizontal="center"/>
    </xf>
    <xf numFmtId="3" fontId="15" fillId="0" borderId="16" xfId="4" applyNumberFormat="1" applyFont="1" applyFill="1" applyBorder="1"/>
    <xf numFmtId="166" fontId="15" fillId="0" borderId="16" xfId="4" applyNumberFormat="1" applyFont="1" applyFill="1" applyBorder="1" applyAlignment="1">
      <alignment horizontal="center"/>
    </xf>
    <xf numFmtId="4" fontId="15" fillId="0" borderId="16" xfId="4" applyNumberFormat="1" applyFont="1" applyFill="1" applyBorder="1"/>
    <xf numFmtId="4" fontId="15" fillId="0" borderId="28" xfId="4" applyNumberFormat="1" applyFont="1" applyFill="1" applyBorder="1"/>
    <xf numFmtId="0" fontId="89" fillId="4" borderId="24" xfId="0" applyFont="1" applyFill="1" applyBorder="1" applyAlignment="1">
      <alignment horizontal="center" vertical="center" wrapText="1"/>
    </xf>
    <xf numFmtId="0" fontId="89" fillId="4" borderId="25" xfId="0" applyFont="1" applyFill="1" applyBorder="1" applyAlignment="1">
      <alignment horizontal="center" vertical="center" wrapText="1"/>
    </xf>
    <xf numFmtId="0" fontId="89" fillId="4" borderId="26" xfId="0" applyFont="1" applyFill="1" applyBorder="1" applyAlignment="1">
      <alignment horizontal="center" vertical="center" wrapText="1"/>
    </xf>
    <xf numFmtId="168" fontId="89" fillId="4" borderId="55" xfId="4" applyNumberFormat="1" applyFont="1" applyFill="1" applyBorder="1" applyAlignment="1">
      <alignment horizontal="center"/>
    </xf>
    <xf numFmtId="168" fontId="89" fillId="4" borderId="40" xfId="4" applyNumberFormat="1" applyFont="1" applyFill="1" applyBorder="1" applyAlignment="1">
      <alignment horizontal="center"/>
    </xf>
    <xf numFmtId="168" fontId="89" fillId="4" borderId="56" xfId="4" applyNumberFormat="1" applyFont="1" applyFill="1" applyBorder="1" applyAlignment="1">
      <alignment horizontal="center"/>
    </xf>
    <xf numFmtId="172" fontId="90" fillId="5" borderId="40" xfId="5" applyNumberFormat="1" applyFont="1" applyFill="1" applyBorder="1" applyAlignment="1">
      <alignment horizontal="center"/>
    </xf>
    <xf numFmtId="0" fontId="63" fillId="4" borderId="15" xfId="0" applyFont="1" applyFill="1" applyBorder="1" applyAlignment="1">
      <alignment horizontal="center" vertical="center"/>
    </xf>
    <xf numFmtId="0" fontId="63" fillId="4" borderId="16" xfId="0" applyFont="1" applyFill="1" applyBorder="1" applyAlignment="1">
      <alignment horizontal="center" vertical="center"/>
    </xf>
    <xf numFmtId="0" fontId="75" fillId="5" borderId="0" xfId="0" applyFont="1" applyFill="1"/>
    <xf numFmtId="4" fontId="75" fillId="5" borderId="0" xfId="0" applyNumberFormat="1" applyFont="1" applyFill="1" applyProtection="1">
      <protection hidden="1"/>
    </xf>
    <xf numFmtId="4" fontId="23" fillId="0" borderId="73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4" fontId="33" fillId="0" borderId="0" xfId="0" applyNumberFormat="1" applyFont="1" applyFill="1" applyBorder="1"/>
    <xf numFmtId="173" fontId="33" fillId="0" borderId="0" xfId="0" applyNumberFormat="1" applyFont="1"/>
    <xf numFmtId="0" fontId="34" fillId="0" borderId="0" xfId="0" applyFont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93" fillId="0" borderId="0" xfId="0" applyFont="1" applyBorder="1"/>
    <xf numFmtId="4" fontId="33" fillId="0" borderId="0" xfId="0" applyNumberFormat="1" applyFont="1" applyBorder="1"/>
    <xf numFmtId="3" fontId="33" fillId="0" borderId="0" xfId="0" applyNumberFormat="1" applyFont="1" applyBorder="1" applyAlignment="1">
      <alignment horizontal="center"/>
    </xf>
    <xf numFmtId="0" fontId="94" fillId="0" borderId="0" xfId="0" applyFont="1" applyBorder="1"/>
    <xf numFmtId="0" fontId="95" fillId="0" borderId="0" xfId="0" applyFont="1" applyFill="1" applyBorder="1"/>
    <xf numFmtId="3" fontId="33" fillId="0" borderId="0" xfId="0" applyNumberFormat="1" applyFont="1" applyFill="1" applyBorder="1"/>
    <xf numFmtId="9" fontId="33" fillId="0" borderId="0" xfId="5" applyFont="1" applyFill="1" applyBorder="1"/>
    <xf numFmtId="39" fontId="33" fillId="0" borderId="0" xfId="0" applyNumberFormat="1" applyFont="1" applyFill="1" applyBorder="1"/>
    <xf numFmtId="4" fontId="37" fillId="0" borderId="1" xfId="0" applyNumberFormat="1" applyFont="1" applyBorder="1" applyAlignment="1">
      <alignment vertical="center" wrapText="1"/>
    </xf>
    <xf numFmtId="4" fontId="0" fillId="0" borderId="1" xfId="2" applyNumberFormat="1" applyFont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" xfId="0" applyFont="1" applyFill="1" applyBorder="1" applyAlignment="1">
      <alignment horizontal="center" vertical="center"/>
    </xf>
    <xf numFmtId="3" fontId="75" fillId="5" borderId="1" xfId="0" applyNumberFormat="1" applyFont="1" applyFill="1" applyBorder="1" applyAlignment="1">
      <alignment horizontal="center" vertical="center"/>
    </xf>
    <xf numFmtId="3" fontId="88" fillId="5" borderId="10" xfId="0" applyNumberFormat="1" applyFont="1" applyFill="1" applyBorder="1"/>
    <xf numFmtId="0" fontId="75" fillId="5" borderId="11" xfId="0" applyFont="1" applyFill="1" applyBorder="1" applyAlignment="1">
      <alignment horizontal="center" vertical="center" shrinkToFit="1"/>
    </xf>
    <xf numFmtId="4" fontId="16" fillId="0" borderId="11" xfId="0" applyNumberFormat="1" applyFont="1" applyBorder="1"/>
    <xf numFmtId="4" fontId="23" fillId="0" borderId="13" xfId="0" applyNumberFormat="1" applyFont="1" applyBorder="1"/>
    <xf numFmtId="168" fontId="75" fillId="5" borderId="12" xfId="4" applyNumberFormat="1" applyFont="1" applyFill="1" applyBorder="1" applyAlignment="1">
      <alignment horizontal="center"/>
    </xf>
    <xf numFmtId="3" fontId="75" fillId="5" borderId="3" xfId="4" applyNumberFormat="1" applyFont="1" applyFill="1" applyBorder="1"/>
    <xf numFmtId="4" fontId="75" fillId="5" borderId="3" xfId="4" applyNumberFormat="1" applyFont="1" applyFill="1" applyBorder="1"/>
    <xf numFmtId="4" fontId="75" fillId="5" borderId="13" xfId="4" applyNumberFormat="1" applyFont="1" applyFill="1" applyBorder="1"/>
    <xf numFmtId="43" fontId="67" fillId="0" borderId="0" xfId="2" applyFont="1" applyFill="1" applyBorder="1" applyAlignment="1">
      <alignment horizontal="right"/>
    </xf>
    <xf numFmtId="0" fontId="0" fillId="0" borderId="0" xfId="0" applyFill="1"/>
    <xf numFmtId="43" fontId="11" fillId="0" borderId="15" xfId="2" applyFont="1" applyBorder="1" applyAlignment="1">
      <alignment horizontal="right"/>
    </xf>
    <xf numFmtId="43" fontId="67" fillId="5" borderId="7" xfId="2" applyFont="1" applyFill="1" applyBorder="1" applyAlignment="1">
      <alignment horizontal="right"/>
    </xf>
    <xf numFmtId="43" fontId="67" fillId="5" borderId="2" xfId="2" applyFont="1" applyFill="1" applyBorder="1" applyAlignment="1">
      <alignment horizontal="right"/>
    </xf>
    <xf numFmtId="0" fontId="35" fillId="0" borderId="0" xfId="0" applyFont="1" applyBorder="1"/>
    <xf numFmtId="9" fontId="0" fillId="0" borderId="1" xfId="3" applyFont="1" applyBorder="1" applyAlignment="1">
      <alignment horizontal="center"/>
    </xf>
    <xf numFmtId="3" fontId="98" fillId="4" borderId="8" xfId="0" applyNumberFormat="1" applyFont="1" applyFill="1" applyBorder="1" applyAlignment="1">
      <alignment vertical="center"/>
    </xf>
    <xf numFmtId="3" fontId="98" fillId="4" borderId="4" xfId="0" applyNumberFormat="1" applyFont="1" applyFill="1" applyBorder="1" applyAlignment="1">
      <alignment horizontal="center" vertical="center"/>
    </xf>
    <xf numFmtId="3" fontId="24" fillId="3" borderId="10" xfId="0" applyNumberFormat="1" applyFont="1" applyFill="1" applyBorder="1" applyAlignment="1">
      <alignment vertical="center"/>
    </xf>
    <xf numFmtId="3" fontId="99" fillId="0" borderId="1" xfId="2" applyNumberFormat="1" applyFont="1" applyBorder="1" applyAlignment="1">
      <alignment vertical="center"/>
    </xf>
    <xf numFmtId="3" fontId="99" fillId="2" borderId="0" xfId="2" applyNumberFormat="1" applyFont="1" applyFill="1" applyAlignment="1">
      <alignment vertical="center"/>
    </xf>
    <xf numFmtId="3" fontId="24" fillId="3" borderId="12" xfId="0" applyNumberFormat="1" applyFont="1" applyFill="1" applyBorder="1" applyAlignment="1">
      <alignment vertical="center"/>
    </xf>
    <xf numFmtId="3" fontId="99" fillId="0" borderId="3" xfId="6" applyNumberFormat="1" applyFont="1" applyBorder="1" applyAlignment="1">
      <alignment vertical="center"/>
    </xf>
    <xf numFmtId="3" fontId="99" fillId="0" borderId="3" xfId="6" applyNumberFormat="1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4" fontId="23" fillId="5" borderId="1" xfId="0" applyNumberFormat="1" applyFont="1" applyFill="1" applyBorder="1" applyAlignment="1">
      <alignment horizontal="center"/>
    </xf>
    <xf numFmtId="4" fontId="23" fillId="5" borderId="1" xfId="2" applyNumberFormat="1" applyFont="1" applyFill="1" applyBorder="1" applyAlignment="1">
      <alignment horizontal="center"/>
    </xf>
    <xf numFmtId="0" fontId="0" fillId="3" borderId="0" xfId="0" applyFill="1"/>
    <xf numFmtId="0" fontId="101" fillId="3" borderId="0" xfId="0" applyFont="1" applyFill="1"/>
    <xf numFmtId="0" fontId="102" fillId="3" borderId="0" xfId="0" applyFont="1" applyFill="1"/>
    <xf numFmtId="0" fontId="9" fillId="10" borderId="82" xfId="0" applyFont="1" applyFill="1" applyBorder="1"/>
    <xf numFmtId="0" fontId="9" fillId="10" borderId="85" xfId="0" applyFont="1" applyFill="1" applyBorder="1"/>
    <xf numFmtId="0" fontId="9" fillId="10" borderId="87" xfId="0" applyFont="1" applyFill="1" applyBorder="1"/>
    <xf numFmtId="0" fontId="9" fillId="9" borderId="90" xfId="0" applyFont="1" applyFill="1" applyBorder="1"/>
    <xf numFmtId="3" fontId="9" fillId="0" borderId="91" xfId="0" applyNumberFormat="1" applyFont="1" applyBorder="1"/>
    <xf numFmtId="3" fontId="9" fillId="0" borderId="92" xfId="0" applyNumberFormat="1" applyFont="1" applyBorder="1"/>
    <xf numFmtId="0" fontId="9" fillId="0" borderId="82" xfId="0" applyFont="1" applyBorder="1" applyAlignment="1">
      <alignment horizontal="right"/>
    </xf>
    <xf numFmtId="3" fontId="83" fillId="0" borderId="84" xfId="0" applyNumberFormat="1" applyFont="1" applyBorder="1" applyAlignment="1">
      <alignment horizontal="center"/>
    </xf>
    <xf numFmtId="0" fontId="9" fillId="0" borderId="85" xfId="0" applyFont="1" applyBorder="1" applyAlignment="1">
      <alignment horizontal="right"/>
    </xf>
    <xf numFmtId="3" fontId="83" fillId="0" borderId="86" xfId="0" applyNumberFormat="1" applyFont="1" applyBorder="1" applyAlignment="1">
      <alignment horizontal="center"/>
    </xf>
    <xf numFmtId="0" fontId="9" fillId="0" borderId="87" xfId="0" applyFont="1" applyBorder="1" applyAlignment="1">
      <alignment horizontal="right"/>
    </xf>
    <xf numFmtId="3" fontId="104" fillId="5" borderId="89" xfId="0" applyNumberFormat="1" applyFont="1" applyFill="1" applyBorder="1" applyAlignment="1">
      <alignment horizontal="center"/>
    </xf>
    <xf numFmtId="0" fontId="9" fillId="0" borderId="90" xfId="0" applyFont="1" applyBorder="1" applyAlignment="1">
      <alignment horizontal="right"/>
    </xf>
    <xf numFmtId="3" fontId="104" fillId="5" borderId="92" xfId="0" applyNumberFormat="1" applyFont="1" applyFill="1" applyBorder="1" applyAlignment="1">
      <alignment horizontal="center"/>
    </xf>
    <xf numFmtId="3" fontId="82" fillId="0" borderId="83" xfId="0" applyNumberFormat="1" applyFont="1" applyFill="1" applyBorder="1" applyAlignment="1">
      <alignment horizontal="center"/>
    </xf>
    <xf numFmtId="3" fontId="82" fillId="0" borderId="0" xfId="0" applyNumberFormat="1" applyFont="1" applyFill="1" applyBorder="1" applyAlignment="1">
      <alignment horizontal="center"/>
    </xf>
    <xf numFmtId="3" fontId="82" fillId="0" borderId="88" xfId="0" applyNumberFormat="1" applyFont="1" applyFill="1" applyBorder="1" applyAlignment="1">
      <alignment horizontal="center"/>
    </xf>
    <xf numFmtId="3" fontId="79" fillId="0" borderId="91" xfId="0" applyNumberFormat="1" applyFont="1" applyFill="1" applyBorder="1"/>
    <xf numFmtId="3" fontId="9" fillId="0" borderId="83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88" xfId="0" applyNumberFormat="1" applyFont="1" applyBorder="1" applyAlignment="1">
      <alignment horizontal="center"/>
    </xf>
    <xf numFmtId="3" fontId="9" fillId="0" borderId="84" xfId="0" applyNumberFormat="1" applyFont="1" applyBorder="1" applyAlignment="1">
      <alignment horizontal="center"/>
    </xf>
    <xf numFmtId="3" fontId="9" fillId="0" borderId="86" xfId="0" applyNumberFormat="1" applyFont="1" applyBorder="1" applyAlignment="1">
      <alignment horizontal="center"/>
    </xf>
    <xf numFmtId="3" fontId="9" fillId="0" borderId="89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8" fontId="11" fillId="0" borderId="1" xfId="0" applyNumberFormat="1" applyFont="1" applyFill="1" applyBorder="1" applyAlignment="1">
      <alignment wrapText="1"/>
    </xf>
    <xf numFmtId="180" fontId="66" fillId="7" borderId="54" xfId="2" applyNumberFormat="1" applyFont="1" applyFill="1" applyBorder="1" applyAlignment="1">
      <alignment horizontal="center" vertical="center" wrapText="1" readingOrder="1"/>
    </xf>
    <xf numFmtId="180" fontId="66" fillId="6" borderId="54" xfId="2" applyNumberFormat="1" applyFont="1" applyFill="1" applyBorder="1" applyAlignment="1">
      <alignment horizontal="center" vertical="center" wrapText="1" readingOrder="1"/>
    </xf>
    <xf numFmtId="4" fontId="70" fillId="4" borderId="15" xfId="4" applyNumberFormat="1" applyFont="1" applyFill="1" applyBorder="1" applyAlignment="1">
      <alignment horizontal="center" vertical="center" wrapText="1"/>
    </xf>
    <xf numFmtId="168" fontId="15" fillId="0" borderId="8" xfId="4" applyNumberFormat="1" applyFont="1" applyFill="1" applyBorder="1" applyAlignment="1">
      <alignment horizontal="center"/>
    </xf>
    <xf numFmtId="169" fontId="23" fillId="0" borderId="4" xfId="7" applyNumberFormat="1" applyFont="1" applyFill="1" applyBorder="1" applyAlignment="1">
      <alignment vertical="center"/>
    </xf>
    <xf numFmtId="4" fontId="15" fillId="0" borderId="4" xfId="4" applyNumberFormat="1" applyFont="1" applyFill="1" applyBorder="1"/>
    <xf numFmtId="169" fontId="16" fillId="0" borderId="4" xfId="7" applyNumberFormat="1" applyFont="1" applyBorder="1" applyAlignment="1">
      <alignment horizontal="right"/>
    </xf>
    <xf numFmtId="169" fontId="16" fillId="0" borderId="4" xfId="7" applyNumberFormat="1" applyFont="1" applyBorder="1"/>
    <xf numFmtId="168" fontId="16" fillId="0" borderId="4" xfId="4" applyNumberFormat="1" applyFont="1" applyBorder="1"/>
    <xf numFmtId="170" fontId="16" fillId="0" borderId="9" xfId="2" applyNumberFormat="1" applyFont="1" applyBorder="1"/>
    <xf numFmtId="4" fontId="15" fillId="0" borderId="3" xfId="4" applyNumberFormat="1" applyFont="1" applyFill="1" applyBorder="1"/>
    <xf numFmtId="4" fontId="23" fillId="0" borderId="1" xfId="0" applyNumberFormat="1" applyFont="1" applyBorder="1" applyAlignment="1">
      <alignment horizontal="center" vertical="center"/>
    </xf>
    <xf numFmtId="12" fontId="0" fillId="0" borderId="0" xfId="0" applyNumberFormat="1"/>
    <xf numFmtId="3" fontId="0" fillId="0" borderId="0" xfId="0" applyNumberFormat="1"/>
    <xf numFmtId="43" fontId="0" fillId="0" borderId="0" xfId="2" applyFont="1" applyFill="1"/>
    <xf numFmtId="43" fontId="0" fillId="0" borderId="0" xfId="0" applyNumberFormat="1" applyFill="1"/>
    <xf numFmtId="181" fontId="55" fillId="5" borderId="2" xfId="0" applyNumberFormat="1" applyFont="1" applyFill="1" applyBorder="1"/>
    <xf numFmtId="9" fontId="66" fillId="6" borderId="54" xfId="3" applyFont="1" applyFill="1" applyBorder="1" applyAlignment="1">
      <alignment horizontal="right" vertical="center" wrapText="1" readingOrder="1"/>
    </xf>
    <xf numFmtId="180" fontId="66" fillId="7" borderId="51" xfId="2" applyNumberFormat="1" applyFont="1" applyFill="1" applyBorder="1" applyAlignment="1">
      <alignment horizontal="center" vertical="center" wrapText="1" readingOrder="1"/>
    </xf>
    <xf numFmtId="0" fontId="49" fillId="4" borderId="2" xfId="0" applyFont="1" applyFill="1" applyBorder="1" applyAlignment="1">
      <alignment horizontal="left" vertical="center"/>
    </xf>
    <xf numFmtId="0" fontId="65" fillId="7" borderId="94" xfId="0" applyFont="1" applyFill="1" applyBorder="1" applyAlignment="1">
      <alignment horizontal="left" vertical="center" wrapText="1" indent="1" readingOrder="1"/>
    </xf>
    <xf numFmtId="9" fontId="105" fillId="5" borderId="0" xfId="0" applyNumberFormat="1" applyFont="1" applyFill="1" applyBorder="1"/>
    <xf numFmtId="0" fontId="20" fillId="0" borderId="16" xfId="0" applyFont="1" applyBorder="1"/>
    <xf numFmtId="0" fontId="21" fillId="0" borderId="16" xfId="0" applyFont="1" applyBorder="1"/>
    <xf numFmtId="0" fontId="16" fillId="0" borderId="16" xfId="0" applyFont="1" applyBorder="1"/>
    <xf numFmtId="0" fontId="7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4" fontId="107" fillId="0" borderId="2" xfId="0" applyNumberFormat="1" applyFont="1" applyFill="1" applyBorder="1" applyAlignment="1">
      <alignment horizontal="center" vertical="center"/>
    </xf>
    <xf numFmtId="0" fontId="108" fillId="3" borderId="0" xfId="11" applyFont="1" applyFill="1" applyAlignment="1" applyProtection="1"/>
    <xf numFmtId="0" fontId="109" fillId="3" borderId="0" xfId="0" applyFont="1" applyFill="1" applyAlignment="1">
      <alignment horizontal="left"/>
    </xf>
    <xf numFmtId="0" fontId="110" fillId="3" borderId="0" xfId="11" applyFont="1" applyFill="1" applyAlignment="1" applyProtection="1"/>
    <xf numFmtId="0" fontId="111" fillId="3" borderId="0" xfId="0" applyFont="1" applyFill="1"/>
    <xf numFmtId="0" fontId="112" fillId="3" borderId="0" xfId="0" applyFont="1" applyFill="1" applyAlignment="1">
      <alignment horizontal="left"/>
    </xf>
    <xf numFmtId="0" fontId="113" fillId="3" borderId="0" xfId="11" applyFont="1" applyFill="1" applyAlignment="1" applyProtection="1"/>
    <xf numFmtId="0" fontId="113" fillId="3" borderId="0" xfId="0" applyFont="1" applyFill="1"/>
    <xf numFmtId="0" fontId="114" fillId="3" borderId="0" xfId="0" applyFont="1" applyFill="1" applyAlignment="1">
      <alignment horizontal="left"/>
    </xf>
    <xf numFmtId="0" fontId="113" fillId="3" borderId="0" xfId="11" applyFont="1" applyFill="1" applyAlignment="1" applyProtection="1">
      <alignment horizontal="left"/>
    </xf>
    <xf numFmtId="0" fontId="81" fillId="0" borderId="0" xfId="11" applyFill="1" applyAlignment="1" applyProtection="1"/>
    <xf numFmtId="4" fontId="116" fillId="3" borderId="1" xfId="1" applyNumberFormat="1" applyFont="1" applyFill="1" applyBorder="1" applyAlignment="1">
      <alignment vertical="center"/>
    </xf>
    <xf numFmtId="4" fontId="116" fillId="3" borderId="11" xfId="1" applyNumberFormat="1" applyFont="1" applyFill="1" applyBorder="1" applyAlignment="1">
      <alignment vertical="center"/>
    </xf>
    <xf numFmtId="4" fontId="116" fillId="3" borderId="3" xfId="1" applyNumberFormat="1" applyFont="1" applyFill="1" applyBorder="1" applyAlignment="1">
      <alignment vertical="center"/>
    </xf>
    <xf numFmtId="4" fontId="116" fillId="3" borderId="13" xfId="1" applyNumberFormat="1" applyFont="1" applyFill="1" applyBorder="1" applyAlignment="1">
      <alignment vertical="center"/>
    </xf>
    <xf numFmtId="0" fontId="117" fillId="3" borderId="27" xfId="0" applyFont="1" applyFill="1" applyBorder="1" applyAlignment="1">
      <alignment horizontal="left" vertical="center" wrapText="1"/>
    </xf>
    <xf numFmtId="165" fontId="116" fillId="3" borderId="16" xfId="1" applyNumberFormat="1" applyFont="1" applyFill="1" applyBorder="1" applyAlignment="1">
      <alignment vertical="center"/>
    </xf>
    <xf numFmtId="165" fontId="116" fillId="3" borderId="15" xfId="1" applyNumberFormat="1" applyFont="1" applyFill="1" applyBorder="1" applyAlignment="1">
      <alignment vertical="center"/>
    </xf>
    <xf numFmtId="165" fontId="116" fillId="3" borderId="30" xfId="1" applyNumberFormat="1" applyFont="1" applyFill="1" applyBorder="1" applyAlignment="1">
      <alignment vertical="center"/>
    </xf>
    <xf numFmtId="0" fontId="117" fillId="3" borderId="27" xfId="0" applyFont="1" applyFill="1" applyBorder="1" applyAlignment="1">
      <alignment horizontal="justify" vertical="center" wrapText="1"/>
    </xf>
    <xf numFmtId="165" fontId="116" fillId="3" borderId="16" xfId="1" applyNumberFormat="1" applyFont="1" applyFill="1" applyBorder="1"/>
    <xf numFmtId="165" fontId="116" fillId="3" borderId="1" xfId="1" applyNumberFormat="1" applyFont="1" applyFill="1" applyBorder="1"/>
    <xf numFmtId="165" fontId="116" fillId="3" borderId="11" xfId="1" applyNumberFormat="1" applyFont="1" applyFill="1" applyBorder="1"/>
    <xf numFmtId="165" fontId="116" fillId="3" borderId="15" xfId="1" applyNumberFormat="1" applyFont="1" applyFill="1" applyBorder="1"/>
    <xf numFmtId="165" fontId="116" fillId="3" borderId="30" xfId="1" applyNumberFormat="1" applyFont="1" applyFill="1" applyBorder="1"/>
    <xf numFmtId="43" fontId="115" fillId="0" borderId="0" xfId="2" applyFont="1" applyFill="1"/>
    <xf numFmtId="43" fontId="115" fillId="0" borderId="0" xfId="2" applyFont="1" applyBorder="1" applyAlignment="1">
      <alignment horizontal="right"/>
    </xf>
    <xf numFmtId="43" fontId="115" fillId="0" borderId="0" xfId="0" applyNumberFormat="1" applyFont="1" applyFill="1"/>
    <xf numFmtId="178" fontId="67" fillId="0" borderId="1" xfId="2" applyNumberFormat="1" applyFont="1" applyBorder="1" applyAlignment="1">
      <alignment horizontal="center" vertical="center"/>
    </xf>
    <xf numFmtId="0" fontId="119" fillId="0" borderId="45" xfId="0" applyFont="1" applyBorder="1" applyAlignment="1">
      <alignment horizontal="left" vertical="center" wrapText="1"/>
    </xf>
    <xf numFmtId="43" fontId="120" fillId="0" borderId="44" xfId="2" applyFont="1" applyBorder="1" applyAlignment="1">
      <alignment horizontal="center" vertical="center" wrapText="1"/>
    </xf>
    <xf numFmtId="4" fontId="118" fillId="0" borderId="47" xfId="0" applyNumberFormat="1" applyFont="1" applyBorder="1" applyAlignment="1">
      <alignment horizontal="center" vertical="center" wrapText="1"/>
    </xf>
    <xf numFmtId="180" fontId="119" fillId="0" borderId="22" xfId="2" applyNumberFormat="1" applyFont="1" applyBorder="1" applyAlignment="1">
      <alignment horizontal="center" vertical="center" wrapText="1"/>
    </xf>
    <xf numFmtId="0" fontId="115" fillId="3" borderId="10" xfId="0" applyFont="1" applyFill="1" applyBorder="1" applyAlignment="1">
      <alignment horizontal="justify" vertical="top" wrapText="1"/>
    </xf>
    <xf numFmtId="3" fontId="116" fillId="3" borderId="1" xfId="1" applyNumberFormat="1" applyFont="1" applyFill="1" applyBorder="1"/>
    <xf numFmtId="3" fontId="116" fillId="3" borderId="11" xfId="1" applyNumberFormat="1" applyFont="1" applyFill="1" applyBorder="1"/>
    <xf numFmtId="0" fontId="115" fillId="3" borderId="12" xfId="0" applyFont="1" applyFill="1" applyBorder="1" applyAlignment="1">
      <alignment horizontal="justify" vertical="top" wrapText="1"/>
    </xf>
    <xf numFmtId="3" fontId="116" fillId="3" borderId="3" xfId="1" applyNumberFormat="1" applyFont="1" applyFill="1" applyBorder="1"/>
    <xf numFmtId="3" fontId="116" fillId="3" borderId="13" xfId="1" applyNumberFormat="1" applyFont="1" applyFill="1" applyBorder="1"/>
    <xf numFmtId="0" fontId="103" fillId="3" borderId="98" xfId="0" applyFont="1" applyFill="1" applyBorder="1"/>
    <xf numFmtId="0" fontId="0" fillId="3" borderId="98" xfId="0" applyFill="1" applyBorder="1"/>
    <xf numFmtId="0" fontId="100" fillId="3" borderId="98" xfId="0" applyFont="1" applyFill="1" applyBorder="1"/>
    <xf numFmtId="0" fontId="122" fillId="0" borderId="0" xfId="11" applyFont="1" applyFill="1" applyAlignment="1" applyProtection="1"/>
    <xf numFmtId="3" fontId="120" fillId="0" borderId="42" xfId="0" applyNumberFormat="1" applyFont="1" applyBorder="1" applyAlignment="1">
      <alignment horizontal="center" vertical="center" wrapText="1"/>
    </xf>
    <xf numFmtId="180" fontId="123" fillId="0" borderId="22" xfId="2" applyNumberFormat="1" applyFont="1" applyBorder="1" applyAlignment="1">
      <alignment horizontal="center" vertical="center" wrapText="1"/>
    </xf>
    <xf numFmtId="180" fontId="123" fillId="0" borderId="44" xfId="2" applyNumberFormat="1" applyFont="1" applyBorder="1" applyAlignment="1">
      <alignment horizontal="center" vertical="center" wrapText="1"/>
    </xf>
    <xf numFmtId="0" fontId="124" fillId="0" borderId="0" xfId="11" applyFont="1" applyFill="1" applyAlignment="1" applyProtection="1"/>
    <xf numFmtId="4" fontId="125" fillId="4" borderId="37" xfId="1" applyNumberFormat="1" applyFont="1" applyFill="1" applyBorder="1" applyAlignment="1">
      <alignment vertical="center"/>
    </xf>
    <xf numFmtId="4" fontId="125" fillId="4" borderId="25" xfId="1" applyNumberFormat="1" applyFont="1" applyFill="1" applyBorder="1" applyAlignment="1">
      <alignment vertical="center"/>
    </xf>
    <xf numFmtId="4" fontId="125" fillId="4" borderId="26" xfId="1" applyNumberFormat="1" applyFont="1" applyFill="1" applyBorder="1" applyAlignment="1">
      <alignment vertical="center"/>
    </xf>
    <xf numFmtId="0" fontId="121" fillId="0" borderId="0" xfId="0" applyFont="1" applyAlignment="1">
      <alignment vertical="center"/>
    </xf>
    <xf numFmtId="4" fontId="9" fillId="3" borderId="4" xfId="1" applyNumberFormat="1" applyFont="1" applyFill="1" applyBorder="1" applyAlignment="1">
      <alignment vertical="center"/>
    </xf>
    <xf numFmtId="4" fontId="9" fillId="3" borderId="9" xfId="1" applyNumberFormat="1" applyFont="1" applyFill="1" applyBorder="1" applyAlignment="1">
      <alignment vertical="center"/>
    </xf>
    <xf numFmtId="4" fontId="9" fillId="3" borderId="1" xfId="1" applyNumberFormat="1" applyFont="1" applyFill="1" applyBorder="1" applyAlignment="1">
      <alignment vertical="center"/>
    </xf>
    <xf numFmtId="4" fontId="9" fillId="3" borderId="11" xfId="1" applyNumberFormat="1" applyFont="1" applyFill="1" applyBorder="1" applyAlignment="1">
      <alignment vertical="center"/>
    </xf>
    <xf numFmtId="9" fontId="115" fillId="0" borderId="0" xfId="3" applyFont="1" applyAlignment="1">
      <alignment vertical="center"/>
    </xf>
    <xf numFmtId="10" fontId="115" fillId="0" borderId="0" xfId="3" applyNumberFormat="1" applyFont="1" applyAlignment="1">
      <alignment vertical="center"/>
    </xf>
    <xf numFmtId="0" fontId="11" fillId="3" borderId="12" xfId="0" applyFont="1" applyFill="1" applyBorder="1" applyAlignment="1">
      <alignment horizontal="justify" vertical="center" wrapText="1"/>
    </xf>
    <xf numFmtId="0" fontId="11" fillId="3" borderId="3" xfId="0" applyFont="1" applyFill="1" applyBorder="1" applyAlignment="1">
      <alignment horizontal="center" vertical="center" wrapText="1"/>
    </xf>
    <xf numFmtId="3" fontId="9" fillId="3" borderId="3" xfId="1" applyNumberFormat="1" applyFont="1" applyFill="1" applyBorder="1" applyAlignment="1">
      <alignment horizontal="center" vertical="center" wrapText="1"/>
    </xf>
    <xf numFmtId="4" fontId="9" fillId="3" borderId="3" xfId="1" applyNumberFormat="1" applyFont="1" applyFill="1" applyBorder="1" applyAlignment="1">
      <alignment vertical="center"/>
    </xf>
    <xf numFmtId="4" fontId="9" fillId="3" borderId="13" xfId="1" applyNumberFormat="1" applyFont="1" applyFill="1" applyBorder="1" applyAlignment="1">
      <alignment vertical="center"/>
    </xf>
    <xf numFmtId="0" fontId="11" fillId="3" borderId="24" xfId="0" applyFont="1" applyFill="1" applyBorder="1" applyAlignment="1">
      <alignment horizontal="justify" vertical="center" wrapText="1"/>
    </xf>
    <xf numFmtId="0" fontId="11" fillId="3" borderId="25" xfId="0" applyFont="1" applyFill="1" applyBorder="1" applyAlignment="1">
      <alignment horizontal="center" vertical="center" wrapText="1"/>
    </xf>
    <xf numFmtId="4" fontId="9" fillId="3" borderId="25" xfId="1" applyNumberFormat="1" applyFont="1" applyFill="1" applyBorder="1" applyAlignment="1">
      <alignment horizontal="center" vertical="center" wrapText="1"/>
    </xf>
    <xf numFmtId="4" fontId="9" fillId="3" borderId="25" xfId="1" applyNumberFormat="1" applyFont="1" applyFill="1" applyBorder="1" applyAlignment="1">
      <alignment vertical="center"/>
    </xf>
    <xf numFmtId="4" fontId="9" fillId="3" borderId="26" xfId="1" applyNumberFormat="1" applyFont="1" applyFill="1" applyBorder="1" applyAlignment="1">
      <alignment vertical="center"/>
    </xf>
    <xf numFmtId="3" fontId="126" fillId="3" borderId="0" xfId="1" applyNumberFormat="1" applyFont="1" applyFill="1" applyBorder="1" applyAlignment="1">
      <alignment vertical="center"/>
    </xf>
    <xf numFmtId="3" fontId="126" fillId="3" borderId="19" xfId="1" applyNumberFormat="1" applyFont="1" applyFill="1" applyBorder="1" applyAlignment="1">
      <alignment vertical="center"/>
    </xf>
    <xf numFmtId="0" fontId="123" fillId="3" borderId="27" xfId="0" applyFont="1" applyFill="1" applyBorder="1" applyAlignment="1">
      <alignment horizontal="left" vertical="center" wrapText="1"/>
    </xf>
    <xf numFmtId="165" fontId="9" fillId="3" borderId="16" xfId="1" applyNumberFormat="1" applyFont="1" applyFill="1" applyBorder="1" applyAlignment="1">
      <alignment vertical="center"/>
    </xf>
    <xf numFmtId="165" fontId="9" fillId="3" borderId="28" xfId="1" applyNumberFormat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9" fillId="3" borderId="11" xfId="1" applyNumberFormat="1" applyFont="1" applyFill="1" applyBorder="1" applyAlignment="1">
      <alignment vertical="center"/>
    </xf>
    <xf numFmtId="0" fontId="123" fillId="3" borderId="27" xfId="0" applyFont="1" applyFill="1" applyBorder="1" applyAlignment="1">
      <alignment horizontal="justify" vertical="center" wrapText="1"/>
    </xf>
    <xf numFmtId="165" fontId="9" fillId="3" borderId="16" xfId="1" applyNumberFormat="1" applyFont="1" applyFill="1" applyBorder="1"/>
    <xf numFmtId="165" fontId="9" fillId="3" borderId="28" xfId="1" applyNumberFormat="1" applyFont="1" applyFill="1" applyBorder="1"/>
    <xf numFmtId="165" fontId="9" fillId="3" borderId="1" xfId="1" applyNumberFormat="1" applyFont="1" applyFill="1" applyBorder="1"/>
    <xf numFmtId="165" fontId="9" fillId="3" borderId="11" xfId="1" applyNumberFormat="1" applyFont="1" applyFill="1" applyBorder="1"/>
    <xf numFmtId="0" fontId="11" fillId="3" borderId="8" xfId="0" applyFont="1" applyFill="1" applyBorder="1" applyAlignment="1">
      <alignment horizontal="justify" vertical="top" wrapText="1"/>
    </xf>
    <xf numFmtId="0" fontId="11" fillId="3" borderId="10" xfId="0" applyFont="1" applyFill="1" applyBorder="1" applyAlignment="1">
      <alignment horizontal="justify" vertical="top" wrapText="1"/>
    </xf>
    <xf numFmtId="0" fontId="11" fillId="3" borderId="12" xfId="0" applyFont="1" applyFill="1" applyBorder="1" applyAlignment="1">
      <alignment horizontal="justify" vertical="top" wrapText="1"/>
    </xf>
    <xf numFmtId="3" fontId="9" fillId="3" borderId="4" xfId="1" applyNumberFormat="1" applyFont="1" applyFill="1" applyBorder="1"/>
    <xf numFmtId="3" fontId="9" fillId="3" borderId="1" xfId="1" applyNumberFormat="1" applyFont="1" applyFill="1" applyBorder="1"/>
    <xf numFmtId="3" fontId="9" fillId="3" borderId="3" xfId="1" applyNumberFormat="1" applyFont="1" applyFill="1" applyBorder="1"/>
    <xf numFmtId="3" fontId="9" fillId="3" borderId="9" xfId="1" applyNumberFormat="1" applyFont="1" applyFill="1" applyBorder="1"/>
    <xf numFmtId="3" fontId="9" fillId="3" borderId="11" xfId="1" applyNumberFormat="1" applyFont="1" applyFill="1" applyBorder="1"/>
    <xf numFmtId="3" fontId="9" fillId="3" borderId="13" xfId="1" applyNumberFormat="1" applyFont="1" applyFill="1" applyBorder="1"/>
    <xf numFmtId="0" fontId="11" fillId="3" borderId="27" xfId="0" applyFont="1" applyFill="1" applyBorder="1" applyAlignment="1">
      <alignment horizontal="justify" vertical="top" wrapText="1"/>
    </xf>
    <xf numFmtId="3" fontId="9" fillId="3" borderId="16" xfId="1" applyNumberFormat="1" applyFont="1" applyFill="1" applyBorder="1"/>
    <xf numFmtId="3" fontId="9" fillId="3" borderId="28" xfId="1" applyNumberFormat="1" applyFont="1" applyFill="1" applyBorder="1"/>
    <xf numFmtId="3" fontId="9" fillId="3" borderId="8" xfId="1" applyNumberFormat="1" applyFont="1" applyFill="1" applyBorder="1"/>
    <xf numFmtId="3" fontId="9" fillId="3" borderId="10" xfId="1" applyNumberFormat="1" applyFont="1" applyFill="1" applyBorder="1"/>
    <xf numFmtId="3" fontId="79" fillId="3" borderId="10" xfId="1" applyNumberFormat="1" applyFont="1" applyFill="1" applyBorder="1"/>
    <xf numFmtId="3" fontId="79" fillId="3" borderId="1" xfId="1" applyNumberFormat="1" applyFont="1" applyFill="1" applyBorder="1"/>
    <xf numFmtId="3" fontId="79" fillId="3" borderId="11" xfId="1" applyNumberFormat="1" applyFont="1" applyFill="1" applyBorder="1"/>
    <xf numFmtId="3" fontId="79" fillId="3" borderId="29" xfId="1" applyNumberFormat="1" applyFont="1" applyFill="1" applyBorder="1"/>
    <xf numFmtId="43" fontId="11" fillId="0" borderId="12" xfId="0" applyNumberFormat="1" applyFont="1" applyBorder="1"/>
    <xf numFmtId="180" fontId="119" fillId="0" borderId="44" xfId="2" applyNumberFormat="1" applyFont="1" applyBorder="1" applyAlignment="1">
      <alignment horizontal="center" vertical="center" wrapText="1"/>
    </xf>
    <xf numFmtId="167" fontId="79" fillId="3" borderId="8" xfId="1" applyNumberFormat="1" applyFont="1" applyFill="1" applyBorder="1"/>
    <xf numFmtId="167" fontId="79" fillId="3" borderId="10" xfId="1" applyNumberFormat="1" applyFont="1" applyFill="1" applyBorder="1"/>
    <xf numFmtId="167" fontId="11" fillId="0" borderId="12" xfId="0" applyNumberFormat="1" applyFont="1" applyBorder="1"/>
    <xf numFmtId="43" fontId="120" fillId="0" borderId="49" xfId="2" applyFont="1" applyBorder="1" applyAlignment="1">
      <alignment horizontal="center" vertical="center" wrapText="1"/>
    </xf>
    <xf numFmtId="43" fontId="44" fillId="0" borderId="44" xfId="2" applyFont="1" applyBorder="1" applyAlignment="1">
      <alignment horizontal="center" vertical="center" wrapText="1"/>
    </xf>
    <xf numFmtId="4" fontId="120" fillId="0" borderId="43" xfId="0" applyNumberFormat="1" applyFont="1" applyBorder="1" applyAlignment="1">
      <alignment horizontal="right" vertical="center" wrapText="1"/>
    </xf>
    <xf numFmtId="43" fontId="11" fillId="0" borderId="3" xfId="0" applyNumberFormat="1" applyFont="1" applyBorder="1"/>
    <xf numFmtId="43" fontId="11" fillId="0" borderId="13" xfId="0" applyNumberFormat="1" applyFont="1" applyBorder="1"/>
    <xf numFmtId="180" fontId="11" fillId="0" borderId="3" xfId="0" applyNumberFormat="1" applyFont="1" applyBorder="1"/>
    <xf numFmtId="180" fontId="11" fillId="0" borderId="13" xfId="0" applyNumberFormat="1" applyFont="1" applyBorder="1"/>
    <xf numFmtId="3" fontId="79" fillId="3" borderId="8" xfId="1" applyNumberFormat="1" applyFont="1" applyFill="1" applyBorder="1"/>
    <xf numFmtId="3" fontId="54" fillId="0" borderId="48" xfId="0" applyNumberFormat="1" applyFont="1" applyBorder="1" applyAlignment="1">
      <alignment horizontal="center" vertical="center" wrapText="1"/>
    </xf>
    <xf numFmtId="4" fontId="115" fillId="3" borderId="1" xfId="0" applyNumberFormat="1" applyFont="1" applyFill="1" applyBorder="1" applyAlignment="1">
      <alignment vertical="center" wrapText="1"/>
    </xf>
    <xf numFmtId="3" fontId="9" fillId="3" borderId="1" xfId="2" applyNumberFormat="1" applyFont="1" applyFill="1" applyBorder="1" applyAlignment="1">
      <alignment vertical="center"/>
    </xf>
    <xf numFmtId="167" fontId="9" fillId="3" borderId="1" xfId="2" applyNumberFormat="1" applyFont="1" applyFill="1" applyBorder="1" applyAlignment="1">
      <alignment vertical="center"/>
    </xf>
    <xf numFmtId="3" fontId="11" fillId="3" borderId="1" xfId="2" applyNumberFormat="1" applyFont="1" applyFill="1" applyBorder="1" applyAlignment="1">
      <alignment vertical="center" wrapText="1"/>
    </xf>
    <xf numFmtId="167" fontId="11" fillId="3" borderId="1" xfId="2" applyNumberFormat="1" applyFont="1" applyFill="1" applyBorder="1" applyAlignment="1">
      <alignment vertical="center" wrapText="1"/>
    </xf>
    <xf numFmtId="4" fontId="11" fillId="3" borderId="1" xfId="0" applyNumberFormat="1" applyFont="1" applyFill="1" applyBorder="1" applyAlignment="1">
      <alignment vertical="center" wrapText="1"/>
    </xf>
    <xf numFmtId="4" fontId="44" fillId="3" borderId="1" xfId="0" applyNumberFormat="1" applyFont="1" applyFill="1" applyBorder="1" applyAlignment="1">
      <alignment vertical="center" wrapText="1"/>
    </xf>
    <xf numFmtId="4" fontId="120" fillId="3" borderId="11" xfId="0" applyNumberFormat="1" applyFont="1" applyFill="1" applyBorder="1" applyAlignment="1">
      <alignment vertical="center" wrapText="1"/>
    </xf>
    <xf numFmtId="4" fontId="123" fillId="3" borderId="3" xfId="0" applyNumberFormat="1" applyFont="1" applyFill="1" applyBorder="1" applyAlignment="1">
      <alignment vertical="center" wrapText="1"/>
    </xf>
    <xf numFmtId="4" fontId="119" fillId="3" borderId="13" xfId="0" applyNumberFormat="1" applyFont="1" applyFill="1" applyBorder="1" applyAlignment="1">
      <alignment vertical="center" wrapText="1"/>
    </xf>
    <xf numFmtId="4" fontId="70" fillId="4" borderId="32" xfId="2" applyNumberFormat="1" applyFont="1" applyFill="1" applyBorder="1"/>
    <xf numFmtId="4" fontId="70" fillId="4" borderId="33" xfId="1" applyNumberFormat="1" applyFont="1" applyFill="1" applyBorder="1"/>
    <xf numFmtId="4" fontId="85" fillId="3" borderId="1" xfId="2" applyNumberFormat="1" applyFont="1" applyFill="1" applyBorder="1" applyAlignment="1">
      <alignment vertical="center"/>
    </xf>
    <xf numFmtId="4" fontId="70" fillId="4" borderId="32" xfId="1" applyNumberFormat="1" applyFont="1" applyFill="1" applyBorder="1"/>
    <xf numFmtId="4" fontId="75" fillId="5" borderId="1" xfId="0" applyNumberFormat="1" applyFont="1" applyFill="1" applyBorder="1" applyAlignment="1">
      <alignment horizontal="right" vertical="center"/>
    </xf>
    <xf numFmtId="4" fontId="75" fillId="5" borderId="61" xfId="0" applyNumberFormat="1" applyFont="1" applyFill="1" applyBorder="1" applyAlignment="1">
      <alignment horizontal="right" vertical="center"/>
    </xf>
    <xf numFmtId="4" fontId="16" fillId="0" borderId="16" xfId="0" applyNumberFormat="1" applyFont="1" applyBorder="1" applyAlignment="1">
      <alignment horizontal="right" vertical="center"/>
    </xf>
    <xf numFmtId="4" fontId="16" fillId="0" borderId="64" xfId="0" applyNumberFormat="1" applyFont="1" applyBorder="1" applyAlignment="1">
      <alignment horizontal="right" vertical="center"/>
    </xf>
    <xf numFmtId="4" fontId="16" fillId="0" borderId="63" xfId="0" applyNumberFormat="1" applyFont="1" applyBorder="1" applyAlignment="1">
      <alignment horizontal="right" vertical="center"/>
    </xf>
    <xf numFmtId="4" fontId="16" fillId="0" borderId="61" xfId="0" applyNumberFormat="1" applyFont="1" applyBorder="1" applyAlignment="1">
      <alignment horizontal="right" vertical="center"/>
    </xf>
    <xf numFmtId="4" fontId="23" fillId="8" borderId="4" xfId="0" applyNumberFormat="1" applyFont="1" applyFill="1" applyBorder="1" applyAlignment="1">
      <alignment horizontal="right" vertical="center"/>
    </xf>
    <xf numFmtId="4" fontId="23" fillId="8" borderId="66" xfId="0" applyNumberFormat="1" applyFont="1" applyFill="1" applyBorder="1" applyAlignment="1">
      <alignment horizontal="right" vertical="center"/>
    </xf>
    <xf numFmtId="3" fontId="16" fillId="0" borderId="1" xfId="0" applyNumberFormat="1" applyFont="1" applyBorder="1"/>
    <xf numFmtId="4" fontId="16" fillId="0" borderId="1" xfId="0" applyNumberFormat="1" applyFont="1" applyBorder="1" applyAlignment="1">
      <alignment horizontal="right" vertical="center"/>
    </xf>
    <xf numFmtId="4" fontId="16" fillId="0" borderId="23" xfId="0" applyNumberFormat="1" applyFont="1" applyBorder="1" applyAlignment="1">
      <alignment horizontal="right" vertical="center"/>
    </xf>
    <xf numFmtId="3" fontId="16" fillId="0" borderId="16" xfId="0" applyNumberFormat="1" applyFont="1" applyBorder="1"/>
    <xf numFmtId="4" fontId="16" fillId="0" borderId="3" xfId="0" applyNumberFormat="1" applyFont="1" applyBorder="1" applyAlignment="1">
      <alignment horizontal="right" vertical="center"/>
    </xf>
    <xf numFmtId="4" fontId="16" fillId="0" borderId="68" xfId="0" applyNumberFormat="1" applyFont="1" applyBorder="1" applyAlignment="1">
      <alignment horizontal="right" vertical="center"/>
    </xf>
    <xf numFmtId="4" fontId="16" fillId="0" borderId="69" xfId="0" applyNumberFormat="1" applyFont="1" applyBorder="1" applyAlignment="1">
      <alignment horizontal="right" vertical="center"/>
    </xf>
    <xf numFmtId="4" fontId="75" fillId="5" borderId="15" xfId="0" applyNumberFormat="1" applyFont="1" applyFill="1" applyBorder="1" applyAlignment="1">
      <alignment horizontal="right" vertical="center"/>
    </xf>
    <xf numFmtId="4" fontId="75" fillId="5" borderId="71" xfId="0" applyNumberFormat="1" applyFont="1" applyFill="1" applyBorder="1" applyAlignment="1">
      <alignment horizontal="right" vertical="center"/>
    </xf>
    <xf numFmtId="4" fontId="75" fillId="5" borderId="32" xfId="0" applyNumberFormat="1" applyFont="1" applyFill="1" applyBorder="1" applyAlignment="1">
      <alignment horizontal="right" vertical="center"/>
    </xf>
    <xf numFmtId="4" fontId="75" fillId="5" borderId="33" xfId="0" applyNumberFormat="1" applyFont="1" applyFill="1" applyBorder="1" applyAlignment="1">
      <alignment horizontal="right" vertical="center"/>
    </xf>
    <xf numFmtId="4" fontId="75" fillId="5" borderId="2" xfId="0" applyNumberFormat="1" applyFont="1" applyFill="1" applyBorder="1" applyAlignment="1">
      <alignment horizontal="right" vertical="center"/>
    </xf>
    <xf numFmtId="4" fontId="129" fillId="0" borderId="16" xfId="0" applyNumberFormat="1" applyFont="1" applyBorder="1" applyAlignment="1">
      <alignment horizontal="right" vertical="center"/>
    </xf>
    <xf numFmtId="4" fontId="129" fillId="0" borderId="61" xfId="0" applyNumberFormat="1" applyFont="1" applyBorder="1" applyAlignment="1">
      <alignment horizontal="right" vertical="center"/>
    </xf>
    <xf numFmtId="3" fontId="128" fillId="0" borderId="1" xfId="0" applyNumberFormat="1" applyFont="1" applyBorder="1"/>
    <xf numFmtId="3" fontId="129" fillId="0" borderId="1" xfId="0" applyNumberFormat="1" applyFont="1" applyBorder="1"/>
    <xf numFmtId="4" fontId="129" fillId="0" borderId="1" xfId="0" applyNumberFormat="1" applyFont="1" applyBorder="1" applyAlignment="1">
      <alignment horizontal="right" vertical="center"/>
    </xf>
    <xf numFmtId="4" fontId="129" fillId="0" borderId="63" xfId="0" applyNumberFormat="1" applyFont="1" applyBorder="1" applyAlignment="1">
      <alignment horizontal="right" vertical="center"/>
    </xf>
    <xf numFmtId="4" fontId="75" fillId="0" borderId="0" xfId="0" applyNumberFormat="1" applyFont="1" applyBorder="1" applyAlignment="1">
      <alignment horizontal="right" vertical="center"/>
    </xf>
    <xf numFmtId="0" fontId="130" fillId="0" borderId="0" xfId="0" applyFont="1" applyBorder="1"/>
    <xf numFmtId="0" fontId="131" fillId="4" borderId="95" xfId="0" applyFont="1" applyFill="1" applyBorder="1" applyAlignment="1">
      <alignment horizontal="center" vertical="center"/>
    </xf>
    <xf numFmtId="0" fontId="61" fillId="4" borderId="40" xfId="0" applyFont="1" applyFill="1" applyBorder="1" applyAlignment="1">
      <alignment horizontal="center" vertical="center"/>
    </xf>
    <xf numFmtId="0" fontId="131" fillId="4" borderId="40" xfId="0" applyFont="1" applyFill="1" applyBorder="1" applyAlignment="1">
      <alignment horizontal="center" vertical="center"/>
    </xf>
    <xf numFmtId="0" fontId="131" fillId="4" borderId="56" xfId="0" applyFont="1" applyFill="1" applyBorder="1" applyAlignment="1">
      <alignment horizontal="center" vertical="center"/>
    </xf>
    <xf numFmtId="0" fontId="76" fillId="5" borderId="31" xfId="0" applyFont="1" applyFill="1" applyBorder="1" applyAlignment="1"/>
    <xf numFmtId="175" fontId="16" fillId="0" borderId="32" xfId="0" applyNumberFormat="1" applyFont="1" applyBorder="1" applyAlignment="1"/>
    <xf numFmtId="9" fontId="75" fillId="0" borderId="32" xfId="3" applyFont="1" applyFill="1" applyBorder="1" applyAlignment="1">
      <alignment horizontal="center" vertical="center"/>
    </xf>
    <xf numFmtId="0" fontId="75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75" fillId="5" borderId="6" xfId="0" applyFont="1" applyFill="1" applyBorder="1" applyAlignment="1">
      <alignment horizontal="center" vertical="center"/>
    </xf>
    <xf numFmtId="0" fontId="75" fillId="5" borderId="7" xfId="0" applyFont="1" applyFill="1" applyBorder="1" applyAlignment="1">
      <alignment horizontal="center" vertical="center"/>
    </xf>
    <xf numFmtId="0" fontId="74" fillId="0" borderId="3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 applyAlignment="1">
      <alignment horizontal="center" vertical="center" wrapText="1"/>
    </xf>
    <xf numFmtId="3" fontId="11" fillId="11" borderId="1" xfId="0" applyNumberFormat="1" applyFont="1" applyFill="1" applyBorder="1" applyAlignment="1">
      <alignment horizontal="center"/>
    </xf>
    <xf numFmtId="0" fontId="11" fillId="11" borderId="16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/>
    </xf>
    <xf numFmtId="0" fontId="11" fillId="11" borderId="1" xfId="0" applyFont="1" applyFill="1" applyBorder="1"/>
    <xf numFmtId="3" fontId="120" fillId="11" borderId="21" xfId="0" applyNumberFormat="1" applyFont="1" applyFill="1" applyBorder="1" applyAlignment="1">
      <alignment horizontal="center" vertical="center" wrapText="1"/>
    </xf>
    <xf numFmtId="165" fontId="120" fillId="11" borderId="21" xfId="2" applyNumberFormat="1" applyFont="1" applyFill="1" applyBorder="1" applyAlignment="1">
      <alignment horizontal="center" vertical="center" wrapText="1"/>
    </xf>
    <xf numFmtId="165" fontId="120" fillId="11" borderId="22" xfId="2" applyNumberFormat="1" applyFont="1" applyFill="1" applyBorder="1" applyAlignment="1">
      <alignment horizontal="center" vertical="center" wrapText="1"/>
    </xf>
    <xf numFmtId="165" fontId="120" fillId="11" borderId="44" xfId="2" applyNumberFormat="1" applyFont="1" applyFill="1" applyBorder="1" applyAlignment="1">
      <alignment horizontal="center" vertical="center" wrapText="1"/>
    </xf>
    <xf numFmtId="0" fontId="44" fillId="11" borderId="8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center" vertical="center" wrapText="1"/>
    </xf>
    <xf numFmtId="3" fontId="11" fillId="11" borderId="4" xfId="0" applyNumberFormat="1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left" vertical="center"/>
    </xf>
    <xf numFmtId="3" fontId="11" fillId="11" borderId="1" xfId="0" applyNumberFormat="1" applyFont="1" applyFill="1" applyBorder="1" applyAlignment="1">
      <alignment horizontal="center" vertical="center" wrapText="1"/>
    </xf>
    <xf numFmtId="3" fontId="9" fillId="11" borderId="1" xfId="1" applyNumberFormat="1" applyFont="1" applyFill="1" applyBorder="1" applyAlignment="1">
      <alignment horizontal="center" vertical="center" wrapText="1"/>
    </xf>
    <xf numFmtId="0" fontId="115" fillId="11" borderId="10" xfId="0" applyFont="1" applyFill="1" applyBorder="1" applyAlignment="1">
      <alignment horizontal="left" vertical="center"/>
    </xf>
    <xf numFmtId="0" fontId="115" fillId="11" borderId="1" xfId="0" applyFont="1" applyFill="1" applyBorder="1" applyAlignment="1">
      <alignment horizontal="center" vertical="center" wrapText="1"/>
    </xf>
    <xf numFmtId="3" fontId="115" fillId="11" borderId="1" xfId="0" applyNumberFormat="1" applyFont="1" applyFill="1" applyBorder="1" applyAlignment="1">
      <alignment horizontal="center" vertical="center" wrapText="1"/>
    </xf>
    <xf numFmtId="3" fontId="116" fillId="11" borderId="1" xfId="1" applyNumberFormat="1" applyFont="1" applyFill="1" applyBorder="1" applyAlignment="1">
      <alignment horizontal="center" vertical="center" wrapText="1"/>
    </xf>
    <xf numFmtId="174" fontId="115" fillId="11" borderId="1" xfId="0" applyNumberFormat="1" applyFont="1" applyFill="1" applyBorder="1" applyAlignment="1">
      <alignment horizontal="center" vertical="center"/>
    </xf>
    <xf numFmtId="3" fontId="115" fillId="11" borderId="14" xfId="0" applyNumberFormat="1" applyFont="1" applyFill="1" applyBorder="1" applyAlignment="1">
      <alignment horizontal="center" vertical="center" wrapText="1"/>
    </xf>
    <xf numFmtId="0" fontId="115" fillId="11" borderId="12" xfId="0" applyFont="1" applyFill="1" applyBorder="1" applyAlignment="1">
      <alignment horizontal="left" vertical="center"/>
    </xf>
    <xf numFmtId="0" fontId="115" fillId="11" borderId="3" xfId="0" applyFont="1" applyFill="1" applyBorder="1" applyAlignment="1">
      <alignment horizontal="center" vertical="center" wrapText="1"/>
    </xf>
    <xf numFmtId="3" fontId="115" fillId="11" borderId="3" xfId="0" applyNumberFormat="1" applyFont="1" applyFill="1" applyBorder="1" applyAlignment="1">
      <alignment horizontal="center" vertical="center" wrapText="1"/>
    </xf>
    <xf numFmtId="3" fontId="116" fillId="11" borderId="3" xfId="1" applyNumberFormat="1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justify" vertical="center" wrapText="1"/>
    </xf>
    <xf numFmtId="1" fontId="132" fillId="12" borderId="0" xfId="0" applyNumberFormat="1" applyFont="1" applyFill="1"/>
    <xf numFmtId="0" fontId="11" fillId="12" borderId="0" xfId="0" applyFont="1" applyFill="1"/>
    <xf numFmtId="9" fontId="52" fillId="11" borderId="0" xfId="3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9" fontId="56" fillId="11" borderId="6" xfId="0" applyNumberFormat="1" applyFont="1" applyFill="1" applyBorder="1" applyAlignment="1">
      <alignment horizontal="center" vertical="center"/>
    </xf>
    <xf numFmtId="9" fontId="56" fillId="11" borderId="36" xfId="0" applyNumberFormat="1" applyFont="1" applyFill="1" applyBorder="1" applyAlignment="1">
      <alignment horizontal="center" vertical="center"/>
    </xf>
    <xf numFmtId="43" fontId="9" fillId="11" borderId="4" xfId="2" applyFont="1" applyFill="1" applyBorder="1" applyAlignment="1">
      <alignment horizontal="center" vertical="center" wrapText="1"/>
    </xf>
    <xf numFmtId="43" fontId="9" fillId="11" borderId="1" xfId="2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63" fillId="4" borderId="35" xfId="0" applyFont="1" applyFill="1" applyBorder="1" applyAlignment="1">
      <alignment horizontal="center" vertical="center" wrapText="1"/>
    </xf>
    <xf numFmtId="0" fontId="63" fillId="4" borderId="39" xfId="0" applyFont="1" applyFill="1" applyBorder="1" applyAlignment="1">
      <alignment horizontal="center" vertical="center" wrapText="1"/>
    </xf>
    <xf numFmtId="179" fontId="63" fillId="4" borderId="36" xfId="0" applyNumberFormat="1" applyFont="1" applyFill="1" applyBorder="1" applyAlignment="1">
      <alignment horizontal="center" vertical="center" wrapText="1"/>
    </xf>
    <xf numFmtId="179" fontId="63" fillId="4" borderId="3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8" fillId="4" borderId="75" xfId="0" applyFont="1" applyFill="1" applyBorder="1" applyAlignment="1">
      <alignment horizontal="center"/>
    </xf>
    <xf numFmtId="0" fontId="68" fillId="4" borderId="76" xfId="0" applyFont="1" applyFill="1" applyBorder="1" applyAlignment="1">
      <alignment horizontal="center"/>
    </xf>
    <xf numFmtId="4" fontId="127" fillId="3" borderId="26" xfId="1" applyNumberFormat="1" applyFont="1" applyFill="1" applyBorder="1" applyAlignment="1">
      <alignment horizontal="center" vertical="center"/>
    </xf>
    <xf numFmtId="4" fontId="127" fillId="3" borderId="28" xfId="1" applyNumberFormat="1" applyFont="1" applyFill="1" applyBorder="1" applyAlignment="1">
      <alignment horizontal="center" vertical="center"/>
    </xf>
    <xf numFmtId="0" fontId="72" fillId="4" borderId="17" xfId="0" applyFont="1" applyFill="1" applyBorder="1" applyAlignment="1">
      <alignment horizontal="center" vertical="center" wrapText="1"/>
    </xf>
    <xf numFmtId="0" fontId="72" fillId="4" borderId="18" xfId="0" applyFont="1" applyFill="1" applyBorder="1" applyAlignment="1">
      <alignment horizontal="center" vertical="center" wrapText="1"/>
    </xf>
    <xf numFmtId="179" fontId="63" fillId="4" borderId="50" xfId="0" applyNumberFormat="1" applyFont="1" applyFill="1" applyBorder="1" applyAlignment="1">
      <alignment horizontal="center" vertical="center" wrapText="1"/>
    </xf>
    <xf numFmtId="179" fontId="63" fillId="4" borderId="42" xfId="0" applyNumberFormat="1" applyFont="1" applyFill="1" applyBorder="1" applyAlignment="1">
      <alignment horizontal="center" vertical="center" wrapText="1"/>
    </xf>
    <xf numFmtId="179" fontId="63" fillId="4" borderId="43" xfId="0" applyNumberFormat="1" applyFont="1" applyFill="1" applyBorder="1" applyAlignment="1">
      <alignment horizontal="center" vertical="center" wrapText="1"/>
    </xf>
    <xf numFmtId="3" fontId="24" fillId="0" borderId="5" xfId="0" applyNumberFormat="1" applyFont="1" applyBorder="1" applyAlignment="1">
      <alignment horizontal="center"/>
    </xf>
    <xf numFmtId="3" fontId="24" fillId="0" borderId="6" xfId="0" applyNumberFormat="1" applyFont="1" applyBorder="1" applyAlignment="1">
      <alignment horizontal="center"/>
    </xf>
    <xf numFmtId="3" fontId="24" fillId="0" borderId="7" xfId="0" applyNumberFormat="1" applyFont="1" applyBorder="1" applyAlignment="1">
      <alignment horizontal="center"/>
    </xf>
    <xf numFmtId="43" fontId="85" fillId="0" borderId="90" xfId="2" applyFont="1" applyBorder="1" applyAlignment="1">
      <alignment horizontal="center"/>
    </xf>
    <xf numFmtId="43" fontId="85" fillId="0" borderId="91" xfId="2" applyFont="1" applyBorder="1" applyAlignment="1">
      <alignment horizontal="center"/>
    </xf>
    <xf numFmtId="43" fontId="85" fillId="0" borderId="92" xfId="2" applyFont="1" applyBorder="1" applyAlignment="1">
      <alignment horizontal="center"/>
    </xf>
    <xf numFmtId="0" fontId="10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75" fillId="0" borderId="31" xfId="3" applyFont="1" applyFill="1" applyBorder="1" applyAlignment="1">
      <alignment horizontal="center" vertical="center"/>
    </xf>
    <xf numFmtId="9" fontId="75" fillId="0" borderId="32" xfId="3" applyFont="1" applyFill="1" applyBorder="1" applyAlignment="1">
      <alignment horizontal="center" vertical="center"/>
    </xf>
    <xf numFmtId="9" fontId="75" fillId="0" borderId="33" xfId="3" applyFont="1" applyFill="1" applyBorder="1" applyAlignment="1">
      <alignment horizontal="center" vertical="center"/>
    </xf>
    <xf numFmtId="0" fontId="131" fillId="4" borderId="96" xfId="0" applyFont="1" applyFill="1" applyBorder="1" applyAlignment="1">
      <alignment horizontal="center" vertical="center" wrapText="1"/>
    </xf>
    <xf numFmtId="0" fontId="131" fillId="4" borderId="97" xfId="0" applyFont="1" applyFill="1" applyBorder="1" applyAlignment="1">
      <alignment horizontal="center" vertical="center" wrapText="1"/>
    </xf>
    <xf numFmtId="0" fontId="131" fillId="4" borderId="34" xfId="0" applyFont="1" applyFill="1" applyBorder="1" applyAlignment="1">
      <alignment horizontal="center" vertical="center"/>
    </xf>
    <xf numFmtId="0" fontId="131" fillId="4" borderId="32" xfId="0" applyFont="1" applyFill="1" applyBorder="1" applyAlignment="1">
      <alignment horizontal="center" vertical="center"/>
    </xf>
    <xf numFmtId="0" fontId="131" fillId="4" borderId="33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/>
    </xf>
    <xf numFmtId="172" fontId="25" fillId="2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>
      <alignment horizontal="right" vertical="center"/>
    </xf>
    <xf numFmtId="0" fontId="23" fillId="0" borderId="6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10" fontId="23" fillId="0" borderId="61" xfId="3" applyNumberFormat="1" applyFont="1" applyBorder="1" applyAlignment="1">
      <alignment horizontal="center" vertical="center"/>
    </xf>
    <xf numFmtId="10" fontId="23" fillId="0" borderId="74" xfId="3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68" fontId="70" fillId="4" borderId="24" xfId="4" applyNumberFormat="1" applyFont="1" applyFill="1" applyBorder="1" applyAlignment="1">
      <alignment horizontal="center" vertical="center" wrapText="1"/>
    </xf>
    <xf numFmtId="168" fontId="70" fillId="4" borderId="93" xfId="4" applyNumberFormat="1" applyFont="1" applyFill="1" applyBorder="1" applyAlignment="1">
      <alignment horizontal="center" vertical="center" wrapText="1"/>
    </xf>
    <xf numFmtId="4" fontId="70" fillId="4" borderId="25" xfId="4" applyNumberFormat="1" applyFont="1" applyFill="1" applyBorder="1" applyAlignment="1">
      <alignment horizontal="center" vertical="center" wrapText="1"/>
    </xf>
    <xf numFmtId="4" fontId="70" fillId="4" borderId="14" xfId="4" applyNumberFormat="1" applyFont="1" applyFill="1" applyBorder="1" applyAlignment="1">
      <alignment horizontal="center" vertical="center" wrapText="1"/>
    </xf>
    <xf numFmtId="4" fontId="70" fillId="4" borderId="77" xfId="4" applyNumberFormat="1" applyFont="1" applyFill="1" applyBorder="1" applyAlignment="1">
      <alignment horizontal="center" vertical="center" wrapText="1"/>
    </xf>
    <xf numFmtId="4" fontId="70" fillId="4" borderId="78" xfId="4" applyNumberFormat="1" applyFont="1" applyFill="1" applyBorder="1" applyAlignment="1">
      <alignment horizontal="center" vertical="center" wrapText="1"/>
    </xf>
    <xf numFmtId="3" fontId="23" fillId="0" borderId="65" xfId="0" applyNumberFormat="1" applyFont="1" applyBorder="1" applyAlignment="1">
      <alignment horizontal="center" vertical="center" wrapText="1"/>
    </xf>
    <xf numFmtId="3" fontId="23" fillId="0" borderId="4" xfId="0" applyNumberFormat="1" applyFont="1" applyBorder="1" applyAlignment="1">
      <alignment horizontal="center" vertical="center" wrapText="1"/>
    </xf>
    <xf numFmtId="10" fontId="23" fillId="0" borderId="4" xfId="0" applyNumberFormat="1" applyFont="1" applyBorder="1" applyAlignment="1">
      <alignment horizontal="center" vertical="center"/>
    </xf>
    <xf numFmtId="10" fontId="23" fillId="0" borderId="66" xfId="0" applyNumberFormat="1" applyFont="1" applyBorder="1" applyAlignment="1">
      <alignment horizontal="center" vertical="center"/>
    </xf>
    <xf numFmtId="0" fontId="73" fillId="4" borderId="8" xfId="0" applyFont="1" applyFill="1" applyBorder="1" applyAlignment="1">
      <alignment horizontal="center" vertical="center"/>
    </xf>
    <xf numFmtId="0" fontId="73" fillId="4" borderId="4" xfId="0" applyFont="1" applyFill="1" applyBorder="1" applyAlignment="1">
      <alignment horizontal="center" vertical="center"/>
    </xf>
    <xf numFmtId="0" fontId="73" fillId="4" borderId="9" xfId="0" applyFont="1" applyFill="1" applyBorder="1" applyAlignment="1">
      <alignment horizontal="center" vertical="center"/>
    </xf>
    <xf numFmtId="0" fontId="23" fillId="0" borderId="79" xfId="0" applyFont="1" applyBorder="1" applyAlignment="1">
      <alignment horizontal="center" vertical="center" shrinkToFit="1"/>
    </xf>
    <xf numFmtId="0" fontId="23" fillId="0" borderId="80" xfId="0" applyFont="1" applyBorder="1" applyAlignment="1">
      <alignment horizontal="center" vertical="center" shrinkToFit="1"/>
    </xf>
    <xf numFmtId="0" fontId="23" fillId="0" borderId="81" xfId="0" applyFont="1" applyBorder="1" applyAlignment="1">
      <alignment horizontal="center" vertical="center" shrinkToFit="1"/>
    </xf>
    <xf numFmtId="0" fontId="38" fillId="0" borderId="10" xfId="0" applyFont="1" applyBorder="1" applyAlignment="1">
      <alignment horizontal="right" vertical="center"/>
    </xf>
    <xf numFmtId="0" fontId="38" fillId="0" borderId="1" xfId="0" applyFont="1" applyBorder="1" applyAlignment="1">
      <alignment horizontal="right" vertical="center"/>
    </xf>
    <xf numFmtId="0" fontId="38" fillId="0" borderId="12" xfId="0" applyFont="1" applyBorder="1" applyAlignment="1">
      <alignment horizontal="right" vertical="center"/>
    </xf>
    <xf numFmtId="0" fontId="38" fillId="0" borderId="3" xfId="0" applyFont="1" applyBorder="1" applyAlignment="1">
      <alignment horizontal="right" vertical="center"/>
    </xf>
    <xf numFmtId="4" fontId="70" fillId="4" borderId="4" xfId="4" applyNumberFormat="1" applyFont="1" applyFill="1" applyBorder="1" applyAlignment="1">
      <alignment horizontal="center" vertical="center" wrapText="1"/>
    </xf>
    <xf numFmtId="168" fontId="70" fillId="4" borderId="9" xfId="4" applyNumberFormat="1" applyFont="1" applyFill="1" applyBorder="1" applyAlignment="1">
      <alignment horizontal="center" vertical="center" wrapText="1"/>
    </xf>
    <xf numFmtId="168" fontId="70" fillId="4" borderId="30" xfId="4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</cellXfs>
  <cellStyles count="12">
    <cellStyle name="Hipervínculo" xfId="11" builtinId="8"/>
    <cellStyle name="Millares" xfId="2" builtinId="3"/>
    <cellStyle name="Millares [0]" xfId="6" builtinId="6"/>
    <cellStyle name="Millares_EVALUACION_APICOLA_FINAL_formato  Max_corregida 2" xfId="7"/>
    <cellStyle name="Moneda" xfId="1" builtinId="4"/>
    <cellStyle name="Moneda_EVALUACION_APICOLA_FINAL_formato  Max_corregida 2" xfId="8"/>
    <cellStyle name="Normal" xfId="0" builtinId="0"/>
    <cellStyle name="Normal 2" xfId="4"/>
    <cellStyle name="Normal 3 2" xfId="9"/>
    <cellStyle name="Normal 4" xfId="10"/>
    <cellStyle name="Porcentaje" xfId="3" builtinId="5"/>
    <cellStyle name="Porcentual 2" xfId="5"/>
  </cellStyles>
  <dxfs count="1">
    <dxf>
      <font>
        <b/>
        <i val="0"/>
        <strike val="0"/>
        <condense val="0"/>
        <extend val="0"/>
        <color auto="1"/>
      </font>
      <fill>
        <patternFill>
          <bgColor indexed="2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Pto. Equilibrio</a:t>
            </a:r>
          </a:p>
        </c:rich>
      </c:tx>
      <c:layout>
        <c:manualLayout>
          <c:xMode val="edge"/>
          <c:yMode val="edge"/>
          <c:x val="0.42624775181790797"/>
          <c:y val="6.7001675041876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512254997976006"/>
          <c:y val="0.10864535989954648"/>
          <c:w val="0.87282439203699091"/>
          <c:h val="0.86625399658375446"/>
        </c:manualLayout>
      </c:layout>
      <c:lineChart>
        <c:grouping val="standard"/>
        <c:varyColors val="0"/>
        <c:ser>
          <c:idx val="5"/>
          <c:order val="0"/>
          <c:tx>
            <c:strRef>
              <c:f>'Punto equilibrio'!$F$23</c:f>
              <c:strCache>
                <c:ptCount val="1"/>
                <c:pt idx="0">
                  <c:v>Utilidad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2225">
                <a:solidFill>
                  <a:srgbClr val="99CC00">
                    <a:alpha val="62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4571948998178479E-2"/>
                  <c:y val="5.6951423785594625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8.7431693989071038E-3"/>
                  <c:y val="4.020100502512562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3.6832242984552337E-2"/>
                  <c:y val="7.035175879396984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2.2254743665948391E-2"/>
                  <c:y val="-2.1221840516184025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equilibrio'!$G$23:$J$23</c:f>
              <c:numCache>
                <c:formatCode>#,##0</c:formatCode>
                <c:ptCount val="4"/>
                <c:pt idx="0">
                  <c:v>-531078.3600000001</c:v>
                </c:pt>
                <c:pt idx="1">
                  <c:v>-265539.17999999993</c:v>
                </c:pt>
                <c:pt idx="2">
                  <c:v>0</c:v>
                </c:pt>
                <c:pt idx="3">
                  <c:v>132769.59000000032</c:v>
                </c:pt>
              </c:numCache>
            </c:numRef>
          </c:val>
          <c:smooth val="1"/>
        </c:ser>
        <c:ser>
          <c:idx val="4"/>
          <c:order val="1"/>
          <c:tx>
            <c:strRef>
              <c:f>'Punto equilibrio'!$F$22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'Punto equilibrio'!$G$22:$J$22</c:f>
              <c:numCache>
                <c:formatCode>#,##0</c:formatCode>
                <c:ptCount val="4"/>
                <c:pt idx="0">
                  <c:v>531078.3600000001</c:v>
                </c:pt>
                <c:pt idx="1">
                  <c:v>1232025.9098835923</c:v>
                </c:pt>
                <c:pt idx="2">
                  <c:v>1932973.4597671845</c:v>
                </c:pt>
                <c:pt idx="3">
                  <c:v>2283447.2347089807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'Punto equilibrio'!$F$18</c:f>
              <c:strCache>
                <c:ptCount val="1"/>
                <c:pt idx="0">
                  <c:v>Unidades Ventas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3916211293260505E-2"/>
                  <c:y val="1.0050251256281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00728597449867E-2"/>
                  <c:y val="-5.025125628140701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1.3682380143381781E-2"/>
                  <c:y val="-9.0452324217853527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1.0249278541674824E-2"/>
                  <c:y val="-0.10050251256281409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4F81BD">
                      <a:tint val="50000"/>
                      <a:satMod val="300000"/>
                    </a:srgbClr>
                  </a:gs>
                  <a:gs pos="35000">
                    <a:srgbClr val="4F81BD">
                      <a:tint val="37000"/>
                      <a:satMod val="300000"/>
                    </a:srgbClr>
                  </a:gs>
                  <a:gs pos="100000">
                    <a:srgbClr val="4F81BD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4F81BD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equilibrio'!$G$18:$J$18</c:f>
              <c:numCache>
                <c:formatCode>#,##0</c:formatCode>
                <c:ptCount val="4"/>
                <c:pt idx="0">
                  <c:v>0</c:v>
                </c:pt>
                <c:pt idx="1">
                  <c:v>3451.7383210128296</c:v>
                </c:pt>
                <c:pt idx="2">
                  <c:v>6903.4766420256592</c:v>
                </c:pt>
                <c:pt idx="3">
                  <c:v>8629.3458025320742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'Punto equilibrio'!$F$19</c:f>
              <c:strCache>
                <c:ptCount val="1"/>
                <c:pt idx="0">
                  <c:v>$ Ventas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'Punto equilibrio'!$G$19:$J$19</c:f>
              <c:numCache>
                <c:formatCode>#,##0</c:formatCode>
                <c:ptCount val="4"/>
                <c:pt idx="0">
                  <c:v>0</c:v>
                </c:pt>
                <c:pt idx="1">
                  <c:v>966486.72988359234</c:v>
                </c:pt>
                <c:pt idx="2">
                  <c:v>1932973.4597671847</c:v>
                </c:pt>
                <c:pt idx="3">
                  <c:v>2416216.824708981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263441288"/>
        <c:axId val="263439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'Punto equilibrio'!$F$20</c15:sqref>
                        </c15:formulaRef>
                      </c:ext>
                    </c:extLst>
                    <c:strCache>
                      <c:ptCount val="1"/>
                      <c:pt idx="0">
                        <c:v>Costo Variable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'Punto equilibrio'!$G$20:$J$20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0</c:v>
                      </c:pt>
                      <c:pt idx="1">
                        <c:v>700947.54988359218</c:v>
                      </c:pt>
                      <c:pt idx="2">
                        <c:v>1401895.0997671844</c:v>
                      </c:pt>
                      <c:pt idx="3">
                        <c:v>1752368.8747089806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'Punto equilibrio'!$F$21</c15:sqref>
                        </c15:formulaRef>
                      </c:ext>
                    </c:extLst>
                    <c:strCache>
                      <c:ptCount val="1"/>
                      <c:pt idx="0">
                        <c:v>Costo Fijo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'Punto equilibrio'!$G$21:$J$21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531078.3600000001</c:v>
                      </c:pt>
                      <c:pt idx="1">
                        <c:v>531078.3600000001</c:v>
                      </c:pt>
                      <c:pt idx="2">
                        <c:v>531078.3600000001</c:v>
                      </c:pt>
                      <c:pt idx="3">
                        <c:v>531078.3600000001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263441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63439328"/>
        <c:crosses val="autoZero"/>
        <c:auto val="1"/>
        <c:lblAlgn val="ctr"/>
        <c:lblOffset val="100"/>
        <c:noMultiLvlLbl val="0"/>
      </c:catAx>
      <c:valAx>
        <c:axId val="2634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/>
                  <a:t>Ventas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441288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793538082788"/>
          <c:y val="9.9556749018384003E-2"/>
          <c:w val="0.86131961813301416"/>
          <c:h val="6.46421081786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 alignWithMargins="0"/>
    <c:pageMargins b="1" l="0.75000000000000033" r="0.75000000000000033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Pto. Equilibrio</a:t>
            </a:r>
          </a:p>
        </c:rich>
      </c:tx>
      <c:layout>
        <c:manualLayout>
          <c:xMode val="edge"/>
          <c:yMode val="edge"/>
          <c:x val="0.42624775181790797"/>
          <c:y val="6.7001675041876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512254997976006"/>
          <c:y val="0.10864535989954648"/>
          <c:w val="0.87282439203699091"/>
          <c:h val="0.86625399658375446"/>
        </c:manualLayout>
      </c:layout>
      <c:lineChart>
        <c:grouping val="standard"/>
        <c:varyColors val="0"/>
        <c:ser>
          <c:idx val="0"/>
          <c:order val="0"/>
          <c:tx>
            <c:strRef>
              <c:f>'Punto equilibrio'!$F$58</c:f>
              <c:strCache>
                <c:ptCount val="1"/>
                <c:pt idx="0">
                  <c:v>Unidades Ventas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3916211293260505E-2"/>
                  <c:y val="1.0050251256281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00728597449867E-2"/>
                  <c:y val="-5.025125628140701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1.3682380143381781E-2"/>
                  <c:y val="-9.0452324217853527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1.0249278541674824E-2"/>
                  <c:y val="-0.10050251256281409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4F81BD">
                      <a:tint val="50000"/>
                      <a:satMod val="300000"/>
                    </a:srgbClr>
                  </a:gs>
                  <a:gs pos="35000">
                    <a:srgbClr val="4F81BD">
                      <a:tint val="37000"/>
                      <a:satMod val="300000"/>
                    </a:srgbClr>
                  </a:gs>
                  <a:gs pos="100000">
                    <a:srgbClr val="4F81BD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4F81BD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equilibrio'!$G$58:$J$58</c:f>
              <c:numCache>
                <c:formatCode>#,##0</c:formatCode>
                <c:ptCount val="4"/>
                <c:pt idx="0">
                  <c:v>0</c:v>
                </c:pt>
                <c:pt idx="1">
                  <c:v>1150.5794403376099</c:v>
                </c:pt>
                <c:pt idx="2">
                  <c:v>2301.1588806752197</c:v>
                </c:pt>
                <c:pt idx="3">
                  <c:v>2876.4486008440244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'Punto equilibrio'!$F$59</c:f>
              <c:strCache>
                <c:ptCount val="1"/>
                <c:pt idx="0">
                  <c:v>$ Ventas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'Punto equilibrio'!$G$59:$J$59</c:f>
              <c:numCache>
                <c:formatCode>#,##0</c:formatCode>
                <c:ptCount val="4"/>
                <c:pt idx="0">
                  <c:v>0</c:v>
                </c:pt>
                <c:pt idx="1">
                  <c:v>322162.24329453078</c:v>
                </c:pt>
                <c:pt idx="2">
                  <c:v>644324.48658906156</c:v>
                </c:pt>
                <c:pt idx="3">
                  <c:v>805405.60823632684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'Punto equilibrio'!$F$62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'Punto equilibrio'!$G$62:$J$62</c:f>
              <c:numCache>
                <c:formatCode>#,##0</c:formatCode>
                <c:ptCount val="4"/>
                <c:pt idx="0">
                  <c:v>531078.3600000001</c:v>
                </c:pt>
                <c:pt idx="1">
                  <c:v>410675.30329453078</c:v>
                </c:pt>
                <c:pt idx="2">
                  <c:v>644324.48658906156</c:v>
                </c:pt>
                <c:pt idx="3">
                  <c:v>761149.07823632681</c:v>
                </c:pt>
              </c:numCache>
            </c:numRef>
          </c:val>
          <c:smooth val="1"/>
        </c:ser>
        <c:ser>
          <c:idx val="5"/>
          <c:order val="3"/>
          <c:tx>
            <c:strRef>
              <c:f>'Punto equilibrio'!$F$63</c:f>
              <c:strCache>
                <c:ptCount val="1"/>
                <c:pt idx="0">
                  <c:v>Utilidad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2225">
                <a:solidFill>
                  <a:srgbClr val="99CC00">
                    <a:alpha val="62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4571948998178479E-2"/>
                  <c:y val="5.6951423785594625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8.7431693989071038E-3"/>
                  <c:y val="4.020100502512562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3.6832242984552337E-2"/>
                  <c:y val="7.035175879396984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2.2254743665948391E-2"/>
                  <c:y val="-2.1221840516184025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equilibrio'!$G$63:$J$63</c:f>
              <c:numCache>
                <c:formatCode>#,##0</c:formatCode>
                <c:ptCount val="4"/>
                <c:pt idx="0">
                  <c:v>-531078.3600000001</c:v>
                </c:pt>
                <c:pt idx="1">
                  <c:v>-88513.06</c:v>
                </c:pt>
                <c:pt idx="2">
                  <c:v>0</c:v>
                </c:pt>
                <c:pt idx="3">
                  <c:v>44256.530000000028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263441680"/>
        <c:axId val="263439720"/>
        <c:extLst/>
      </c:lineChart>
      <c:catAx>
        <c:axId val="26344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63439720"/>
        <c:crosses val="autoZero"/>
        <c:auto val="1"/>
        <c:lblAlgn val="ctr"/>
        <c:lblOffset val="100"/>
        <c:noMultiLvlLbl val="0"/>
      </c:catAx>
      <c:valAx>
        <c:axId val="2634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/>
                  <a:t>Ventas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441680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793538082788"/>
          <c:y val="9.9556749018384003E-2"/>
          <c:w val="0.86131961813301416"/>
          <c:h val="6.46421081786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 alignWithMargins="0"/>
    <c:pageMargins b="1" l="0.75000000000000033" r="0.75000000000000033" t="1" header="0" footer="0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Pto. Equilibrio</a:t>
            </a:r>
          </a:p>
        </c:rich>
      </c:tx>
      <c:layout>
        <c:manualLayout>
          <c:xMode val="edge"/>
          <c:yMode val="edge"/>
          <c:x val="0.42624775181790797"/>
          <c:y val="6.7001675041876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512254997976006"/>
          <c:y val="0.10864535989954648"/>
          <c:w val="0.87282439203699091"/>
          <c:h val="0.86625399658375446"/>
        </c:manualLayout>
      </c:layout>
      <c:lineChart>
        <c:grouping val="standard"/>
        <c:varyColors val="0"/>
        <c:ser>
          <c:idx val="0"/>
          <c:order val="0"/>
          <c:tx>
            <c:strRef>
              <c:f>'Punto equilibrio'!$F$100</c:f>
              <c:strCache>
                <c:ptCount val="1"/>
                <c:pt idx="0">
                  <c:v>Unidades Ventas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3916211293260505E-2"/>
                  <c:y val="1.0050251256281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00728597449867E-2"/>
                  <c:y val="-5.025125628140701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1.3682380143381781E-2"/>
                  <c:y val="-9.0452324217853527E-2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5.6361272012243578E-3"/>
                  <c:y val="-0.12839650591451557"/>
                </c:manualLayout>
              </c:layout>
              <c:spPr>
                <a:gradFill rotWithShape="1">
                  <a:gsLst>
                    <a:gs pos="0">
                      <a:srgbClr val="4F81BD">
                        <a:tint val="50000"/>
                        <a:satMod val="300000"/>
                      </a:srgbClr>
                    </a:gs>
                    <a:gs pos="35000">
                      <a:srgbClr val="4F81BD">
                        <a:tint val="37000"/>
                        <a:satMod val="300000"/>
                      </a:srgbClr>
                    </a:gs>
                    <a:gs pos="100000">
                      <a:srgbClr val="4F81BD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4F81BD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4F81BD">
                      <a:tint val="50000"/>
                      <a:satMod val="300000"/>
                    </a:srgbClr>
                  </a:gs>
                  <a:gs pos="35000">
                    <a:srgbClr val="4F81BD">
                      <a:tint val="37000"/>
                      <a:satMod val="300000"/>
                    </a:srgbClr>
                  </a:gs>
                  <a:gs pos="100000">
                    <a:srgbClr val="4F81BD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4F81BD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equilibrio'!$G$100:$J$100</c:f>
              <c:numCache>
                <c:formatCode>#,##0</c:formatCode>
                <c:ptCount val="4"/>
                <c:pt idx="0">
                  <c:v>0</c:v>
                </c:pt>
                <c:pt idx="1">
                  <c:v>1150.5794403376099</c:v>
                </c:pt>
                <c:pt idx="2">
                  <c:v>2301.1588806752197</c:v>
                </c:pt>
                <c:pt idx="3">
                  <c:v>2876.4486008440244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'Punto equilibrio'!$F$101</c:f>
              <c:strCache>
                <c:ptCount val="1"/>
                <c:pt idx="0">
                  <c:v>$ Ventas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'Punto equilibrio'!$G$101:$J$101</c:f>
              <c:numCache>
                <c:formatCode>#,##0</c:formatCode>
                <c:ptCount val="4"/>
                <c:pt idx="0">
                  <c:v>0</c:v>
                </c:pt>
                <c:pt idx="1">
                  <c:v>322162.24329453078</c:v>
                </c:pt>
                <c:pt idx="2">
                  <c:v>644324.48658906156</c:v>
                </c:pt>
                <c:pt idx="3">
                  <c:v>805405.60823632684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'Punto equilibrio'!$F$104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'Punto equilibrio'!$G$104:$J$104</c:f>
              <c:numCache>
                <c:formatCode>#,##0</c:formatCode>
                <c:ptCount val="4"/>
                <c:pt idx="0">
                  <c:v>531078.3600000001</c:v>
                </c:pt>
                <c:pt idx="1">
                  <c:v>764727.54329453083</c:v>
                </c:pt>
                <c:pt idx="2">
                  <c:v>644324.48658906156</c:v>
                </c:pt>
                <c:pt idx="3">
                  <c:v>761149.07823632681</c:v>
                </c:pt>
              </c:numCache>
            </c:numRef>
          </c:val>
          <c:smooth val="1"/>
        </c:ser>
        <c:ser>
          <c:idx val="5"/>
          <c:order val="3"/>
          <c:tx>
            <c:strRef>
              <c:f>'Punto equilibrio'!$F$105</c:f>
              <c:strCache>
                <c:ptCount val="1"/>
                <c:pt idx="0">
                  <c:v>Utilidad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2225">
                <a:solidFill>
                  <a:srgbClr val="99CC00">
                    <a:alpha val="62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4571948998178479E-2"/>
                  <c:y val="5.6951423785594625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8.7431693989071038E-3"/>
                  <c:y val="4.020100502512562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3.6832242984552337E-2"/>
                  <c:y val="7.0351758793969849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>
                <c:manualLayout>
                  <c:x val="2.0717056703926741E-2"/>
                  <c:y val="3.1776753143181194E-2"/>
                </c:manualLayout>
              </c:layout>
              <c:spPr>
                <a:gradFill rotWithShape="1">
                  <a:gsLst>
                    <a:gs pos="0">
                      <a:srgbClr val="9BBB59">
                        <a:tint val="50000"/>
                        <a:satMod val="300000"/>
                      </a:srgbClr>
                    </a:gs>
                    <a:gs pos="35000">
                      <a:srgbClr val="9BBB59">
                        <a:tint val="37000"/>
                        <a:satMod val="300000"/>
                      </a:srgbClr>
                    </a:gs>
                    <a:gs pos="100000">
                      <a:srgbClr val="9BBB59">
                        <a:tint val="15000"/>
                        <a:satMod val="350000"/>
                      </a:srgbClr>
                    </a:gs>
                  </a:gsLst>
                  <a:lin ang="16200000" scaled="1"/>
                </a:gradFill>
                <a:ln w="9525" cap="flat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gradFill rotWithShape="1">
                <a:gsLst>
                  <a:gs pos="0">
                    <a:srgbClr val="9BBB59">
                      <a:tint val="50000"/>
                      <a:satMod val="300000"/>
                    </a:srgbClr>
                  </a:gs>
                  <a:gs pos="35000">
                    <a:srgbClr val="9BBB59">
                      <a:tint val="37000"/>
                      <a:satMod val="300000"/>
                    </a:srgbClr>
                  </a:gs>
                  <a:gs pos="100000">
                    <a:srgbClr val="9BBB59">
                      <a:tint val="15000"/>
                      <a:satMod val="350000"/>
                    </a:srgbClr>
                  </a:gs>
                </a:gsLst>
                <a:lin ang="16200000" scaled="1"/>
              </a:gradFill>
              <a:ln w="9525" cap="flat" cmpd="sng" algn="ctr">
                <a:solidFill>
                  <a:srgbClr val="9BBB59">
                    <a:shade val="95000"/>
                    <a:satMod val="105000"/>
                  </a:srgb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'Punto equilibrio'!$G$105:$J$105</c:f>
              <c:numCache>
                <c:formatCode>#,##0</c:formatCode>
                <c:ptCount val="4"/>
                <c:pt idx="0">
                  <c:v>-531078.3600000001</c:v>
                </c:pt>
                <c:pt idx="1">
                  <c:v>-442565.30000000005</c:v>
                </c:pt>
                <c:pt idx="2">
                  <c:v>0</c:v>
                </c:pt>
                <c:pt idx="3">
                  <c:v>44256.530000000028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263438936"/>
        <c:axId val="263442464"/>
        <c:extLst/>
      </c:lineChart>
      <c:catAx>
        <c:axId val="263438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63442464"/>
        <c:crosses val="autoZero"/>
        <c:auto val="1"/>
        <c:lblAlgn val="ctr"/>
        <c:lblOffset val="100"/>
        <c:noMultiLvlLbl val="0"/>
      </c:catAx>
      <c:valAx>
        <c:axId val="2634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/>
                  <a:t>Ventas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438936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793538082788"/>
          <c:y val="9.9556749018384003E-2"/>
          <c:w val="0.86131961813301416"/>
          <c:h val="6.46421081786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 alignWithMargins="0"/>
    <c:pageMargins b="1" l="0.75000000000000033" r="0.75000000000000033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trlProps/ctrlProp1.xml><?xml version="1.0" encoding="utf-8"?>
<formControlPr xmlns="http://schemas.microsoft.com/office/spreadsheetml/2009/9/main" objectType="Spin" dx="15" fmlaLink="#REF!" max="100" page="10" val="0"/>
</file>

<file path=xl/ctrlProps/ctrlProp2.xml><?xml version="1.0" encoding="utf-8"?>
<formControlPr xmlns="http://schemas.microsoft.com/office/spreadsheetml/2009/9/main" objectType="Spin" dx="15" fmlaLink="#REF!" max="100" page="10" val="0"/>
</file>

<file path=xl/ctrlProps/ctrlProp3.xml><?xml version="1.0" encoding="utf-8"?>
<formControlPr xmlns="http://schemas.microsoft.com/office/spreadsheetml/2009/9/main" objectType="Spin" dx="15" fmlaLink="#REF!" max="100" page="10" val="0"/>
</file>

<file path=xl/ctrlProps/ctrlProp4.xml><?xml version="1.0" encoding="utf-8"?>
<formControlPr xmlns="http://schemas.microsoft.com/office/spreadsheetml/2009/9/main" objectType="Spin" dx="15" fmlaLink="#REF!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2127302</xdr:colOff>
      <xdr:row>0</xdr:row>
      <xdr:rowOff>184894</xdr:rowOff>
    </xdr:from>
    <xdr:to>
      <xdr:col>5</xdr:col>
      <xdr:colOff>280961</xdr:colOff>
      <xdr:row>9</xdr:row>
      <xdr:rowOff>3464</xdr:rowOff>
    </xdr:to>
    <xdr:pic>
      <xdr:nvPicPr>
        <xdr:cNvPr id="2" name="4 Imagen" descr="LOGO RESPONSABILIDAD SOCI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492427" y="184894"/>
          <a:ext cx="4773534" cy="1342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35</xdr:row>
          <xdr:rowOff>0</xdr:rowOff>
        </xdr:from>
        <xdr:to>
          <xdr:col>2</xdr:col>
          <xdr:colOff>0</xdr:colOff>
          <xdr:row>35</xdr:row>
          <xdr:rowOff>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32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24</xdr:row>
      <xdr:rowOff>161924</xdr:rowOff>
    </xdr:from>
    <xdr:to>
      <xdr:col>10</xdr:col>
      <xdr:colOff>133350</xdr:colOff>
      <xdr:row>48</xdr:row>
      <xdr:rowOff>142875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814917</xdr:colOff>
      <xdr:row>32</xdr:row>
      <xdr:rowOff>105833</xdr:rowOff>
    </xdr:from>
    <xdr:to>
      <xdr:col>7</xdr:col>
      <xdr:colOff>127000</xdr:colOff>
      <xdr:row>34</xdr:row>
      <xdr:rowOff>159173</xdr:rowOff>
    </xdr:to>
    <xdr:sp macro="" textlink="">
      <xdr:nvSpPr>
        <xdr:cNvPr id="7" name="Oval 5"/>
        <xdr:cNvSpPr>
          <a:spLocks noChangeArrowheads="1"/>
        </xdr:cNvSpPr>
      </xdr:nvSpPr>
      <xdr:spPr bwMode="auto">
        <a:xfrm>
          <a:off x="6978953" y="6664476"/>
          <a:ext cx="550333" cy="43434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783166</xdr:colOff>
      <xdr:row>43</xdr:row>
      <xdr:rowOff>126999</xdr:rowOff>
    </xdr:from>
    <xdr:to>
      <xdr:col>7</xdr:col>
      <xdr:colOff>126999</xdr:colOff>
      <xdr:row>46</xdr:row>
      <xdr:rowOff>24463</xdr:rowOff>
    </xdr:to>
    <xdr:sp macro="" textlink="">
      <xdr:nvSpPr>
        <xdr:cNvPr id="8" name="Oval 6"/>
        <xdr:cNvSpPr>
          <a:spLocks noChangeArrowheads="1"/>
        </xdr:cNvSpPr>
      </xdr:nvSpPr>
      <xdr:spPr bwMode="auto">
        <a:xfrm>
          <a:off x="6947202" y="8781142"/>
          <a:ext cx="582083" cy="468964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304801</xdr:colOff>
      <xdr:row>2</xdr:row>
      <xdr:rowOff>23917</xdr:rowOff>
    </xdr:from>
    <xdr:to>
      <xdr:col>13</xdr:col>
      <xdr:colOff>315385</xdr:colOff>
      <xdr:row>10</xdr:row>
      <xdr:rowOff>180650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77076" y="557317"/>
          <a:ext cx="4857750" cy="1890283"/>
        </a:xfrm>
        <a:prstGeom prst="rect">
          <a:avLst/>
        </a:prstGeom>
      </xdr:spPr>
    </xdr:pic>
    <xdr:clientData/>
  </xdr:twoCellAnchor>
  <xdr:twoCellAnchor>
    <xdr:from>
      <xdr:col>1</xdr:col>
      <xdr:colOff>914400</xdr:colOff>
      <xdr:row>64</xdr:row>
      <xdr:rowOff>161924</xdr:rowOff>
    </xdr:from>
    <xdr:to>
      <xdr:col>10</xdr:col>
      <xdr:colOff>133350</xdr:colOff>
      <xdr:row>88</xdr:row>
      <xdr:rowOff>142875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799330</xdr:colOff>
      <xdr:row>70</xdr:row>
      <xdr:rowOff>67733</xdr:rowOff>
    </xdr:from>
    <xdr:to>
      <xdr:col>7</xdr:col>
      <xdr:colOff>111413</xdr:colOff>
      <xdr:row>72</xdr:row>
      <xdr:rowOff>121073</xdr:rowOff>
    </xdr:to>
    <xdr:sp macro="" textlink="">
      <xdr:nvSpPr>
        <xdr:cNvPr id="10" name="Oval 5"/>
        <xdr:cNvSpPr>
          <a:spLocks noChangeArrowheads="1"/>
        </xdr:cNvSpPr>
      </xdr:nvSpPr>
      <xdr:spPr bwMode="auto">
        <a:xfrm>
          <a:off x="6666730" y="13888508"/>
          <a:ext cx="445558" cy="43434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792691</xdr:colOff>
      <xdr:row>82</xdr:row>
      <xdr:rowOff>50799</xdr:rowOff>
    </xdr:from>
    <xdr:to>
      <xdr:col>7</xdr:col>
      <xdr:colOff>136524</xdr:colOff>
      <xdr:row>84</xdr:row>
      <xdr:rowOff>138763</xdr:rowOff>
    </xdr:to>
    <xdr:sp macro="" textlink="">
      <xdr:nvSpPr>
        <xdr:cNvPr id="11" name="Oval 6"/>
        <xdr:cNvSpPr>
          <a:spLocks noChangeArrowheads="1"/>
        </xdr:cNvSpPr>
      </xdr:nvSpPr>
      <xdr:spPr bwMode="auto">
        <a:xfrm>
          <a:off x="6660091" y="16157574"/>
          <a:ext cx="477308" cy="468964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914400</xdr:colOff>
      <xdr:row>106</xdr:row>
      <xdr:rowOff>161924</xdr:rowOff>
    </xdr:from>
    <xdr:to>
      <xdr:col>10</xdr:col>
      <xdr:colOff>133350</xdr:colOff>
      <xdr:row>130</xdr:row>
      <xdr:rowOff>142875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785092</xdr:colOff>
      <xdr:row>114</xdr:row>
      <xdr:rowOff>67349</xdr:rowOff>
    </xdr:from>
    <xdr:to>
      <xdr:col>7</xdr:col>
      <xdr:colOff>97175</xdr:colOff>
      <xdr:row>116</xdr:row>
      <xdr:rowOff>137585</xdr:rowOff>
    </xdr:to>
    <xdr:sp macro="" textlink="">
      <xdr:nvSpPr>
        <xdr:cNvPr id="13" name="Oval 5"/>
        <xdr:cNvSpPr>
          <a:spLocks noChangeArrowheads="1"/>
        </xdr:cNvSpPr>
      </xdr:nvSpPr>
      <xdr:spPr bwMode="auto">
        <a:xfrm>
          <a:off x="6658842" y="22345266"/>
          <a:ext cx="444500" cy="451236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829347</xdr:colOff>
      <xdr:row>123</xdr:row>
      <xdr:rowOff>166446</xdr:rowOff>
    </xdr:from>
    <xdr:to>
      <xdr:col>7</xdr:col>
      <xdr:colOff>173180</xdr:colOff>
      <xdr:row>126</xdr:row>
      <xdr:rowOff>52916</xdr:rowOff>
    </xdr:to>
    <xdr:sp macro="" textlink="">
      <xdr:nvSpPr>
        <xdr:cNvPr id="14" name="Oval 6"/>
        <xdr:cNvSpPr>
          <a:spLocks noChangeArrowheads="1"/>
        </xdr:cNvSpPr>
      </xdr:nvSpPr>
      <xdr:spPr bwMode="auto">
        <a:xfrm>
          <a:off x="6703097" y="24158863"/>
          <a:ext cx="476250" cy="457970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22</xdr:row>
      <xdr:rowOff>114300</xdr:rowOff>
    </xdr:from>
    <xdr:to>
      <xdr:col>9</xdr:col>
      <xdr:colOff>285749</xdr:colOff>
      <xdr:row>29</xdr:row>
      <xdr:rowOff>19050</xdr:rowOff>
    </xdr:to>
    <xdr:sp macro="" textlink="">
      <xdr:nvSpPr>
        <xdr:cNvPr id="2" name="Llamada rectangular redondeada 1"/>
        <xdr:cNvSpPr/>
      </xdr:nvSpPr>
      <xdr:spPr bwMode="auto">
        <a:xfrm>
          <a:off x="8886824" y="3876675"/>
          <a:ext cx="3267075" cy="1209675"/>
        </a:xfrm>
        <a:prstGeom prst="wedgeRoundRectCallout">
          <a:avLst>
            <a:gd name="adj1" fmla="val -61611"/>
            <a:gd name="adj2" fmla="val 33807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MX" sz="1800" b="1">
              <a:solidFill>
                <a:srgbClr val="FFFF00"/>
              </a:solidFill>
            </a:rPr>
            <a:t>EN RESUMEN </a:t>
          </a:r>
          <a:r>
            <a:rPr lang="es-MX" sz="1800" b="1" u="sng">
              <a:solidFill>
                <a:srgbClr val="FFFF00"/>
              </a:solidFill>
            </a:rPr>
            <a:t>es el ingreso disponible para pagar un crédito o ahorrar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rtlCol="0" anchor="ctr" upright="1"/>
      <a:lstStyle>
        <a:defPPr algn="ctr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G32"/>
  <sheetViews>
    <sheetView showGridLines="0" topLeftCell="A19" zoomScale="110" zoomScaleNormal="110" zoomScalePageLayoutView="180" workbookViewId="0">
      <selection activeCell="B20" sqref="B20"/>
    </sheetView>
  </sheetViews>
  <sheetFormatPr baseColWidth="10" defaultRowHeight="15" x14ac:dyDescent="0.25"/>
  <cols>
    <col min="1" max="1" width="5.140625" style="356" bestFit="1" customWidth="1"/>
    <col min="2" max="2" width="38.28515625" style="356" bestFit="1" customWidth="1"/>
    <col min="3" max="3" width="33.28515625" style="356" customWidth="1"/>
    <col min="4" max="4" width="10.42578125" style="356" customWidth="1"/>
    <col min="5" max="5" width="10.85546875" style="356" customWidth="1"/>
    <col min="6" max="6" width="11.5703125" style="356" customWidth="1"/>
    <col min="7" max="7" width="10.5703125" style="356" customWidth="1"/>
    <col min="8" max="11" width="6.7109375" style="356" customWidth="1"/>
    <col min="12" max="12" width="8.5703125" style="356" bestFit="1" customWidth="1"/>
    <col min="13" max="16384" width="11.42578125" style="356"/>
  </cols>
  <sheetData>
    <row r="2" spans="2:7" hidden="1" x14ac:dyDescent="0.25"/>
    <row r="11" spans="2:7" hidden="1" x14ac:dyDescent="0.25"/>
    <row r="13" spans="2:7" ht="17.25" customHeight="1" x14ac:dyDescent="0.3">
      <c r="B13" s="358" t="s">
        <v>209</v>
      </c>
      <c r="C13" s="451" t="s">
        <v>214</v>
      </c>
      <c r="D13" s="452"/>
      <c r="E13" s="453"/>
      <c r="G13" s="357"/>
    </row>
    <row r="14" spans="2:7" hidden="1" x14ac:dyDescent="0.25"/>
    <row r="15" spans="2:7" ht="6.75" customHeight="1" x14ac:dyDescent="0.25"/>
    <row r="16" spans="2:7" ht="6.75" customHeight="1" x14ac:dyDescent="0.25"/>
    <row r="17" spans="1:7" ht="6.75" customHeight="1" x14ac:dyDescent="0.25"/>
    <row r="18" spans="1:7" ht="6.75" customHeight="1" x14ac:dyDescent="0.25">
      <c r="A18" s="413"/>
    </row>
    <row r="19" spans="1:7" ht="25.5" customHeight="1" x14ac:dyDescent="0.25">
      <c r="A19" s="414" t="s">
        <v>223</v>
      </c>
      <c r="B19" s="415" t="s">
        <v>225</v>
      </c>
      <c r="D19" s="416"/>
      <c r="E19" s="416"/>
      <c r="F19" s="357"/>
      <c r="G19" s="357"/>
    </row>
    <row r="20" spans="1:7" ht="18.75" customHeight="1" x14ac:dyDescent="0.25">
      <c r="A20" s="417">
        <v>1.1000000000000001</v>
      </c>
      <c r="B20" s="421" t="s">
        <v>226</v>
      </c>
      <c r="D20" s="416"/>
      <c r="E20" s="416"/>
      <c r="F20" s="357"/>
      <c r="G20" s="357"/>
    </row>
    <row r="21" spans="1:7" ht="18.75" customHeight="1" x14ac:dyDescent="0.25">
      <c r="A21" s="420">
        <v>1.2</v>
      </c>
      <c r="B21" s="421" t="s">
        <v>234</v>
      </c>
      <c r="D21" s="419"/>
      <c r="E21" s="419"/>
      <c r="F21" s="357"/>
      <c r="G21" s="357"/>
    </row>
    <row r="22" spans="1:7" ht="18.75" customHeight="1" x14ac:dyDescent="0.25">
      <c r="A22" s="420">
        <v>1.3</v>
      </c>
      <c r="B22" s="421" t="s">
        <v>227</v>
      </c>
      <c r="D22" s="419"/>
      <c r="E22" s="419"/>
      <c r="F22" s="357"/>
      <c r="G22" s="357"/>
    </row>
    <row r="23" spans="1:7" ht="25.5" customHeight="1" x14ac:dyDescent="0.25">
      <c r="A23" s="414" t="s">
        <v>224</v>
      </c>
      <c r="B23" s="415" t="s">
        <v>229</v>
      </c>
      <c r="D23" s="357"/>
      <c r="E23" s="357"/>
      <c r="F23" s="357"/>
      <c r="G23" s="357"/>
    </row>
    <row r="24" spans="1:7" ht="17.25" customHeight="1" x14ac:dyDescent="0.25">
      <c r="A24" s="417">
        <v>2.1</v>
      </c>
      <c r="B24" s="421" t="s">
        <v>237</v>
      </c>
      <c r="D24" s="357"/>
      <c r="E24" s="357"/>
      <c r="F24" s="357"/>
      <c r="G24" s="357"/>
    </row>
    <row r="25" spans="1:7" ht="17.25" customHeight="1" x14ac:dyDescent="0.25">
      <c r="A25" s="417">
        <v>2.2999999999999998</v>
      </c>
      <c r="B25" s="421" t="s">
        <v>238</v>
      </c>
      <c r="D25" s="357"/>
      <c r="E25" s="357"/>
      <c r="F25" s="357"/>
      <c r="G25" s="357"/>
    </row>
    <row r="26" spans="1:7" ht="17.25" customHeight="1" x14ac:dyDescent="0.25">
      <c r="A26" s="420">
        <v>2.4</v>
      </c>
      <c r="B26" s="421" t="s">
        <v>239</v>
      </c>
      <c r="D26" s="357"/>
      <c r="E26" s="357"/>
      <c r="F26" s="357"/>
      <c r="G26" s="357"/>
    </row>
    <row r="27" spans="1:7" ht="25.5" customHeight="1" x14ac:dyDescent="0.25">
      <c r="A27" s="414" t="s">
        <v>228</v>
      </c>
      <c r="B27" s="415" t="s">
        <v>231</v>
      </c>
      <c r="D27" s="357"/>
      <c r="E27" s="357"/>
      <c r="F27" s="357"/>
      <c r="G27" s="357"/>
    </row>
    <row r="28" spans="1:7" ht="17.25" customHeight="1" x14ac:dyDescent="0.25">
      <c r="A28" s="417">
        <v>3.1</v>
      </c>
      <c r="B28" s="418" t="s">
        <v>232</v>
      </c>
      <c r="D28" s="417"/>
      <c r="E28" s="357"/>
      <c r="F28" s="357"/>
      <c r="G28" s="357"/>
    </row>
    <row r="29" spans="1:7" ht="17.25" customHeight="1" x14ac:dyDescent="0.25">
      <c r="A29" s="420">
        <v>3.2</v>
      </c>
      <c r="B29" s="418" t="s">
        <v>230</v>
      </c>
      <c r="D29" s="420"/>
      <c r="E29" s="357"/>
      <c r="F29" s="357"/>
      <c r="G29" s="357"/>
    </row>
    <row r="30" spans="1:7" ht="17.25" customHeight="1" x14ac:dyDescent="0.25">
      <c r="A30" s="420">
        <v>3.3</v>
      </c>
      <c r="B30" s="418" t="s">
        <v>233</v>
      </c>
    </row>
    <row r="31" spans="1:7" ht="17.25" customHeight="1" x14ac:dyDescent="0.25">
      <c r="A31" s="420">
        <v>3.4</v>
      </c>
      <c r="B31" s="418" t="s">
        <v>235</v>
      </c>
    </row>
    <row r="32" spans="1:7" ht="17.25" customHeight="1" x14ac:dyDescent="0.25">
      <c r="A32" s="420">
        <v>3.5</v>
      </c>
      <c r="B32" s="418" t="s">
        <v>236</v>
      </c>
    </row>
  </sheetData>
  <hyperlinks>
    <hyperlink ref="B20" location="Memoria!A1" tooltip="MEMORIAS DE CALCULO" display="      MEMORIAS DE CALCULO"/>
    <hyperlink ref="B22" location="'Proyeccion costos'!A1" tooltip="PROYECCION DE COSTOS" display="      PROYECCION DE COSTOS"/>
    <hyperlink ref="B26" location="CDT!A1" tooltip="CAPITAL DE TRABAJO" display="    CAPITAL DE TRABAJO"/>
    <hyperlink ref="B25" location="Ingresos!A1" tooltip="INGRESOS" display="     INGRESOS"/>
    <hyperlink ref="B28" location="'Punto equilibrio'!A1" tooltip="PUNTO DE EQUILIBRIO" display="      PUNTO DE EQUILIBRIO"/>
    <hyperlink ref="B30" location="Rentab!A1" tooltip=" ANALISIS DE RENTABILIDAD (VAN, TIR, B/C)" display="     ANALISIS DE RENTABILIDAD (VAN, TIR, B/C)"/>
    <hyperlink ref="B24" location="'Costos totales'!A1" tooltip="COSTOS TOTALES Y PRECIOS" display="     COSTOS TOTALES Y PRECIOS"/>
    <hyperlink ref="B21" location="Inversiones!A1" tooltip="PRESUPUESTO DE INVERSION " display="      PRESUPUESTO DE INVERSION "/>
    <hyperlink ref="B29" location="EdoRes!A1" tooltip="ESTADO DE RESULTADOS" display="      ESTADO DE RESULTADOS"/>
    <hyperlink ref="B31" location="Rec!A1" tooltip=" PERÍODO DE RECUPERACIÓN DE LA INVERSION" display="     PERÍODO DE RECUPERACIÓN DE LA INVERSION"/>
    <hyperlink ref="B32" location="Deprec!A1" tooltip=" CALCULO DEPRECIACIONES" display="     CALCULO DEPRECIACIONES"/>
  </hyperlinks>
  <pageMargins left="0.3170289855072464" right="0.7" top="0.75" bottom="0.75" header="0.3" footer="0.3"/>
  <pageSetup paperSize="9" orientation="landscape" horizontalDpi="0" verticalDpi="0" r:id="rId1"/>
  <headerFooter>
    <oddFooter>&amp;L&amp;"-,Negrita"&amp;K02-089ISRAEL VARGAS OROPEZA&amp;C&amp;"-,Negrita"&amp;K06-047DGICE-UCOL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1"/>
  <sheetViews>
    <sheetView showGridLines="0" topLeftCell="A19" zoomScale="90" zoomScaleNormal="90" workbookViewId="0">
      <selection activeCell="I27" sqref="I27"/>
    </sheetView>
  </sheetViews>
  <sheetFormatPr baseColWidth="10" defaultRowHeight="15" x14ac:dyDescent="0.25"/>
  <cols>
    <col min="2" max="2" width="11.42578125" customWidth="1"/>
    <col min="3" max="3" width="12.85546875" customWidth="1"/>
    <col min="4" max="4" width="13" bestFit="1" customWidth="1"/>
    <col min="5" max="5" width="17.5703125" bestFit="1" customWidth="1"/>
    <col min="6" max="6" width="15.5703125" bestFit="1" customWidth="1"/>
    <col min="7" max="7" width="15.85546875" customWidth="1"/>
    <col min="8" max="9" width="13.5703125" customWidth="1"/>
    <col min="10" max="10" width="18.5703125" customWidth="1"/>
  </cols>
  <sheetData>
    <row r="1" spans="1:19" x14ac:dyDescent="0.25">
      <c r="A1" s="422" t="s">
        <v>240</v>
      </c>
    </row>
    <row r="2" spans="1:19" ht="15" customHeight="1" x14ac:dyDescent="0.25">
      <c r="A2" s="657" t="s">
        <v>45</v>
      </c>
      <c r="B2" s="657"/>
      <c r="C2" s="657"/>
      <c r="D2" s="657"/>
      <c r="E2" s="657"/>
      <c r="F2" s="657"/>
      <c r="G2" s="657"/>
      <c r="H2" s="657"/>
      <c r="I2" s="657"/>
      <c r="J2" s="657"/>
      <c r="K2" s="657"/>
    </row>
    <row r="3" spans="1:19" ht="7.5" customHeight="1" x14ac:dyDescent="0.25">
      <c r="B3" s="14"/>
      <c r="C3" s="15"/>
      <c r="D3" s="16"/>
      <c r="E3" s="14"/>
      <c r="F3" s="14"/>
      <c r="G3" s="14"/>
      <c r="H3" s="14"/>
      <c r="I3" s="17"/>
      <c r="J3" s="14"/>
      <c r="K3" s="14"/>
    </row>
    <row r="4" spans="1:19" ht="18" x14ac:dyDescent="0.25">
      <c r="B4" s="657" t="s">
        <v>46</v>
      </c>
      <c r="C4" s="657"/>
      <c r="D4" s="657"/>
      <c r="E4" s="657"/>
      <c r="F4" s="657"/>
      <c r="G4" s="657"/>
      <c r="H4" s="657"/>
      <c r="I4" s="657"/>
      <c r="J4" s="657"/>
      <c r="K4" s="14"/>
      <c r="L4" s="14"/>
    </row>
    <row r="5" spans="1:19" ht="15.75" thickBot="1" x14ac:dyDescent="0.3">
      <c r="B5" s="18" t="s">
        <v>47</v>
      </c>
      <c r="C5" s="19"/>
      <c r="D5" s="19"/>
      <c r="E5" s="19"/>
      <c r="F5" s="19"/>
      <c r="G5" s="19"/>
      <c r="H5" s="19"/>
      <c r="I5" s="19"/>
      <c r="J5" s="20"/>
      <c r="K5" s="21"/>
    </row>
    <row r="6" spans="1:19" ht="22.5" customHeight="1" x14ac:dyDescent="0.25">
      <c r="B6" s="658" t="s">
        <v>177</v>
      </c>
      <c r="C6" s="660" t="s">
        <v>173</v>
      </c>
      <c r="D6" s="678" t="s">
        <v>48</v>
      </c>
      <c r="E6" s="678"/>
      <c r="F6" s="678"/>
      <c r="G6" s="678"/>
      <c r="H6" s="662" t="s">
        <v>49</v>
      </c>
      <c r="I6" s="663"/>
      <c r="J6" s="679" t="s">
        <v>50</v>
      </c>
      <c r="K6" s="21"/>
      <c r="L6" s="22"/>
      <c r="M6" s="22"/>
      <c r="N6" s="22"/>
      <c r="O6" s="22"/>
      <c r="P6" s="22"/>
      <c r="Q6" s="22"/>
      <c r="R6" s="22"/>
      <c r="S6" s="22"/>
    </row>
    <row r="7" spans="1:19" ht="29.25" customHeight="1" thickBot="1" x14ac:dyDescent="0.3">
      <c r="B7" s="659"/>
      <c r="C7" s="661"/>
      <c r="D7" s="387" t="s">
        <v>174</v>
      </c>
      <c r="E7" s="387" t="s">
        <v>51</v>
      </c>
      <c r="F7" s="387" t="s">
        <v>52</v>
      </c>
      <c r="G7" s="387" t="s">
        <v>53</v>
      </c>
      <c r="H7" s="387" t="s">
        <v>175</v>
      </c>
      <c r="I7" s="387" t="s">
        <v>176</v>
      </c>
      <c r="J7" s="680"/>
      <c r="K7" s="21"/>
      <c r="L7" s="22"/>
      <c r="M7" s="22"/>
      <c r="N7" s="22"/>
      <c r="O7" s="22"/>
      <c r="P7" s="22"/>
      <c r="Q7" s="22"/>
      <c r="R7" s="22"/>
      <c r="S7" s="22"/>
    </row>
    <row r="8" spans="1:19" x14ac:dyDescent="0.25">
      <c r="B8" s="388">
        <v>0</v>
      </c>
      <c r="C8" s="389">
        <v>0</v>
      </c>
      <c r="D8" s="390">
        <v>0</v>
      </c>
      <c r="E8" s="391">
        <f>Inversiones!F31</f>
        <v>36694</v>
      </c>
      <c r="F8" s="392">
        <f>Inversiones!F44</f>
        <v>0</v>
      </c>
      <c r="G8" s="392">
        <f>Inversiones!F48</f>
        <v>174110.36</v>
      </c>
      <c r="H8" s="393"/>
      <c r="I8" s="393"/>
      <c r="J8" s="394">
        <f>C8-D8-E8-F8-G8+H8+I8</f>
        <v>-210804.36</v>
      </c>
      <c r="K8" s="21"/>
      <c r="L8" s="26"/>
      <c r="M8" s="27"/>
      <c r="N8" s="27"/>
      <c r="O8" s="27"/>
      <c r="P8" s="27"/>
      <c r="Q8" s="28"/>
      <c r="R8" s="22"/>
      <c r="S8" s="22"/>
    </row>
    <row r="9" spans="1:19" x14ac:dyDescent="0.25">
      <c r="B9" s="23">
        <v>1</v>
      </c>
      <c r="C9" s="29">
        <f>Ingresos!C35</f>
        <v>2016000</v>
      </c>
      <c r="D9" s="29">
        <f>EdoRes!$C$26</f>
        <v>1730006.6876132132</v>
      </c>
      <c r="E9" s="30"/>
      <c r="F9" s="30"/>
      <c r="G9" s="30"/>
      <c r="H9" s="24"/>
      <c r="I9" s="24"/>
      <c r="J9" s="25">
        <f t="shared" ref="J9:J12" si="0">C9-D9-E9-F9-G9+H9+I9</f>
        <v>285993.3123867868</v>
      </c>
      <c r="K9" s="21"/>
      <c r="L9" s="31"/>
      <c r="M9" s="31"/>
      <c r="N9" s="31"/>
      <c r="O9" s="31"/>
      <c r="P9" s="31"/>
      <c r="Q9" s="32"/>
      <c r="R9" s="22"/>
      <c r="S9" s="22"/>
    </row>
    <row r="10" spans="1:19" x14ac:dyDescent="0.25">
      <c r="B10" s="23">
        <v>2</v>
      </c>
      <c r="C10" s="29">
        <f>Ingresos!$D$35</f>
        <v>2016000</v>
      </c>
      <c r="D10" s="29">
        <f>EdoRes!$D$26</f>
        <v>1730006.6876132132</v>
      </c>
      <c r="E10" s="24"/>
      <c r="F10" s="24"/>
      <c r="G10" s="24"/>
      <c r="H10" s="24"/>
      <c r="I10" s="24"/>
      <c r="J10" s="25">
        <f t="shared" si="0"/>
        <v>285993.3123867868</v>
      </c>
      <c r="K10" s="21"/>
      <c r="L10" s="22"/>
      <c r="M10" s="22"/>
      <c r="N10" s="22"/>
      <c r="O10" s="22"/>
      <c r="P10" s="22"/>
      <c r="Q10" s="22"/>
      <c r="R10" s="22"/>
      <c r="S10" s="22"/>
    </row>
    <row r="11" spans="1:19" x14ac:dyDescent="0.25">
      <c r="B11" s="23">
        <v>3</v>
      </c>
      <c r="C11" s="29">
        <f>Ingresos!$E$35</f>
        <v>2016000</v>
      </c>
      <c r="D11" s="29">
        <f>EdoRes!$E$26</f>
        <v>1730006.6876132132</v>
      </c>
      <c r="E11" s="24"/>
      <c r="F11" s="24"/>
      <c r="G11" s="24"/>
      <c r="H11" s="24"/>
      <c r="I11" s="24"/>
      <c r="J11" s="25">
        <f t="shared" si="0"/>
        <v>285993.3123867868</v>
      </c>
      <c r="K11" s="21"/>
      <c r="L11" s="22"/>
      <c r="M11" s="22"/>
      <c r="N11" s="22"/>
      <c r="O11" s="22"/>
      <c r="P11" s="22"/>
      <c r="Q11" s="22"/>
      <c r="R11" s="22"/>
      <c r="S11" s="22"/>
    </row>
    <row r="12" spans="1:19" x14ac:dyDescent="0.25">
      <c r="B12" s="23">
        <v>4</v>
      </c>
      <c r="C12" s="29">
        <f>Ingresos!$F$35</f>
        <v>2016000</v>
      </c>
      <c r="D12" s="29">
        <f>EdoRes!$F$26</f>
        <v>1730006.6876132132</v>
      </c>
      <c r="E12" s="24"/>
      <c r="F12" s="24"/>
      <c r="G12" s="24"/>
      <c r="H12" s="24"/>
      <c r="I12" s="24"/>
      <c r="J12" s="25">
        <f t="shared" si="0"/>
        <v>285993.3123867868</v>
      </c>
      <c r="K12" s="21"/>
      <c r="L12" s="22"/>
      <c r="M12" s="22"/>
      <c r="N12" s="22"/>
      <c r="O12" s="22"/>
      <c r="P12" s="22"/>
      <c r="Q12" s="22"/>
      <c r="R12" s="22"/>
      <c r="S12" s="22"/>
    </row>
    <row r="13" spans="1:19" ht="15.75" thickBot="1" x14ac:dyDescent="0.3">
      <c r="B13" s="33">
        <v>5</v>
      </c>
      <c r="C13" s="395">
        <f>Ingresos!$G$35</f>
        <v>2016000</v>
      </c>
      <c r="D13" s="395">
        <f>EdoRes!$G$26</f>
        <v>1730006.6876132132</v>
      </c>
      <c r="E13" s="34"/>
      <c r="F13" s="34"/>
      <c r="G13" s="34"/>
      <c r="H13" s="34">
        <f>Deprec!J29</f>
        <v>28586.906786786789</v>
      </c>
      <c r="I13" s="35"/>
      <c r="J13" s="36">
        <f>C13-D13-E13-F13-G13+H13+I13</f>
        <v>314580.2191735736</v>
      </c>
      <c r="K13" s="21"/>
      <c r="L13" s="22"/>
      <c r="M13" s="22"/>
      <c r="N13" s="22"/>
      <c r="O13" s="22"/>
      <c r="P13" s="22"/>
      <c r="Q13" s="22"/>
      <c r="R13" s="22"/>
      <c r="S13" s="22"/>
    </row>
    <row r="14" spans="1:19" ht="15.75" x14ac:dyDescent="0.25">
      <c r="B14" s="72" t="s">
        <v>45</v>
      </c>
      <c r="C14" s="37"/>
      <c r="D14" s="37"/>
      <c r="E14" s="38"/>
      <c r="F14" s="38"/>
      <c r="G14" s="38"/>
      <c r="H14" s="22"/>
      <c r="I14" s="39"/>
      <c r="J14" s="40"/>
      <c r="K14" s="21"/>
    </row>
    <row r="15" spans="1:19" ht="16.5" thickBot="1" x14ac:dyDescent="0.3">
      <c r="B15" s="41" t="s">
        <v>178</v>
      </c>
      <c r="C15" s="42"/>
      <c r="D15" s="42"/>
      <c r="E15" s="42"/>
      <c r="F15" s="43"/>
      <c r="G15" s="289">
        <v>0.14000000000000001</v>
      </c>
      <c r="H15" s="43"/>
      <c r="I15" s="43"/>
      <c r="J15" s="20"/>
      <c r="K15" s="21"/>
    </row>
    <row r="16" spans="1:19" ht="38.25" x14ac:dyDescent="0.25">
      <c r="B16" s="295" t="s">
        <v>177</v>
      </c>
      <c r="C16" s="296" t="s">
        <v>179</v>
      </c>
      <c r="D16" s="296" t="s">
        <v>185</v>
      </c>
      <c r="E16" s="296" t="s">
        <v>182</v>
      </c>
      <c r="F16" s="296" t="s">
        <v>180</v>
      </c>
      <c r="G16" s="296" t="s">
        <v>186</v>
      </c>
      <c r="H16" s="297" t="s">
        <v>181</v>
      </c>
      <c r="I16" s="44"/>
      <c r="J16" s="668" t="s">
        <v>191</v>
      </c>
      <c r="K16" s="669"/>
      <c r="L16" s="670"/>
    </row>
    <row r="17" spans="2:12" ht="15.75" thickBot="1" x14ac:dyDescent="0.3">
      <c r="B17" s="298"/>
      <c r="C17" s="299"/>
      <c r="D17" s="299"/>
      <c r="E17" s="301">
        <f>G15</f>
        <v>0.14000000000000001</v>
      </c>
      <c r="F17" s="299"/>
      <c r="G17" s="299"/>
      <c r="H17" s="300"/>
      <c r="I17" s="44"/>
      <c r="J17" s="327"/>
      <c r="K17" s="326" t="s">
        <v>187</v>
      </c>
      <c r="L17" s="328" t="s">
        <v>192</v>
      </c>
    </row>
    <row r="18" spans="2:12" x14ac:dyDescent="0.25">
      <c r="B18" s="290">
        <v>0</v>
      </c>
      <c r="C18" s="291">
        <f t="shared" ref="C18:C22" si="1">SUM(D8,E8,F8,G8)</f>
        <v>210804.36</v>
      </c>
      <c r="D18" s="291">
        <f t="shared" ref="D18:D22" si="2">C8+H8+I8</f>
        <v>0</v>
      </c>
      <c r="E18" s="292">
        <f t="shared" ref="E18:E22" si="3">1/(1+$E$17)^B18</f>
        <v>1</v>
      </c>
      <c r="F18" s="293">
        <f>+E18*C18</f>
        <v>210804.36</v>
      </c>
      <c r="G18" s="293">
        <f t="shared" ref="G18:G22" si="4">+E18*D18</f>
        <v>0</v>
      </c>
      <c r="H18" s="294">
        <f t="shared" ref="H18:H23" si="5">+G18-F18</f>
        <v>-210804.36</v>
      </c>
      <c r="I18" s="43"/>
      <c r="J18" s="671" t="s">
        <v>188</v>
      </c>
      <c r="K18" s="307">
        <v>1</v>
      </c>
      <c r="L18" s="329">
        <f>G19/F19</f>
        <v>1.1653134143552675</v>
      </c>
    </row>
    <row r="19" spans="2:12" x14ac:dyDescent="0.25">
      <c r="B19" s="23">
        <v>1</v>
      </c>
      <c r="C19" s="24">
        <f t="shared" si="1"/>
        <v>1730006.6876132132</v>
      </c>
      <c r="D19" s="24">
        <f t="shared" si="2"/>
        <v>2016000</v>
      </c>
      <c r="E19" s="45">
        <f t="shared" si="3"/>
        <v>0.8771929824561403</v>
      </c>
      <c r="F19" s="29">
        <f t="shared" ref="F19:F21" si="6">+E19*C19</f>
        <v>1517549.7259765028</v>
      </c>
      <c r="G19" s="29">
        <f t="shared" si="4"/>
        <v>1768421.0526315789</v>
      </c>
      <c r="H19" s="46">
        <f t="shared" si="5"/>
        <v>250871.32665507612</v>
      </c>
      <c r="I19" s="43"/>
      <c r="J19" s="672"/>
      <c r="K19" s="307">
        <v>2</v>
      </c>
      <c r="L19" s="329">
        <f>G20/F20</f>
        <v>1.1653134143552675</v>
      </c>
    </row>
    <row r="20" spans="2:12" x14ac:dyDescent="0.25">
      <c r="B20" s="23">
        <v>2</v>
      </c>
      <c r="C20" s="24">
        <f t="shared" si="1"/>
        <v>1730006.6876132132</v>
      </c>
      <c r="D20" s="24">
        <f t="shared" si="2"/>
        <v>2016000</v>
      </c>
      <c r="E20" s="45">
        <f t="shared" si="3"/>
        <v>0.76946752847029842</v>
      </c>
      <c r="F20" s="29">
        <f t="shared" si="6"/>
        <v>1331183.9701548268</v>
      </c>
      <c r="G20" s="29">
        <f t="shared" si="4"/>
        <v>1551246.5373961215</v>
      </c>
      <c r="H20" s="46">
        <f t="shared" si="5"/>
        <v>220062.56724129478</v>
      </c>
      <c r="I20" s="43"/>
      <c r="J20" s="672"/>
      <c r="K20" s="307">
        <v>3</v>
      </c>
      <c r="L20" s="329">
        <f>G21/F21</f>
        <v>1.1653134143552675</v>
      </c>
    </row>
    <row r="21" spans="2:12" x14ac:dyDescent="0.25">
      <c r="B21" s="23">
        <v>3</v>
      </c>
      <c r="C21" s="24">
        <f t="shared" si="1"/>
        <v>1730006.6876132132</v>
      </c>
      <c r="D21" s="24">
        <f t="shared" si="2"/>
        <v>2016000</v>
      </c>
      <c r="E21" s="45">
        <f t="shared" si="3"/>
        <v>0.67497151620201612</v>
      </c>
      <c r="F21" s="29">
        <f t="shared" si="6"/>
        <v>1167705.2369779181</v>
      </c>
      <c r="G21" s="29">
        <f t="shared" si="4"/>
        <v>1360742.5766632645</v>
      </c>
      <c r="H21" s="46">
        <f>+G21-F21</f>
        <v>193037.33968534647</v>
      </c>
      <c r="I21" s="43"/>
      <c r="J21" s="672"/>
      <c r="K21" s="307">
        <v>4</v>
      </c>
      <c r="L21" s="329">
        <f t="shared" ref="L21" si="7">G22/F22</f>
        <v>1.1653134143552673</v>
      </c>
    </row>
    <row r="22" spans="2:12" x14ac:dyDescent="0.25">
      <c r="B22" s="23">
        <v>4</v>
      </c>
      <c r="C22" s="24">
        <f t="shared" si="1"/>
        <v>1730006.6876132132</v>
      </c>
      <c r="D22" s="24">
        <f t="shared" si="2"/>
        <v>2016000</v>
      </c>
      <c r="E22" s="45">
        <f t="shared" si="3"/>
        <v>0.59208027737018942</v>
      </c>
      <c r="F22" s="29">
        <f>+E22*C22</f>
        <v>1024302.839454314</v>
      </c>
      <c r="G22" s="29">
        <f t="shared" si="4"/>
        <v>1193633.8391783019</v>
      </c>
      <c r="H22" s="46">
        <f t="shared" si="5"/>
        <v>169330.99972398789</v>
      </c>
      <c r="I22" s="43"/>
      <c r="J22" s="673"/>
      <c r="K22" s="307">
        <v>5</v>
      </c>
      <c r="L22" s="329">
        <f>G23/F23</f>
        <v>1.1818375740544569</v>
      </c>
    </row>
    <row r="23" spans="2:12" x14ac:dyDescent="0.25">
      <c r="B23" s="23">
        <v>5</v>
      </c>
      <c r="C23" s="24">
        <f>SUM(D13,E13,F13,G13)</f>
        <v>1730006.6876132132</v>
      </c>
      <c r="D23" s="24">
        <f>C13+H13+I13</f>
        <v>2044586.9067867869</v>
      </c>
      <c r="E23" s="45">
        <f>1/(1+$E$17)^B23</f>
        <v>0.51936866435981521</v>
      </c>
      <c r="F23" s="29">
        <f>+E23*C23</f>
        <v>898511.26267922262</v>
      </c>
      <c r="G23" s="29">
        <f>+E23*D23</f>
        <v>1061894.3709454194</v>
      </c>
      <c r="H23" s="46">
        <f t="shared" si="5"/>
        <v>163383.1082661968</v>
      </c>
      <c r="I23" s="43"/>
      <c r="J23" s="674" t="s">
        <v>189</v>
      </c>
      <c r="K23" s="675"/>
      <c r="L23" s="329">
        <f>G24/F24</f>
        <v>1.127784332903917</v>
      </c>
    </row>
    <row r="24" spans="2:12" ht="15.75" thickBot="1" x14ac:dyDescent="0.3">
      <c r="B24" s="331" t="s">
        <v>54</v>
      </c>
      <c r="C24" s="332">
        <f>SUM(C18:C22)</f>
        <v>7130831.1104528531</v>
      </c>
      <c r="D24" s="332">
        <f>SUM(D18:D23)</f>
        <v>10108586.906786786</v>
      </c>
      <c r="E24" s="332"/>
      <c r="F24" s="333">
        <f>SUM(F18:F23)</f>
        <v>6150057.3952427842</v>
      </c>
      <c r="G24" s="333">
        <f>SUM(G18:G23)</f>
        <v>6935938.3768146848</v>
      </c>
      <c r="H24" s="334">
        <f>SUM(H18:H23)</f>
        <v>785880.98157190206</v>
      </c>
      <c r="I24" s="47"/>
      <c r="J24" s="676" t="s">
        <v>190</v>
      </c>
      <c r="K24" s="677"/>
      <c r="L24" s="330">
        <f>G24/(F24-H18)</f>
        <v>1.0904086024347106</v>
      </c>
    </row>
    <row r="25" spans="2:12" x14ac:dyDescent="0.25">
      <c r="B25" s="48"/>
      <c r="C25" s="49"/>
      <c r="D25" s="49"/>
      <c r="E25" s="49"/>
      <c r="F25" s="49"/>
      <c r="G25" s="49"/>
      <c r="H25" s="49"/>
      <c r="I25" s="50"/>
      <c r="J25" s="51"/>
      <c r="K25" s="21"/>
    </row>
    <row r="26" spans="2:12" ht="15.75" thickBot="1" x14ac:dyDescent="0.3">
      <c r="B26" s="43"/>
      <c r="C26" s="52" t="s">
        <v>55</v>
      </c>
      <c r="D26" s="52"/>
      <c r="E26" s="52"/>
      <c r="F26" s="52"/>
      <c r="G26" s="52"/>
      <c r="H26" s="52"/>
      <c r="I26" s="43"/>
      <c r="J26" s="20"/>
      <c r="K26" s="21"/>
    </row>
    <row r="27" spans="2:12" x14ac:dyDescent="0.25">
      <c r="B27" s="43"/>
      <c r="C27" s="43"/>
      <c r="D27" s="53" t="s">
        <v>56</v>
      </c>
      <c r="E27" s="54">
        <f>H24</f>
        <v>785880.98157190206</v>
      </c>
      <c r="F27" s="55" t="str">
        <f>IF(E27&gt;0,"Se acepta","Se rechaza")</f>
        <v>Se acepta</v>
      </c>
      <c r="G27" s="56"/>
      <c r="H27" s="56"/>
      <c r="I27" s="43"/>
      <c r="J27" s="20"/>
      <c r="K27" s="21"/>
    </row>
    <row r="28" spans="2:12" x14ac:dyDescent="0.25">
      <c r="B28" s="43"/>
      <c r="C28" s="43"/>
      <c r="D28" s="57" t="s">
        <v>57</v>
      </c>
      <c r="E28" s="58">
        <f>IRR(H18:H23)</f>
        <v>1.0525670256480386</v>
      </c>
      <c r="F28" s="55" t="str">
        <f>IF(E28&gt;E17,"Se acepta","Se rechaza")</f>
        <v>Se acepta</v>
      </c>
      <c r="G28" s="56"/>
      <c r="H28" s="56"/>
      <c r="I28" s="43"/>
      <c r="J28" s="20"/>
      <c r="K28" s="21"/>
    </row>
    <row r="29" spans="2:12" ht="15.75" thickBot="1" x14ac:dyDescent="0.3">
      <c r="B29" s="43"/>
      <c r="C29" s="43"/>
      <c r="D29" s="59" t="s">
        <v>58</v>
      </c>
      <c r="E29" s="60">
        <f>G24/F24</f>
        <v>1.127784332903917</v>
      </c>
      <c r="F29" s="55" t="str">
        <f>IF(E29&gt;=1,"Se acepta","Se rechaza")</f>
        <v>Se acepta</v>
      </c>
      <c r="G29" s="56"/>
      <c r="H29" s="56"/>
      <c r="I29" s="19"/>
      <c r="J29" s="20"/>
      <c r="K29" s="21"/>
    </row>
    <row r="30" spans="2:12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2:12" x14ac:dyDescent="0.25">
      <c r="B31" s="21"/>
      <c r="C31" s="21"/>
      <c r="D31" s="21"/>
      <c r="E31" s="21"/>
      <c r="F31" s="21"/>
      <c r="G31" s="21"/>
      <c r="H31" s="21"/>
      <c r="I31" s="61" t="s">
        <v>59</v>
      </c>
      <c r="J31" s="21"/>
      <c r="K31" s="21"/>
    </row>
    <row r="32" spans="2:12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2:11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2:11" x14ac:dyDescent="0.25">
      <c r="B34" s="302" t="s">
        <v>84</v>
      </c>
      <c r="C34" s="302" t="s">
        <v>85</v>
      </c>
      <c r="D34" s="302" t="s">
        <v>86</v>
      </c>
      <c r="E34" s="302" t="s">
        <v>87</v>
      </c>
      <c r="F34" s="302" t="s">
        <v>86</v>
      </c>
      <c r="G34" s="302" t="s">
        <v>87</v>
      </c>
      <c r="H34" s="21"/>
      <c r="I34" s="21"/>
      <c r="J34" s="21"/>
      <c r="K34" s="21"/>
    </row>
    <row r="35" spans="2:11" x14ac:dyDescent="0.25">
      <c r="B35" s="303"/>
      <c r="C35" s="303" t="s">
        <v>88</v>
      </c>
      <c r="D35" s="303" t="s">
        <v>89</v>
      </c>
      <c r="E35" s="303" t="s">
        <v>90</v>
      </c>
      <c r="F35" s="303" t="s">
        <v>89</v>
      </c>
      <c r="G35" s="303" t="s">
        <v>90</v>
      </c>
      <c r="H35" s="21"/>
      <c r="I35" s="21"/>
      <c r="J35" s="21"/>
      <c r="K35" s="21"/>
    </row>
    <row r="36" spans="2:11" ht="11.25" customHeight="1" x14ac:dyDescent="0.25">
      <c r="B36" s="86"/>
      <c r="C36" s="86"/>
      <c r="D36" s="87">
        <f>E17</f>
        <v>0.14000000000000001</v>
      </c>
      <c r="E36" s="86" t="s">
        <v>91</v>
      </c>
      <c r="F36" s="87">
        <f>D36+5%</f>
        <v>0.19</v>
      </c>
      <c r="G36" s="86" t="s">
        <v>92</v>
      </c>
      <c r="H36" s="21"/>
      <c r="I36" s="21"/>
      <c r="J36" s="21"/>
      <c r="K36" s="21"/>
    </row>
    <row r="37" spans="2:11" x14ac:dyDescent="0.25">
      <c r="B37" s="88">
        <v>0</v>
      </c>
      <c r="C37" s="89">
        <f t="shared" ref="C37:C42" si="8">H18</f>
        <v>-210804.36</v>
      </c>
      <c r="D37" s="90">
        <f t="shared" ref="D37:D42" si="9">(1)/((1+$D$36))^B37</f>
        <v>1</v>
      </c>
      <c r="E37" s="89">
        <f>+C37*D37</f>
        <v>-210804.36</v>
      </c>
      <c r="F37" s="90">
        <f>(1)/((1+$F$36))^$B37</f>
        <v>1</v>
      </c>
      <c r="G37" s="89">
        <f>+C37*F37</f>
        <v>-210804.36</v>
      </c>
      <c r="H37" s="21"/>
      <c r="I37" s="21"/>
      <c r="J37" s="21"/>
      <c r="K37" s="21"/>
    </row>
    <row r="38" spans="2:11" x14ac:dyDescent="0.25">
      <c r="B38" s="88">
        <v>1</v>
      </c>
      <c r="C38" s="89">
        <f t="shared" si="8"/>
        <v>250871.32665507612</v>
      </c>
      <c r="D38" s="90">
        <f t="shared" si="9"/>
        <v>0.8771929824561403</v>
      </c>
      <c r="E38" s="89">
        <f t="shared" ref="E38:E42" si="10">+C38*D38</f>
        <v>220062.56724129483</v>
      </c>
      <c r="F38" s="90">
        <f t="shared" ref="F38:F42" si="11">(1)/((1+$F$36))^$B38</f>
        <v>0.84033613445378152</v>
      </c>
      <c r="G38" s="89">
        <f t="shared" ref="G38:G42" si="12">+C38*F38</f>
        <v>210816.24088661859</v>
      </c>
      <c r="H38" s="21"/>
      <c r="I38" s="21"/>
      <c r="J38" s="21"/>
      <c r="K38" s="21"/>
    </row>
    <row r="39" spans="2:11" x14ac:dyDescent="0.25">
      <c r="B39" s="88">
        <v>2</v>
      </c>
      <c r="C39" s="89">
        <f t="shared" si="8"/>
        <v>220062.56724129478</v>
      </c>
      <c r="D39" s="90">
        <f t="shared" si="9"/>
        <v>0.76946752847029842</v>
      </c>
      <c r="E39" s="89">
        <f t="shared" si="10"/>
        <v>169330.99972398794</v>
      </c>
      <c r="F39" s="90">
        <f t="shared" si="11"/>
        <v>0.70616481886872395</v>
      </c>
      <c r="G39" s="89">
        <f t="shared" si="12"/>
        <v>155400.44293573531</v>
      </c>
      <c r="H39" s="21"/>
      <c r="I39" s="21"/>
      <c r="J39" s="21"/>
      <c r="K39" s="21"/>
    </row>
    <row r="40" spans="2:11" x14ac:dyDescent="0.25">
      <c r="B40" s="88">
        <v>3</v>
      </c>
      <c r="C40" s="89">
        <f t="shared" si="8"/>
        <v>193037.33968534647</v>
      </c>
      <c r="D40" s="90">
        <f t="shared" si="9"/>
        <v>0.67497151620201612</v>
      </c>
      <c r="E40" s="89">
        <f t="shared" si="10"/>
        <v>130294.70585102192</v>
      </c>
      <c r="F40" s="90">
        <f t="shared" si="11"/>
        <v>0.59341581417539835</v>
      </c>
      <c r="G40" s="89">
        <f t="shared" si="12"/>
        <v>114551.4100956328</v>
      </c>
      <c r="H40" s="21"/>
      <c r="I40" s="21"/>
      <c r="J40" s="21"/>
      <c r="K40" s="21"/>
    </row>
    <row r="41" spans="2:11" x14ac:dyDescent="0.25">
      <c r="B41" s="88">
        <v>4</v>
      </c>
      <c r="C41" s="89">
        <f t="shared" si="8"/>
        <v>169330.99972398789</v>
      </c>
      <c r="D41" s="90">
        <f t="shared" si="9"/>
        <v>0.59208027737018942</v>
      </c>
      <c r="E41" s="89">
        <f t="shared" si="10"/>
        <v>100257.54528395021</v>
      </c>
      <c r="F41" s="90">
        <f t="shared" si="11"/>
        <v>0.49866875140789779</v>
      </c>
      <c r="G41" s="89">
        <f t="shared" si="12"/>
        <v>84440.07820701212</v>
      </c>
      <c r="H41" s="21"/>
      <c r="I41" s="21"/>
      <c r="J41" s="21"/>
      <c r="K41" s="21"/>
    </row>
    <row r="42" spans="2:11" x14ac:dyDescent="0.25">
      <c r="B42" s="88">
        <v>5</v>
      </c>
      <c r="C42" s="89">
        <f t="shared" si="8"/>
        <v>163383.1082661968</v>
      </c>
      <c r="D42" s="90">
        <f t="shared" si="9"/>
        <v>0.51936866435981521</v>
      </c>
      <c r="E42" s="89">
        <f t="shared" si="10"/>
        <v>84856.066719169714</v>
      </c>
      <c r="F42" s="90">
        <f t="shared" si="11"/>
        <v>0.41904937093100653</v>
      </c>
      <c r="G42" s="89">
        <f t="shared" si="12"/>
        <v>68465.588739702303</v>
      </c>
      <c r="H42" s="21"/>
      <c r="I42" s="21"/>
      <c r="J42" s="21"/>
      <c r="K42" s="21"/>
    </row>
    <row r="43" spans="2:11" x14ac:dyDescent="0.25">
      <c r="B43" s="304"/>
      <c r="C43" s="305">
        <f>SUM(C37:C42)</f>
        <v>785880.98157190206</v>
      </c>
      <c r="D43" s="305"/>
      <c r="E43" s="305">
        <f>SUM(E37:E42)</f>
        <v>493997.52481942467</v>
      </c>
      <c r="F43" s="305"/>
      <c r="G43" s="305">
        <f>SUM(G37:G42)</f>
        <v>422869.40086470119</v>
      </c>
    </row>
    <row r="45" spans="2:11" ht="15.75" thickBot="1" x14ac:dyDescent="0.3"/>
    <row r="46" spans="2:11" ht="22.5" customHeight="1" x14ac:dyDescent="0.25">
      <c r="B46" s="664" t="s">
        <v>183</v>
      </c>
      <c r="C46" s="665"/>
      <c r="D46" s="665"/>
      <c r="E46" s="665"/>
      <c r="F46" s="666">
        <f>(IRR(C37:C42))</f>
        <v>1.0525670256480386</v>
      </c>
      <c r="G46" s="667"/>
    </row>
    <row r="47" spans="2:11" x14ac:dyDescent="0.25">
      <c r="B47" s="651" t="s">
        <v>184</v>
      </c>
      <c r="C47" s="652"/>
      <c r="D47" s="652"/>
      <c r="E47" s="652"/>
      <c r="F47" s="396">
        <f>G43*F36-(G43*D36)</f>
        <v>21143.470043235058</v>
      </c>
      <c r="G47" s="655">
        <f>(F47/F48)</f>
        <v>0.29725893033104472</v>
      </c>
    </row>
    <row r="48" spans="2:11" ht="15.75" thickBot="1" x14ac:dyDescent="0.3">
      <c r="B48" s="653"/>
      <c r="C48" s="654"/>
      <c r="D48" s="654"/>
      <c r="E48" s="654"/>
      <c r="F48" s="306">
        <f>E43-G43</f>
        <v>71128.123954723473</v>
      </c>
      <c r="G48" s="656"/>
    </row>
    <row r="49" spans="2:4" ht="15.75" thickTop="1" x14ac:dyDescent="0.25"/>
    <row r="50" spans="2:4" x14ac:dyDescent="0.25">
      <c r="B50" s="650" t="s">
        <v>93</v>
      </c>
      <c r="C50" s="91">
        <f>(E43*F36)-(G43*D36)</f>
        <v>34657.813594632513</v>
      </c>
      <c r="D50" s="649">
        <f>C50/C51</f>
        <v>0.48725893033104467</v>
      </c>
    </row>
    <row r="51" spans="2:4" x14ac:dyDescent="0.25">
      <c r="B51" s="650"/>
      <c r="C51" s="91">
        <f>E43-(G43)</f>
        <v>71128.123954723473</v>
      </c>
      <c r="D51" s="649"/>
    </row>
  </sheetData>
  <mergeCells count="17">
    <mergeCell ref="J6:J7"/>
    <mergeCell ref="D50:D51"/>
    <mergeCell ref="B50:B51"/>
    <mergeCell ref="B47:E48"/>
    <mergeCell ref="G47:G48"/>
    <mergeCell ref="A2:K2"/>
    <mergeCell ref="B6:B7"/>
    <mergeCell ref="C6:C7"/>
    <mergeCell ref="H6:I6"/>
    <mergeCell ref="B46:E46"/>
    <mergeCell ref="F46:G46"/>
    <mergeCell ref="J16:L16"/>
    <mergeCell ref="J18:J22"/>
    <mergeCell ref="J23:K23"/>
    <mergeCell ref="J24:K24"/>
    <mergeCell ref="B4:J4"/>
    <mergeCell ref="D6:G6"/>
  </mergeCells>
  <conditionalFormatting sqref="F28">
    <cfRule type="colorScale" priority="4">
      <colorScale>
        <cfvo type="percent" val="0"/>
        <cfvo type="percent" val="100"/>
        <color rgb="FFFF7128"/>
        <color rgb="FFFFEF9C"/>
      </colorScale>
    </cfRule>
  </conditionalFormatting>
  <conditionalFormatting sqref="E28">
    <cfRule type="iconSet" priority="3">
      <iconSet iconSet="3Symbols">
        <cfvo type="percent" val="0"/>
        <cfvo type="percent" val="$E$17"/>
        <cfvo type="percent" val="$E$17"/>
      </iconSet>
    </cfRule>
  </conditionalFormatting>
  <conditionalFormatting sqref="E27">
    <cfRule type="iconSet" priority="2">
      <iconSet iconSet="3Symbols">
        <cfvo type="percent" val="0"/>
        <cfvo type="num" val="0"/>
        <cfvo type="num" val="0" gte="0"/>
      </iconSet>
    </cfRule>
  </conditionalFormatting>
  <conditionalFormatting sqref="E29">
    <cfRule type="iconSet" priority="1">
      <iconSet iconSet="3Symbols">
        <cfvo type="percent" val="0"/>
        <cfvo type="num" val="1"/>
        <cfvo type="num" val="1" gte="0"/>
      </iconSet>
    </cfRule>
  </conditionalFormatting>
  <hyperlinks>
    <hyperlink ref="A1" location="Portada!A31" display="INDIC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1ACF0D9-3B2B-4B80-A34F-FC41C4598C3C}">
            <x14:iconSet iconSet="3Symbols" custom="1">
              <x14:cfvo type="percent">
                <xm:f>0</xm:f>
              </x14:cfvo>
              <x14:cfvo type="percent">
                <xm:f>"$E$17"</xm:f>
              </x14:cfvo>
              <x14:cfvo type="percent" gte="0">
                <xm:f>$E$17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E27:E29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3"/>
  <sheetViews>
    <sheetView showGridLines="0" topLeftCell="A7" zoomScale="80" zoomScaleNormal="80" workbookViewId="0">
      <selection activeCell="C6" sqref="C6"/>
    </sheetView>
  </sheetViews>
  <sheetFormatPr baseColWidth="10" defaultRowHeight="14.25" x14ac:dyDescent="0.2"/>
  <cols>
    <col min="1" max="1" width="11.42578125" style="63"/>
    <col min="2" max="2" width="22.140625" style="63" customWidth="1"/>
    <col min="3" max="3" width="17" style="63" customWidth="1"/>
    <col min="4" max="4" width="17.28515625" style="63" bestFit="1" customWidth="1"/>
    <col min="5" max="5" width="16.28515625" style="63" customWidth="1"/>
    <col min="6" max="6" width="17.42578125" style="63" customWidth="1"/>
    <col min="7" max="7" width="16.42578125" style="63" customWidth="1"/>
    <col min="8" max="8" width="17.42578125" style="63" customWidth="1"/>
    <col min="9" max="16384" width="11.42578125" style="63"/>
  </cols>
  <sheetData>
    <row r="1" spans="1:8" ht="23.25" customHeight="1" x14ac:dyDescent="0.25">
      <c r="A1" s="422" t="s">
        <v>240</v>
      </c>
    </row>
    <row r="2" spans="1:8" ht="19.5" x14ac:dyDescent="0.3">
      <c r="B2" s="62" t="str">
        <f>'Punto equilibrio'!B1:H1</f>
        <v>TORTILLERIA TIO FRANK</v>
      </c>
    </row>
    <row r="3" spans="1:8" ht="15" x14ac:dyDescent="0.2">
      <c r="B3" s="681" t="s">
        <v>61</v>
      </c>
      <c r="C3" s="682"/>
      <c r="D3" s="682"/>
      <c r="E3" s="682"/>
      <c r="F3" s="682"/>
      <c r="G3" s="682"/>
      <c r="H3" s="682"/>
    </row>
    <row r="4" spans="1:8" ht="15" thickBot="1" x14ac:dyDescent="0.25"/>
    <row r="5" spans="1:8" ht="30.75" customHeight="1" x14ac:dyDescent="0.2">
      <c r="B5" s="342"/>
      <c r="C5" s="343">
        <v>0</v>
      </c>
      <c r="D5" s="343">
        <v>1</v>
      </c>
      <c r="E5" s="343">
        <v>2</v>
      </c>
      <c r="F5" s="343">
        <v>3</v>
      </c>
      <c r="G5" s="343">
        <v>4</v>
      </c>
      <c r="H5" s="343">
        <v>5</v>
      </c>
    </row>
    <row r="6" spans="1:8" ht="30.75" customHeight="1" x14ac:dyDescent="0.2">
      <c r="B6" s="344" t="s">
        <v>62</v>
      </c>
      <c r="C6" s="345">
        <f>Rentab!H18</f>
        <v>-210804.36</v>
      </c>
      <c r="D6" s="345">
        <f>Rentab!H19</f>
        <v>250871.32665507612</v>
      </c>
      <c r="E6" s="345">
        <f>Rentab!H20</f>
        <v>220062.56724129478</v>
      </c>
      <c r="F6" s="345">
        <f>Rentab!H21</f>
        <v>193037.33968534647</v>
      </c>
      <c r="G6" s="346">
        <f>Rentab!H22</f>
        <v>169330.99972398789</v>
      </c>
      <c r="H6" s="345">
        <f>Rentab!H23</f>
        <v>163383.1082661968</v>
      </c>
    </row>
    <row r="7" spans="1:8" ht="30.75" customHeight="1" thickBot="1" x14ac:dyDescent="0.25">
      <c r="B7" s="347" t="s">
        <v>63</v>
      </c>
      <c r="C7" s="348">
        <f>+C6</f>
        <v>-210804.36</v>
      </c>
      <c r="D7" s="348">
        <f>+D6+C7</f>
        <v>40066.966655076132</v>
      </c>
      <c r="E7" s="348">
        <f>+E6+D7</f>
        <v>260129.53389637091</v>
      </c>
      <c r="F7" s="349">
        <f>+F6+E7</f>
        <v>453166.87358171737</v>
      </c>
      <c r="G7" s="349">
        <f>+G6+F7</f>
        <v>622497.87330570526</v>
      </c>
      <c r="H7" s="349">
        <f>+H6+G7</f>
        <v>785880.98157190206</v>
      </c>
    </row>
    <row r="10" spans="1:8" x14ac:dyDescent="0.2">
      <c r="E10" s="63" t="s">
        <v>64</v>
      </c>
    </row>
    <row r="11" spans="1:8" x14ac:dyDescent="0.2">
      <c r="E11" s="63" t="s">
        <v>65</v>
      </c>
    </row>
    <row r="12" spans="1:8" ht="27" customHeight="1" thickBot="1" x14ac:dyDescent="0.25"/>
    <row r="13" spans="1:8" ht="27" customHeight="1" thickBot="1" x14ac:dyDescent="0.25">
      <c r="G13" s="683" t="s">
        <v>66</v>
      </c>
      <c r="H13" s="684"/>
    </row>
    <row r="14" spans="1:8" ht="27" customHeight="1" thickBot="1" x14ac:dyDescent="0.25">
      <c r="B14" s="64"/>
      <c r="C14" s="66"/>
      <c r="D14" s="308"/>
      <c r="E14" s="308"/>
      <c r="F14" s="308"/>
      <c r="G14" s="412">
        <v>3</v>
      </c>
      <c r="H14" s="350" t="s">
        <v>67</v>
      </c>
    </row>
    <row r="15" spans="1:8" ht="15" x14ac:dyDescent="0.25">
      <c r="B15" s="309"/>
      <c r="C15" s="309"/>
      <c r="D15" s="309"/>
      <c r="E15" s="309"/>
      <c r="F15"/>
      <c r="G15"/>
      <c r="H15"/>
    </row>
    <row r="16" spans="1:8" ht="15" x14ac:dyDescent="0.25">
      <c r="B16" s="64"/>
      <c r="C16" s="64"/>
      <c r="D16" s="64"/>
      <c r="E16" s="64"/>
      <c r="F16"/>
      <c r="G16"/>
      <c r="H16"/>
    </row>
    <row r="17" spans="1:8" x14ac:dyDescent="0.2">
      <c r="A17" s="65"/>
      <c r="B17" s="66"/>
      <c r="C17" s="66"/>
      <c r="D17" s="66"/>
      <c r="E17" s="66"/>
      <c r="F17" s="66"/>
      <c r="G17" s="66"/>
      <c r="H17" s="66"/>
    </row>
    <row r="18" spans="1:8" ht="15" x14ac:dyDescent="0.25">
      <c r="A18" s="65"/>
      <c r="B18" s="310"/>
      <c r="C18" s="311"/>
      <c r="D18" s="311"/>
      <c r="E18" s="311"/>
      <c r="F18" s="311"/>
      <c r="G18" s="311"/>
      <c r="H18" s="311"/>
    </row>
    <row r="19" spans="1:8" x14ac:dyDescent="0.2">
      <c r="A19" s="65"/>
      <c r="B19" s="65"/>
      <c r="C19" s="65"/>
      <c r="D19" s="65"/>
      <c r="E19" s="312"/>
      <c r="F19" s="65"/>
      <c r="G19" s="65"/>
      <c r="H19" s="65"/>
    </row>
    <row r="20" spans="1:8" ht="15" x14ac:dyDescent="0.25">
      <c r="A20" s="65"/>
      <c r="B20" s="313"/>
      <c r="C20" s="313"/>
      <c r="D20" s="313"/>
      <c r="E20" s="313"/>
      <c r="F20" s="313"/>
      <c r="G20" s="313"/>
      <c r="H20" s="313"/>
    </row>
    <row r="21" spans="1:8" x14ac:dyDescent="0.2">
      <c r="A21" s="65"/>
      <c r="B21" s="314"/>
      <c r="C21" s="65"/>
      <c r="D21" s="312"/>
      <c r="E21" s="312"/>
      <c r="F21" s="312"/>
      <c r="G21" s="312"/>
      <c r="H21" s="312"/>
    </row>
    <row r="22" spans="1:8" x14ac:dyDescent="0.2">
      <c r="A22" s="65"/>
      <c r="B22" s="65"/>
      <c r="C22" s="315"/>
      <c r="D22" s="316"/>
      <c r="E22" s="316"/>
      <c r="F22" s="316"/>
      <c r="G22" s="316"/>
      <c r="H22" s="316"/>
    </row>
    <row r="23" spans="1:8" x14ac:dyDescent="0.2">
      <c r="A23" s="65"/>
      <c r="B23" s="65"/>
      <c r="C23" s="315"/>
      <c r="D23" s="316"/>
      <c r="E23" s="316"/>
      <c r="F23" s="316"/>
      <c r="G23" s="316"/>
      <c r="H23" s="316"/>
    </row>
    <row r="24" spans="1:8" x14ac:dyDescent="0.2">
      <c r="A24" s="65"/>
      <c r="B24" s="65"/>
      <c r="C24" s="315"/>
      <c r="D24" s="316"/>
      <c r="E24" s="316"/>
      <c r="F24" s="316"/>
      <c r="G24" s="316"/>
      <c r="H24" s="316"/>
    </row>
    <row r="25" spans="1:8" x14ac:dyDescent="0.2">
      <c r="A25" s="65"/>
      <c r="B25" s="65"/>
      <c r="C25" s="315"/>
      <c r="D25" s="315"/>
      <c r="E25" s="315"/>
      <c r="F25" s="315"/>
      <c r="G25" s="315"/>
      <c r="H25" s="315"/>
    </row>
    <row r="26" spans="1:8" x14ac:dyDescent="0.2">
      <c r="A26" s="65"/>
      <c r="B26" s="317"/>
      <c r="C26" s="315"/>
      <c r="D26" s="315"/>
      <c r="E26" s="315"/>
      <c r="F26" s="315"/>
      <c r="G26" s="315"/>
      <c r="H26" s="315"/>
    </row>
    <row r="27" spans="1:8" x14ac:dyDescent="0.2">
      <c r="A27" s="65"/>
      <c r="B27" s="66"/>
      <c r="C27" s="318"/>
      <c r="D27" s="319"/>
      <c r="E27" s="319"/>
      <c r="F27" s="319"/>
      <c r="G27" s="319"/>
      <c r="H27" s="319"/>
    </row>
    <row r="28" spans="1:8" x14ac:dyDescent="0.2">
      <c r="A28" s="65"/>
      <c r="B28" s="66"/>
      <c r="C28" s="318"/>
      <c r="D28" s="308"/>
      <c r="E28" s="308"/>
      <c r="F28" s="308"/>
      <c r="G28" s="308"/>
      <c r="H28" s="308"/>
    </row>
    <row r="29" spans="1:8" x14ac:dyDescent="0.2">
      <c r="A29" s="65"/>
      <c r="B29" s="66"/>
      <c r="C29" s="66"/>
      <c r="D29" s="320"/>
      <c r="E29" s="320"/>
      <c r="F29" s="320"/>
      <c r="G29" s="320"/>
      <c r="H29" s="320"/>
    </row>
    <row r="30" spans="1:8" x14ac:dyDescent="0.2">
      <c r="A30" s="65"/>
      <c r="B30" s="66"/>
      <c r="C30" s="66"/>
      <c r="D30" s="321"/>
      <c r="E30" s="321"/>
      <c r="F30" s="321"/>
      <c r="G30" s="321"/>
      <c r="H30" s="321"/>
    </row>
    <row r="31" spans="1:8" x14ac:dyDescent="0.2">
      <c r="A31" s="65"/>
      <c r="B31" s="66"/>
      <c r="C31" s="66"/>
      <c r="D31" s="66"/>
      <c r="E31" s="66"/>
      <c r="F31" s="66"/>
      <c r="G31" s="66"/>
      <c r="H31" s="66"/>
    </row>
    <row r="32" spans="1:8" x14ac:dyDescent="0.2">
      <c r="B32" s="67"/>
      <c r="C32" s="67"/>
      <c r="D32" s="68"/>
      <c r="E32" s="67"/>
      <c r="F32" s="67"/>
      <c r="G32" s="67"/>
      <c r="H32" s="67"/>
    </row>
    <row r="33" spans="2:8" x14ac:dyDescent="0.2">
      <c r="B33" s="67"/>
      <c r="C33" s="67"/>
      <c r="D33" s="67"/>
      <c r="E33" s="67"/>
      <c r="F33" s="67"/>
      <c r="G33" s="67"/>
      <c r="H33" s="67"/>
    </row>
  </sheetData>
  <mergeCells count="2">
    <mergeCell ref="B3:H3"/>
    <mergeCell ref="G13:H13"/>
  </mergeCells>
  <conditionalFormatting sqref="C7:H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ellIs" dxfId="0" priority="2" stopIfTrue="1" operator="greaterThan">
      <formula>0</formula>
    </cfRule>
  </conditionalFormatting>
  <hyperlinks>
    <hyperlink ref="A1" location="Portada!A32" display="IND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29"/>
  <sheetViews>
    <sheetView showGridLines="0" topLeftCell="A13" workbookViewId="0">
      <selection activeCell="D15" sqref="D15"/>
    </sheetView>
  </sheetViews>
  <sheetFormatPr baseColWidth="10" defaultRowHeight="15" x14ac:dyDescent="0.25"/>
  <cols>
    <col min="1" max="1" width="7.85546875" bestFit="1" customWidth="1"/>
    <col min="2" max="2" width="60.28515625" customWidth="1"/>
    <col min="3" max="3" width="12.28515625" bestFit="1" customWidth="1"/>
    <col min="4" max="4" width="9.28515625" bestFit="1" customWidth="1"/>
    <col min="5" max="5" width="12" bestFit="1" customWidth="1"/>
    <col min="6" max="6" width="11.7109375" bestFit="1" customWidth="1"/>
    <col min="7" max="7" width="11.5703125" bestFit="1" customWidth="1"/>
    <col min="8" max="8" width="13.28515625" customWidth="1"/>
    <col min="9" max="9" width="19" bestFit="1" customWidth="1"/>
    <col min="10" max="10" width="12.28515625" bestFit="1" customWidth="1"/>
  </cols>
  <sheetData>
    <row r="1" spans="1:10" ht="18" x14ac:dyDescent="0.25">
      <c r="A1" s="422" t="s">
        <v>240</v>
      </c>
      <c r="B1" s="69" t="str">
        <f>Rec!B2</f>
        <v>TORTILLERIA TIO FRANK</v>
      </c>
    </row>
    <row r="2" spans="1:10" ht="18.75" x14ac:dyDescent="0.3">
      <c r="B2" s="70" t="s">
        <v>68</v>
      </c>
      <c r="D2" s="71"/>
      <c r="E2" s="71"/>
    </row>
    <row r="3" spans="1:10" ht="25.5" x14ac:dyDescent="0.25">
      <c r="B3" s="324" t="s">
        <v>26</v>
      </c>
      <c r="C3" s="325" t="s">
        <v>1</v>
      </c>
      <c r="D3" s="325" t="s">
        <v>2</v>
      </c>
      <c r="E3" s="324" t="s">
        <v>69</v>
      </c>
      <c r="F3" s="324" t="s">
        <v>204</v>
      </c>
      <c r="G3" s="324" t="s">
        <v>205</v>
      </c>
      <c r="H3" s="324" t="s">
        <v>206</v>
      </c>
      <c r="I3" s="324" t="s">
        <v>207</v>
      </c>
      <c r="J3" s="324" t="s">
        <v>208</v>
      </c>
    </row>
    <row r="4" spans="1:10" x14ac:dyDescent="0.25">
      <c r="B4" s="74" t="str">
        <f>Inversiones!B6</f>
        <v>Computadora</v>
      </c>
      <c r="C4" s="74" t="str">
        <f>Inversiones!C6</f>
        <v>EQUIPO</v>
      </c>
      <c r="D4" s="74">
        <f>Inversiones!D6</f>
        <v>5</v>
      </c>
      <c r="E4" s="322">
        <f>Inversiones!E6</f>
        <v>2974.14</v>
      </c>
      <c r="F4" s="322">
        <f>Inversiones!F6</f>
        <v>14870.699999999999</v>
      </c>
      <c r="G4" s="341">
        <v>0.3</v>
      </c>
      <c r="H4" s="323">
        <v>3.33</v>
      </c>
      <c r="I4" s="323">
        <f>F4/H4</f>
        <v>4465.6756756756749</v>
      </c>
      <c r="J4" s="323">
        <f>F4-I4</f>
        <v>10405.024324324324</v>
      </c>
    </row>
    <row r="5" spans="1:10" x14ac:dyDescent="0.25">
      <c r="B5" s="74" t="str">
        <f>Inversiones!B7</f>
        <v>Escritorios</v>
      </c>
      <c r="C5" s="74" t="str">
        <f>Inversiones!C7</f>
        <v>EQUIPO</v>
      </c>
      <c r="D5" s="74">
        <f>Inversiones!D7</f>
        <v>5</v>
      </c>
      <c r="E5" s="322">
        <f>Inversiones!E7</f>
        <v>1034.48</v>
      </c>
      <c r="F5" s="322">
        <f>Inversiones!F7</f>
        <v>5172.3999999999996</v>
      </c>
      <c r="G5" s="341">
        <v>0.1</v>
      </c>
      <c r="H5" s="323">
        <v>10</v>
      </c>
      <c r="I5" s="323">
        <f t="shared" ref="I5:I11" si="0">F5/H5</f>
        <v>517.24</v>
      </c>
      <c r="J5" s="323">
        <f t="shared" ref="J5:J9" si="1">F5-I5</f>
        <v>4655.16</v>
      </c>
    </row>
    <row r="6" spans="1:10" x14ac:dyDescent="0.25">
      <c r="B6" s="74" t="str">
        <f>Inversiones!B8</f>
        <v>Sillones Ejecutivos</v>
      </c>
      <c r="C6" s="74" t="str">
        <f>Inversiones!C8</f>
        <v>EQUIPO</v>
      </c>
      <c r="D6" s="74">
        <f>Inversiones!D8</f>
        <v>5</v>
      </c>
      <c r="E6" s="322">
        <f>Inversiones!E8</f>
        <v>775</v>
      </c>
      <c r="F6" s="322">
        <f>Inversiones!F8</f>
        <v>3875</v>
      </c>
      <c r="G6" s="341">
        <v>0.1</v>
      </c>
      <c r="H6" s="323">
        <v>10</v>
      </c>
      <c r="I6" s="323">
        <f t="shared" si="0"/>
        <v>387.5</v>
      </c>
      <c r="J6" s="323">
        <f t="shared" si="1"/>
        <v>3487.5</v>
      </c>
    </row>
    <row r="7" spans="1:10" x14ac:dyDescent="0.25">
      <c r="B7" s="74" t="str">
        <f>Inversiones!B9</f>
        <v>Archivero</v>
      </c>
      <c r="C7" s="74" t="str">
        <f>Inversiones!C9</f>
        <v>EQUIPO</v>
      </c>
      <c r="D7" s="74">
        <f>Inversiones!D9</f>
        <v>1</v>
      </c>
      <c r="E7" s="322">
        <f>Inversiones!E9</f>
        <v>1370.69</v>
      </c>
      <c r="F7" s="322">
        <f>Inversiones!F9</f>
        <v>1370.69</v>
      </c>
      <c r="G7" s="341">
        <v>0.1</v>
      </c>
      <c r="H7" s="323">
        <v>10</v>
      </c>
      <c r="I7" s="323">
        <f t="shared" si="0"/>
        <v>137.06900000000002</v>
      </c>
      <c r="J7" s="323">
        <f t="shared" si="1"/>
        <v>1233.6210000000001</v>
      </c>
    </row>
    <row r="8" spans="1:10" x14ac:dyDescent="0.25">
      <c r="B8" s="74" t="str">
        <f>Inversiones!B10</f>
        <v>Librero</v>
      </c>
      <c r="C8" s="74" t="str">
        <f>Inversiones!C10</f>
        <v>EQUIPO</v>
      </c>
      <c r="D8" s="74">
        <f>Inversiones!D10</f>
        <v>1</v>
      </c>
      <c r="E8" s="322">
        <f>Inversiones!E10</f>
        <v>672.41</v>
      </c>
      <c r="F8" s="322">
        <f>Inversiones!F10</f>
        <v>672.41</v>
      </c>
      <c r="G8" s="341">
        <v>0.1</v>
      </c>
      <c r="H8" s="323">
        <v>10</v>
      </c>
      <c r="I8" s="323">
        <f t="shared" si="0"/>
        <v>67.241</v>
      </c>
      <c r="J8" s="323">
        <f t="shared" si="1"/>
        <v>605.16899999999998</v>
      </c>
    </row>
    <row r="9" spans="1:10" x14ac:dyDescent="0.25">
      <c r="B9" s="74" t="str">
        <f>Inversiones!B11</f>
        <v xml:space="preserve">Sillas </v>
      </c>
      <c r="C9" s="74" t="str">
        <f>Inversiones!C11</f>
        <v>EQUIPO</v>
      </c>
      <c r="D9" s="74">
        <f>Inversiones!D11</f>
        <v>10</v>
      </c>
      <c r="E9" s="322">
        <f>Inversiones!E11</f>
        <v>344.83</v>
      </c>
      <c r="F9" s="322">
        <f>Inversiones!F11</f>
        <v>3448.2999999999997</v>
      </c>
      <c r="G9" s="341">
        <v>0.1</v>
      </c>
      <c r="H9" s="323">
        <v>10</v>
      </c>
      <c r="I9" s="323">
        <f t="shared" si="0"/>
        <v>344.83</v>
      </c>
      <c r="J9" s="323">
        <f t="shared" si="1"/>
        <v>3103.47</v>
      </c>
    </row>
    <row r="10" spans="1:10" x14ac:dyDescent="0.25">
      <c r="B10" s="74" t="str">
        <f>Inversiones!B12</f>
        <v>Impresoras</v>
      </c>
      <c r="C10" s="74" t="str">
        <f>Inversiones!C12</f>
        <v>EQUIPO</v>
      </c>
      <c r="D10" s="74">
        <f>Inversiones!D12</f>
        <v>5</v>
      </c>
      <c r="E10" s="322">
        <f>Inversiones!E12</f>
        <v>1456.9</v>
      </c>
      <c r="F10" s="322">
        <f>Inversiones!F12</f>
        <v>7284.5</v>
      </c>
      <c r="G10" s="341">
        <v>0.3</v>
      </c>
      <c r="H10" s="323">
        <v>3.33</v>
      </c>
      <c r="I10" s="323">
        <f t="shared" si="0"/>
        <v>2187.5375375375374</v>
      </c>
      <c r="J10" s="323">
        <f t="shared" ref="J10:J12" si="2">F10-I10</f>
        <v>5096.962462462463</v>
      </c>
    </row>
    <row r="11" spans="1:10" x14ac:dyDescent="0.25">
      <c r="B11" s="74">
        <f>Inversiones!B13</f>
        <v>0</v>
      </c>
      <c r="C11" s="74" t="str">
        <f>Inversiones!C13</f>
        <v>EQUIPO</v>
      </c>
      <c r="D11" s="74">
        <f>Inversiones!D13</f>
        <v>1</v>
      </c>
      <c r="E11" s="322">
        <f>Inversiones!E13</f>
        <v>0</v>
      </c>
      <c r="F11" s="322">
        <f>Inversiones!F13</f>
        <v>0</v>
      </c>
      <c r="G11" s="341">
        <v>0.15</v>
      </c>
      <c r="H11" s="323">
        <v>5</v>
      </c>
      <c r="I11" s="323">
        <f t="shared" si="0"/>
        <v>0</v>
      </c>
      <c r="J11" s="323">
        <f t="shared" si="2"/>
        <v>0</v>
      </c>
    </row>
    <row r="12" spans="1:10" x14ac:dyDescent="0.25">
      <c r="B12" s="74">
        <f>Inversiones!B14</f>
        <v>0</v>
      </c>
      <c r="C12" s="74" t="str">
        <f>Inversiones!C14</f>
        <v>EQUIPO</v>
      </c>
      <c r="D12" s="74">
        <f>Inversiones!D14</f>
        <v>1</v>
      </c>
      <c r="E12" s="322">
        <f>Inversiones!E14</f>
        <v>0</v>
      </c>
      <c r="F12" s="322">
        <f>Inversiones!F14</f>
        <v>0</v>
      </c>
      <c r="G12" s="341">
        <v>0.15</v>
      </c>
      <c r="H12" s="323">
        <v>5</v>
      </c>
      <c r="I12" s="323">
        <f>F12/H12</f>
        <v>0</v>
      </c>
      <c r="J12" s="323">
        <f t="shared" si="2"/>
        <v>0</v>
      </c>
    </row>
    <row r="13" spans="1:10" x14ac:dyDescent="0.25">
      <c r="B13" s="74">
        <f>Inversiones!B15</f>
        <v>0</v>
      </c>
      <c r="C13" s="74" t="str">
        <f>Inversiones!C15</f>
        <v>EQUIPO</v>
      </c>
      <c r="D13" s="74">
        <f>Inversiones!D15</f>
        <v>1</v>
      </c>
      <c r="E13" s="322">
        <f>Inversiones!E15</f>
        <v>0</v>
      </c>
      <c r="F13" s="322">
        <f>Inversiones!F15</f>
        <v>0</v>
      </c>
      <c r="G13" s="341">
        <v>0.15</v>
      </c>
      <c r="H13" s="323">
        <v>5</v>
      </c>
      <c r="I13" s="323">
        <f>F13/H13</f>
        <v>0</v>
      </c>
      <c r="J13" s="323">
        <f t="shared" ref="J13:J18" si="3">F13-I13</f>
        <v>0</v>
      </c>
    </row>
    <row r="14" spans="1:10" x14ac:dyDescent="0.25">
      <c r="B14" s="74">
        <f>Inversiones!B16</f>
        <v>0</v>
      </c>
      <c r="C14" s="74" t="str">
        <f>Inversiones!C16</f>
        <v>EQUIPO</v>
      </c>
      <c r="D14" s="74">
        <f>Inversiones!D16</f>
        <v>1</v>
      </c>
      <c r="E14" s="322">
        <f>Inversiones!E16</f>
        <v>0</v>
      </c>
      <c r="F14" s="322">
        <f>Inversiones!F16</f>
        <v>0</v>
      </c>
      <c r="G14" s="341">
        <v>0.15</v>
      </c>
      <c r="H14" s="323">
        <v>5</v>
      </c>
      <c r="I14" s="323">
        <f t="shared" ref="I14:I18" si="4">F14/H14</f>
        <v>0</v>
      </c>
      <c r="J14" s="323">
        <f t="shared" si="3"/>
        <v>0</v>
      </c>
    </row>
    <row r="15" spans="1:10" x14ac:dyDescent="0.25">
      <c r="B15" s="74">
        <f>Inversiones!B17</f>
        <v>0</v>
      </c>
      <c r="C15" s="74" t="str">
        <f>Inversiones!C17</f>
        <v>EQUIPO</v>
      </c>
      <c r="D15" s="74">
        <f>Inversiones!D17</f>
        <v>1</v>
      </c>
      <c r="E15" s="322">
        <f>Inversiones!E17</f>
        <v>0</v>
      </c>
      <c r="F15" s="322">
        <f>Inversiones!F17</f>
        <v>0</v>
      </c>
      <c r="G15" s="341">
        <v>0.15</v>
      </c>
      <c r="H15" s="323">
        <v>5</v>
      </c>
      <c r="I15" s="323">
        <f t="shared" si="4"/>
        <v>0</v>
      </c>
      <c r="J15" s="323">
        <f t="shared" si="3"/>
        <v>0</v>
      </c>
    </row>
    <row r="16" spans="1:10" x14ac:dyDescent="0.25">
      <c r="B16" s="74">
        <f>Inversiones!B18</f>
        <v>0</v>
      </c>
      <c r="C16" s="74" t="str">
        <f>Inversiones!C18</f>
        <v>EQUIPO</v>
      </c>
      <c r="D16" s="74">
        <f>Inversiones!D18</f>
        <v>1</v>
      </c>
      <c r="E16" s="322">
        <f>Inversiones!E18</f>
        <v>0</v>
      </c>
      <c r="F16" s="322">
        <f>Inversiones!F18</f>
        <v>0</v>
      </c>
      <c r="G16" s="341">
        <v>0.15</v>
      </c>
      <c r="H16" s="323">
        <v>5</v>
      </c>
      <c r="I16" s="323">
        <f t="shared" si="4"/>
        <v>0</v>
      </c>
      <c r="J16" s="323">
        <f t="shared" si="3"/>
        <v>0</v>
      </c>
    </row>
    <row r="17" spans="2:10" x14ac:dyDescent="0.25">
      <c r="B17" s="74">
        <f>Inversiones!B19</f>
        <v>0</v>
      </c>
      <c r="C17" s="74" t="str">
        <f>Inversiones!C19</f>
        <v>EQUIPO</v>
      </c>
      <c r="D17" s="74">
        <f>Inversiones!D19</f>
        <v>1</v>
      </c>
      <c r="E17" s="322">
        <f>Inversiones!E19</f>
        <v>0</v>
      </c>
      <c r="F17" s="322">
        <f>Inversiones!F19</f>
        <v>0</v>
      </c>
      <c r="G17" s="341">
        <v>0.15</v>
      </c>
      <c r="H17" s="323">
        <v>5</v>
      </c>
      <c r="I17" s="323">
        <f t="shared" si="4"/>
        <v>0</v>
      </c>
      <c r="J17" s="323">
        <f t="shared" si="3"/>
        <v>0</v>
      </c>
    </row>
    <row r="18" spans="2:10" x14ac:dyDescent="0.25">
      <c r="B18" s="74">
        <f>Inversiones!B20</f>
        <v>0</v>
      </c>
      <c r="C18" s="74" t="str">
        <f>Inversiones!C20</f>
        <v>EQUIPO</v>
      </c>
      <c r="D18" s="74">
        <f>Inversiones!D20</f>
        <v>1</v>
      </c>
      <c r="E18" s="322">
        <f>Inversiones!E20</f>
        <v>0</v>
      </c>
      <c r="F18" s="322">
        <f>Inversiones!F20</f>
        <v>0</v>
      </c>
      <c r="G18" s="341">
        <v>0.15</v>
      </c>
      <c r="H18" s="323">
        <v>5</v>
      </c>
      <c r="I18" s="323">
        <f t="shared" si="4"/>
        <v>0</v>
      </c>
      <c r="J18" s="323">
        <f t="shared" si="3"/>
        <v>0</v>
      </c>
    </row>
    <row r="19" spans="2:10" x14ac:dyDescent="0.25">
      <c r="B19" s="74"/>
      <c r="C19" s="74"/>
      <c r="D19" s="74"/>
      <c r="E19" s="322"/>
      <c r="F19" s="322"/>
      <c r="G19" s="322"/>
      <c r="H19" s="323"/>
      <c r="I19" s="323"/>
      <c r="J19" s="323"/>
    </row>
    <row r="20" spans="2:10" x14ac:dyDescent="0.25">
      <c r="B20" s="74"/>
      <c r="C20" s="74"/>
      <c r="D20" s="74"/>
      <c r="E20" s="322"/>
      <c r="F20" s="322"/>
      <c r="G20" s="322"/>
      <c r="H20" s="323"/>
      <c r="I20" s="323"/>
      <c r="J20" s="323"/>
    </row>
    <row r="21" spans="2:10" x14ac:dyDescent="0.25">
      <c r="B21" s="74"/>
      <c r="C21" s="74"/>
      <c r="D21" s="74"/>
      <c r="E21" s="322"/>
      <c r="F21" s="322"/>
      <c r="G21" s="322"/>
      <c r="H21" s="323"/>
      <c r="I21" s="323"/>
      <c r="J21" s="323"/>
    </row>
    <row r="22" spans="2:10" x14ac:dyDescent="0.25">
      <c r="B22" s="74"/>
      <c r="C22" s="74"/>
      <c r="D22" s="74"/>
      <c r="E22" s="322"/>
      <c r="F22" s="322"/>
      <c r="G22" s="322"/>
      <c r="H22" s="323"/>
      <c r="I22" s="323"/>
      <c r="J22" s="323"/>
    </row>
    <row r="23" spans="2:10" x14ac:dyDescent="0.25">
      <c r="B23" s="74"/>
      <c r="C23" s="74"/>
      <c r="D23" s="74"/>
      <c r="E23" s="322"/>
      <c r="F23" s="322"/>
      <c r="G23" s="322"/>
      <c r="H23" s="323"/>
      <c r="I23" s="323"/>
      <c r="J23" s="323"/>
    </row>
    <row r="24" spans="2:10" x14ac:dyDescent="0.25">
      <c r="B24" s="74"/>
      <c r="C24" s="74"/>
      <c r="D24" s="74"/>
      <c r="E24" s="322"/>
      <c r="F24" s="322"/>
      <c r="G24" s="322"/>
      <c r="H24" s="323"/>
      <c r="I24" s="323"/>
      <c r="J24" s="323"/>
    </row>
    <row r="25" spans="2:10" x14ac:dyDescent="0.25">
      <c r="B25" s="74"/>
      <c r="C25" s="74"/>
      <c r="D25" s="74"/>
      <c r="E25" s="322"/>
      <c r="F25" s="322"/>
      <c r="G25" s="322"/>
      <c r="H25" s="323"/>
      <c r="I25" s="323"/>
      <c r="J25" s="323"/>
    </row>
    <row r="26" spans="2:10" x14ac:dyDescent="0.25">
      <c r="B26" s="74"/>
      <c r="C26" s="74"/>
      <c r="D26" s="74"/>
      <c r="E26" s="322"/>
      <c r="F26" s="322"/>
      <c r="G26" s="322"/>
      <c r="H26" s="323"/>
      <c r="I26" s="323"/>
      <c r="J26" s="323"/>
    </row>
    <row r="27" spans="2:10" x14ac:dyDescent="0.25">
      <c r="B27" s="74"/>
      <c r="C27" s="74"/>
      <c r="D27" s="74"/>
      <c r="E27" s="322"/>
      <c r="F27" s="322"/>
      <c r="G27" s="322"/>
      <c r="H27" s="323"/>
      <c r="I27" s="323"/>
      <c r="J27" s="323"/>
    </row>
    <row r="28" spans="2:10" x14ac:dyDescent="0.25">
      <c r="B28" s="74"/>
      <c r="C28" s="74"/>
      <c r="D28" s="74"/>
      <c r="E28" s="322"/>
      <c r="F28" s="322"/>
      <c r="G28" s="322"/>
      <c r="H28" s="323"/>
      <c r="I28" s="323"/>
      <c r="J28" s="323"/>
    </row>
    <row r="29" spans="2:10" x14ac:dyDescent="0.25">
      <c r="B29" s="351" t="s">
        <v>54</v>
      </c>
      <c r="C29" s="352"/>
      <c r="D29" s="352"/>
      <c r="E29" s="353"/>
      <c r="F29" s="354">
        <f>SUM(F4:F28)</f>
        <v>36694</v>
      </c>
      <c r="G29" s="354"/>
      <c r="H29" s="355">
        <f>SUM(H4:H28)</f>
        <v>96.66</v>
      </c>
      <c r="I29" s="355">
        <f>SUM(I4:I28)</f>
        <v>8107.0932132132129</v>
      </c>
      <c r="J29" s="355">
        <f>SUM(J4:J28)</f>
        <v>28586.906786786789</v>
      </c>
    </row>
  </sheetData>
  <hyperlinks>
    <hyperlink ref="A1" location="Portada!A21" display="INDIC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H6" sqref="H6:M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O74"/>
  <sheetViews>
    <sheetView showGridLines="0" topLeftCell="A43" zoomScaleNormal="100" workbookViewId="0">
      <selection activeCell="C57" sqref="C57"/>
    </sheetView>
  </sheetViews>
  <sheetFormatPr baseColWidth="10" defaultRowHeight="15" x14ac:dyDescent="0.25"/>
  <cols>
    <col min="1" max="1" width="7.85546875" style="4" bestFit="1" customWidth="1"/>
    <col min="2" max="2" width="33.5703125" style="4" customWidth="1"/>
    <col min="3" max="3" width="10.140625" style="4" customWidth="1"/>
    <col min="4" max="4" width="14.5703125" style="4" customWidth="1"/>
    <col min="5" max="5" width="15" style="4" customWidth="1"/>
    <col min="6" max="6" width="13.140625" style="4" bestFit="1" customWidth="1"/>
    <col min="7" max="7" width="13.5703125" style="4" customWidth="1"/>
    <col min="8" max="8" width="10.85546875" style="4" bestFit="1" customWidth="1"/>
    <col min="9" max="9" width="5.42578125" style="4" bestFit="1" customWidth="1"/>
    <col min="10" max="11" width="8.7109375" style="4" bestFit="1" customWidth="1"/>
    <col min="12" max="13" width="9.5703125" style="4" bestFit="1" customWidth="1"/>
    <col min="14" max="14" width="8.7109375" style="4" bestFit="1" customWidth="1"/>
    <col min="15" max="15" width="14.5703125" style="4" customWidth="1"/>
    <col min="16" max="16384" width="11.42578125" style="4"/>
  </cols>
  <sheetData>
    <row r="1" spans="1:13" ht="26.25" x14ac:dyDescent="0.4">
      <c r="A1" s="454" t="s">
        <v>240</v>
      </c>
      <c r="B1" s="613" t="s">
        <v>25</v>
      </c>
      <c r="C1" s="613"/>
      <c r="D1" s="613"/>
      <c r="E1" s="613"/>
      <c r="F1" s="613"/>
      <c r="G1" s="613"/>
      <c r="H1" s="613"/>
      <c r="I1" s="613"/>
    </row>
    <row r="2" spans="1:13" ht="21" x14ac:dyDescent="0.35">
      <c r="B2" s="614" t="str">
        <f>Inversiones!B2:J2</f>
        <v>TORTILLERIA TIO FRANK</v>
      </c>
      <c r="C2" s="614"/>
      <c r="D2" s="614"/>
      <c r="E2" s="614"/>
      <c r="F2" s="614"/>
      <c r="G2" s="614"/>
      <c r="H2" s="614"/>
      <c r="I2" s="614"/>
    </row>
    <row r="3" spans="1:13" ht="18.75" x14ac:dyDescent="0.3">
      <c r="B3" s="70" t="s">
        <v>200</v>
      </c>
      <c r="C3" s="70"/>
      <c r="D3" s="70"/>
      <c r="E3" s="5"/>
      <c r="F3" s="103"/>
      <c r="G3" s="101"/>
      <c r="H3" s="605" t="s">
        <v>244</v>
      </c>
      <c r="I3" s="606"/>
      <c r="J3" s="606"/>
      <c r="K3" s="606"/>
      <c r="L3" s="606"/>
      <c r="M3" s="606"/>
    </row>
    <row r="4" spans="1:13" s="73" customFormat="1" ht="33" customHeight="1" x14ac:dyDescent="0.25">
      <c r="B4" s="185" t="s">
        <v>116</v>
      </c>
      <c r="C4" s="185" t="s">
        <v>117</v>
      </c>
      <c r="D4" s="185" t="s">
        <v>133</v>
      </c>
      <c r="E4" s="185" t="s">
        <v>118</v>
      </c>
      <c r="F4" s="185" t="s">
        <v>212</v>
      </c>
      <c r="G4" s="185" t="s">
        <v>121</v>
      </c>
      <c r="H4"/>
      <c r="I4" s="96"/>
    </row>
    <row r="5" spans="1:13" x14ac:dyDescent="0.25">
      <c r="B5" s="577" t="s">
        <v>252</v>
      </c>
      <c r="C5" s="578" t="s">
        <v>253</v>
      </c>
      <c r="D5" s="579">
        <v>600</v>
      </c>
      <c r="E5" s="384">
        <v>129.31</v>
      </c>
      <c r="F5" s="8">
        <f>D5*E5</f>
        <v>77586</v>
      </c>
      <c r="G5" s="8">
        <f>F5*12</f>
        <v>931032</v>
      </c>
      <c r="H5"/>
      <c r="I5" s="96"/>
      <c r="K5" s="106"/>
    </row>
    <row r="6" spans="1:13" x14ac:dyDescent="0.25">
      <c r="B6" s="577"/>
      <c r="C6" s="578"/>
      <c r="D6" s="579"/>
      <c r="E6" s="384">
        <v>0</v>
      </c>
      <c r="F6" s="8">
        <f t="shared" ref="F6:F19" si="0">D6*E6</f>
        <v>0</v>
      </c>
      <c r="G6" s="8">
        <f t="shared" ref="G6:G18" si="1">F6*12</f>
        <v>0</v>
      </c>
      <c r="H6"/>
      <c r="I6"/>
      <c r="K6" s="106"/>
      <c r="L6" s="95"/>
    </row>
    <row r="7" spans="1:13" x14ac:dyDescent="0.25">
      <c r="B7" s="577"/>
      <c r="C7" s="578"/>
      <c r="D7" s="579"/>
      <c r="E7" s="384"/>
      <c r="F7" s="8">
        <f t="shared" si="0"/>
        <v>0</v>
      </c>
      <c r="G7" s="8">
        <f t="shared" si="1"/>
        <v>0</v>
      </c>
      <c r="H7"/>
      <c r="I7"/>
      <c r="K7" s="95"/>
      <c r="L7" s="95"/>
    </row>
    <row r="8" spans="1:13" x14ac:dyDescent="0.25">
      <c r="B8" s="577"/>
      <c r="C8" s="578"/>
      <c r="D8" s="579"/>
      <c r="E8" s="384"/>
      <c r="F8" s="8">
        <f t="shared" si="0"/>
        <v>0</v>
      </c>
      <c r="G8" s="8">
        <f t="shared" si="1"/>
        <v>0</v>
      </c>
      <c r="H8"/>
      <c r="I8"/>
    </row>
    <row r="9" spans="1:13" x14ac:dyDescent="0.25">
      <c r="B9" s="577"/>
      <c r="C9" s="578"/>
      <c r="D9" s="579"/>
      <c r="E9" s="384"/>
      <c r="F9" s="8">
        <f t="shared" si="0"/>
        <v>0</v>
      </c>
      <c r="G9" s="8">
        <f t="shared" si="1"/>
        <v>0</v>
      </c>
      <c r="H9"/>
      <c r="I9"/>
      <c r="K9" s="95"/>
    </row>
    <row r="10" spans="1:13" x14ac:dyDescent="0.25">
      <c r="B10" s="577"/>
      <c r="C10" s="578"/>
      <c r="D10" s="579"/>
      <c r="E10" s="384"/>
      <c r="F10" s="8">
        <f t="shared" si="0"/>
        <v>0</v>
      </c>
      <c r="G10" s="8">
        <f t="shared" si="1"/>
        <v>0</v>
      </c>
      <c r="H10"/>
      <c r="I10"/>
    </row>
    <row r="11" spans="1:13" x14ac:dyDescent="0.25">
      <c r="B11" s="580"/>
      <c r="C11" s="581"/>
      <c r="D11" s="579"/>
      <c r="E11" s="384"/>
      <c r="F11" s="8">
        <f t="shared" si="0"/>
        <v>0</v>
      </c>
      <c r="G11" s="8">
        <f t="shared" si="1"/>
        <v>0</v>
      </c>
      <c r="H11"/>
      <c r="I11"/>
      <c r="K11" s="95"/>
    </row>
    <row r="12" spans="1:13" x14ac:dyDescent="0.25">
      <c r="B12" s="582"/>
      <c r="C12" s="581"/>
      <c r="D12" s="579"/>
      <c r="E12" s="384"/>
      <c r="F12" s="8">
        <f t="shared" si="0"/>
        <v>0</v>
      </c>
      <c r="G12" s="8">
        <f t="shared" si="1"/>
        <v>0</v>
      </c>
      <c r="H12"/>
      <c r="I12"/>
      <c r="K12" s="95"/>
    </row>
    <row r="13" spans="1:13" x14ac:dyDescent="0.25">
      <c r="B13" s="580"/>
      <c r="C13" s="581"/>
      <c r="D13" s="579"/>
      <c r="E13" s="384"/>
      <c r="F13" s="8">
        <f t="shared" si="0"/>
        <v>0</v>
      </c>
      <c r="G13" s="8">
        <f t="shared" si="1"/>
        <v>0</v>
      </c>
      <c r="H13"/>
      <c r="I13"/>
      <c r="K13" s="95"/>
    </row>
    <row r="14" spans="1:13" x14ac:dyDescent="0.25">
      <c r="B14" s="580"/>
      <c r="C14" s="581"/>
      <c r="D14" s="579"/>
      <c r="E14" s="384"/>
      <c r="F14" s="8">
        <f t="shared" si="0"/>
        <v>0</v>
      </c>
      <c r="G14" s="8">
        <f t="shared" si="1"/>
        <v>0</v>
      </c>
      <c r="H14"/>
      <c r="I14"/>
    </row>
    <row r="15" spans="1:13" x14ac:dyDescent="0.25">
      <c r="B15" s="582"/>
      <c r="C15" s="581"/>
      <c r="D15" s="579"/>
      <c r="E15" s="384"/>
      <c r="F15" s="8">
        <f t="shared" si="0"/>
        <v>0</v>
      </c>
      <c r="G15" s="8">
        <f t="shared" si="1"/>
        <v>0</v>
      </c>
      <c r="H15"/>
      <c r="I15"/>
    </row>
    <row r="16" spans="1:13" x14ac:dyDescent="0.25">
      <c r="B16" s="580"/>
      <c r="C16" s="581"/>
      <c r="D16" s="579"/>
      <c r="E16" s="384"/>
      <c r="F16" s="8">
        <f t="shared" si="0"/>
        <v>0</v>
      </c>
      <c r="G16" s="8">
        <f t="shared" si="1"/>
        <v>0</v>
      </c>
      <c r="H16"/>
      <c r="I16"/>
    </row>
    <row r="17" spans="2:14" x14ac:dyDescent="0.25">
      <c r="B17" s="580"/>
      <c r="C17" s="581"/>
      <c r="D17" s="579"/>
      <c r="E17" s="384"/>
      <c r="F17" s="8">
        <f t="shared" si="0"/>
        <v>0</v>
      </c>
      <c r="G17" s="8">
        <f>F17*12</f>
        <v>0</v>
      </c>
      <c r="H17"/>
      <c r="I17"/>
    </row>
    <row r="18" spans="2:14" x14ac:dyDescent="0.25">
      <c r="B18" s="582"/>
      <c r="C18" s="581"/>
      <c r="D18" s="579"/>
      <c r="E18" s="384"/>
      <c r="F18" s="8">
        <f t="shared" si="0"/>
        <v>0</v>
      </c>
      <c r="G18" s="8">
        <f t="shared" si="1"/>
        <v>0</v>
      </c>
      <c r="H18"/>
      <c r="I18"/>
    </row>
    <row r="19" spans="2:14" ht="15.75" thickBot="1" x14ac:dyDescent="0.3">
      <c r="B19" s="580"/>
      <c r="C19" s="581"/>
      <c r="D19" s="579"/>
      <c r="E19" s="384"/>
      <c r="F19" s="8">
        <f t="shared" si="0"/>
        <v>0</v>
      </c>
      <c r="G19" s="337">
        <f>F19*12</f>
        <v>0</v>
      </c>
      <c r="H19"/>
      <c r="I19"/>
    </row>
    <row r="20" spans="2:14" ht="15.75" thickBot="1" x14ac:dyDescent="0.3">
      <c r="B20" s="181"/>
      <c r="C20" s="186"/>
      <c r="D20" s="206"/>
      <c r="E20" s="206"/>
      <c r="F20" s="339">
        <f>SUM(F5:F19)</f>
        <v>77586</v>
      </c>
      <c r="G20" s="338">
        <f>SUM(G5:G19)</f>
        <v>931032</v>
      </c>
      <c r="H20"/>
      <c r="J20" s="99"/>
      <c r="K20"/>
      <c r="L20"/>
      <c r="M20"/>
      <c r="N20"/>
    </row>
    <row r="21" spans="2:14" ht="18.75" x14ac:dyDescent="0.3">
      <c r="C21" s="186"/>
      <c r="D21" s="206"/>
      <c r="E21" s="206"/>
      <c r="F21" s="335"/>
      <c r="G21" s="335"/>
      <c r="H21" s="336"/>
      <c r="I21" s="70"/>
      <c r="J21" s="99"/>
      <c r="K21"/>
      <c r="L21"/>
      <c r="M21"/>
      <c r="N21"/>
    </row>
    <row r="22" spans="2:14" ht="18.75" x14ac:dyDescent="0.3">
      <c r="B22" s="181"/>
      <c r="C22" s="186"/>
      <c r="D22" s="206"/>
      <c r="E22" s="206"/>
      <c r="F22" s="335"/>
      <c r="G22" s="335"/>
      <c r="H22" s="336"/>
      <c r="I22" s="70"/>
      <c r="J22" s="99"/>
      <c r="K22"/>
      <c r="L22"/>
      <c r="M22"/>
      <c r="N22"/>
    </row>
    <row r="23" spans="2:14" ht="18.75" x14ac:dyDescent="0.3">
      <c r="B23" s="181"/>
      <c r="C23" s="186"/>
      <c r="D23" s="206"/>
      <c r="E23" s="206"/>
      <c r="F23" s="335"/>
      <c r="G23" s="335"/>
      <c r="H23" s="336"/>
      <c r="I23" s="70"/>
      <c r="J23" s="99"/>
      <c r="K23"/>
      <c r="L23"/>
      <c r="M23"/>
      <c r="N23"/>
    </row>
    <row r="24" spans="2:14" ht="18.75" x14ac:dyDescent="0.3">
      <c r="B24" s="605" t="s">
        <v>244</v>
      </c>
      <c r="C24" s="606"/>
      <c r="H24"/>
      <c r="I24"/>
      <c r="J24"/>
      <c r="K24"/>
      <c r="L24"/>
      <c r="M24"/>
      <c r="N24"/>
    </row>
    <row r="25" spans="2:14" x14ac:dyDescent="0.25">
      <c r="C25" s="186"/>
      <c r="D25" s="187"/>
      <c r="E25" s="183"/>
      <c r="F25" s="183"/>
      <c r="G25" s="183"/>
      <c r="H25" s="184"/>
      <c r="I25"/>
      <c r="J25"/>
      <c r="K25"/>
      <c r="L25"/>
      <c r="M25"/>
      <c r="N25"/>
    </row>
    <row r="26" spans="2:14" ht="25.5" x14ac:dyDescent="0.25">
      <c r="B26" s="185" t="s">
        <v>122</v>
      </c>
      <c r="C26" s="185" t="s">
        <v>125</v>
      </c>
      <c r="D26" s="185" t="s">
        <v>195</v>
      </c>
      <c r="E26" s="185" t="s">
        <v>124</v>
      </c>
      <c r="G26" s="183"/>
      <c r="H26" s="184"/>
      <c r="I26"/>
      <c r="J26"/>
      <c r="K26"/>
      <c r="L26"/>
      <c r="M26"/>
      <c r="N26"/>
    </row>
    <row r="27" spans="2:14" ht="18.75" x14ac:dyDescent="0.3">
      <c r="B27" s="70" t="s">
        <v>193</v>
      </c>
      <c r="C27" s="70"/>
      <c r="D27" s="70"/>
      <c r="E27" s="70"/>
      <c r="G27" s="183"/>
      <c r="H27" s="184"/>
      <c r="I27"/>
      <c r="J27"/>
      <c r="K27"/>
      <c r="L27"/>
      <c r="M27"/>
      <c r="N27"/>
    </row>
    <row r="28" spans="2:14" x14ac:dyDescent="0.25">
      <c r="B28" s="582" t="s">
        <v>254</v>
      </c>
      <c r="C28" s="581" t="s">
        <v>203</v>
      </c>
      <c r="D28" s="440">
        <v>560.34</v>
      </c>
      <c r="E28" s="8">
        <f>D28*12</f>
        <v>6724.08</v>
      </c>
      <c r="G28" s="183"/>
      <c r="H28" s="184"/>
      <c r="I28"/>
      <c r="J28"/>
      <c r="K28"/>
      <c r="L28"/>
      <c r="M28"/>
      <c r="N28"/>
    </row>
    <row r="29" spans="2:14" x14ac:dyDescent="0.25">
      <c r="B29" s="582" t="s">
        <v>255</v>
      </c>
      <c r="C29" s="581" t="s">
        <v>203</v>
      </c>
      <c r="D29" s="440">
        <v>517.24</v>
      </c>
      <c r="E29" s="8">
        <f t="shared" ref="E29:E45" si="2">D29*12</f>
        <v>6206.88</v>
      </c>
      <c r="G29" s="183"/>
      <c r="H29" s="184"/>
      <c r="I29"/>
      <c r="J29"/>
      <c r="K29"/>
      <c r="L29"/>
      <c r="M29"/>
      <c r="N29"/>
    </row>
    <row r="30" spans="2:14" x14ac:dyDescent="0.25">
      <c r="B30" s="582" t="s">
        <v>256</v>
      </c>
      <c r="C30" s="581" t="s">
        <v>203</v>
      </c>
      <c r="D30" s="440">
        <v>1724.14</v>
      </c>
      <c r="E30" s="8">
        <f t="shared" si="2"/>
        <v>20689.68</v>
      </c>
      <c r="G30" s="183"/>
      <c r="H30" s="184"/>
      <c r="I30"/>
      <c r="J30"/>
      <c r="K30"/>
      <c r="L30"/>
      <c r="M30"/>
      <c r="N30"/>
    </row>
    <row r="31" spans="2:14" x14ac:dyDescent="0.25">
      <c r="B31" s="582" t="s">
        <v>196</v>
      </c>
      <c r="C31" s="581" t="s">
        <v>203</v>
      </c>
      <c r="D31" s="440">
        <v>431.03</v>
      </c>
      <c r="E31" s="8">
        <f t="shared" si="2"/>
        <v>5172.3599999999997</v>
      </c>
      <c r="G31" s="183"/>
      <c r="H31" s="184"/>
      <c r="I31"/>
      <c r="J31"/>
      <c r="K31"/>
      <c r="L31"/>
      <c r="M31"/>
      <c r="N31"/>
    </row>
    <row r="32" spans="2:14" x14ac:dyDescent="0.25">
      <c r="B32" s="582" t="s">
        <v>257</v>
      </c>
      <c r="C32" s="581" t="s">
        <v>203</v>
      </c>
      <c r="D32" s="440">
        <v>333.62</v>
      </c>
      <c r="E32" s="8">
        <f t="shared" si="2"/>
        <v>4003.44</v>
      </c>
      <c r="G32" s="183"/>
      <c r="H32" s="184"/>
      <c r="I32"/>
      <c r="J32"/>
      <c r="K32"/>
      <c r="L32"/>
      <c r="M32"/>
      <c r="N32"/>
    </row>
    <row r="33" spans="1:14" ht="18.75" x14ac:dyDescent="0.3">
      <c r="B33" s="340" t="s">
        <v>197</v>
      </c>
      <c r="C33" s="186"/>
      <c r="D33" s="206"/>
      <c r="E33" s="183"/>
      <c r="G33" s="183"/>
      <c r="H33" s="184"/>
      <c r="I33"/>
      <c r="J33"/>
      <c r="K33"/>
      <c r="L33"/>
      <c r="M33"/>
      <c r="N33"/>
    </row>
    <row r="34" spans="1:14" ht="25.5" x14ac:dyDescent="0.25">
      <c r="B34" s="185" t="s">
        <v>194</v>
      </c>
      <c r="C34" s="185" t="s">
        <v>198</v>
      </c>
      <c r="D34" s="185" t="s">
        <v>199</v>
      </c>
      <c r="E34" s="185" t="s">
        <v>202</v>
      </c>
      <c r="G34" s="183"/>
      <c r="H34" s="184"/>
      <c r="I34"/>
      <c r="J34"/>
      <c r="K34"/>
      <c r="L34"/>
      <c r="M34"/>
      <c r="N34"/>
    </row>
    <row r="35" spans="1:14" x14ac:dyDescent="0.25">
      <c r="B35" s="582" t="s">
        <v>261</v>
      </c>
      <c r="C35" s="581">
        <v>266.67</v>
      </c>
      <c r="D35" s="440">
        <f>C35*30</f>
        <v>8000.1</v>
      </c>
      <c r="E35" s="8">
        <f>D35*12</f>
        <v>96001.200000000012</v>
      </c>
      <c r="G35" s="183"/>
      <c r="H35" s="184"/>
      <c r="I35"/>
      <c r="J35"/>
      <c r="K35"/>
      <c r="L35"/>
      <c r="M35"/>
      <c r="N35"/>
    </row>
    <row r="36" spans="1:14" x14ac:dyDescent="0.25">
      <c r="B36" s="582" t="s">
        <v>258</v>
      </c>
      <c r="C36" s="581">
        <v>266.67</v>
      </c>
      <c r="D36" s="440">
        <f t="shared" ref="D36:D39" si="3">C36*30</f>
        <v>8000.1</v>
      </c>
      <c r="E36" s="8">
        <f t="shared" si="2"/>
        <v>96001.200000000012</v>
      </c>
      <c r="G36" s="183"/>
      <c r="H36" s="184"/>
      <c r="I36"/>
      <c r="J36"/>
      <c r="K36"/>
      <c r="L36"/>
      <c r="M36"/>
      <c r="N36"/>
    </row>
    <row r="37" spans="1:14" x14ac:dyDescent="0.25">
      <c r="B37" s="582" t="s">
        <v>259</v>
      </c>
      <c r="C37" s="581">
        <v>266.67</v>
      </c>
      <c r="D37" s="440">
        <f t="shared" si="3"/>
        <v>8000.1</v>
      </c>
      <c r="E37" s="8">
        <f t="shared" si="2"/>
        <v>96001.200000000012</v>
      </c>
      <c r="G37" s="183"/>
      <c r="H37" s="184"/>
      <c r="I37"/>
      <c r="J37"/>
      <c r="K37"/>
      <c r="L37"/>
      <c r="M37"/>
      <c r="N37"/>
    </row>
    <row r="38" spans="1:14" x14ac:dyDescent="0.25">
      <c r="B38" s="582" t="s">
        <v>260</v>
      </c>
      <c r="C38" s="581">
        <v>266.67</v>
      </c>
      <c r="D38" s="440">
        <f t="shared" si="3"/>
        <v>8000.1</v>
      </c>
      <c r="E38" s="8">
        <f t="shared" si="2"/>
        <v>96001.200000000012</v>
      </c>
      <c r="G38" s="183"/>
      <c r="H38" s="184"/>
      <c r="I38"/>
      <c r="J38"/>
      <c r="K38"/>
      <c r="L38"/>
      <c r="M38"/>
      <c r="N38"/>
    </row>
    <row r="39" spans="1:14" x14ac:dyDescent="0.25">
      <c r="B39" s="582" t="s">
        <v>262</v>
      </c>
      <c r="C39" s="581">
        <v>266.67</v>
      </c>
      <c r="D39" s="440">
        <f t="shared" si="3"/>
        <v>8000.1</v>
      </c>
      <c r="E39" s="8">
        <f t="shared" si="2"/>
        <v>96001.200000000012</v>
      </c>
      <c r="G39" s="183"/>
      <c r="H39" s="184"/>
      <c r="I39"/>
      <c r="J39"/>
      <c r="K39"/>
      <c r="L39"/>
      <c r="M39"/>
      <c r="N39"/>
    </row>
    <row r="40" spans="1:14" ht="18.75" x14ac:dyDescent="0.3">
      <c r="B40" s="70" t="s">
        <v>201</v>
      </c>
      <c r="C40" s="70"/>
      <c r="D40" s="70"/>
      <c r="E40" s="70"/>
      <c r="G40" s="183"/>
      <c r="H40" s="184"/>
      <c r="I40"/>
      <c r="J40"/>
      <c r="K40"/>
      <c r="L40"/>
      <c r="M40"/>
      <c r="N40"/>
    </row>
    <row r="41" spans="1:14" x14ac:dyDescent="0.25">
      <c r="B41" s="582" t="s">
        <v>263</v>
      </c>
      <c r="C41" s="581" t="s">
        <v>215</v>
      </c>
      <c r="D41" s="440">
        <v>689.66</v>
      </c>
      <c r="E41" s="8">
        <f t="shared" si="2"/>
        <v>8275.92</v>
      </c>
      <c r="G41" s="183"/>
      <c r="H41" s="184"/>
      <c r="I41"/>
      <c r="J41"/>
      <c r="K41"/>
      <c r="L41"/>
      <c r="M41"/>
      <c r="N41"/>
    </row>
    <row r="42" spans="1:14" x14ac:dyDescent="0.25">
      <c r="B42" s="582"/>
      <c r="C42" s="581" t="s">
        <v>203</v>
      </c>
      <c r="D42" s="440">
        <v>0</v>
      </c>
      <c r="E42" s="8">
        <f t="shared" si="2"/>
        <v>0</v>
      </c>
      <c r="G42" s="183"/>
      <c r="H42" s="184"/>
      <c r="I42"/>
      <c r="J42"/>
      <c r="K42"/>
      <c r="L42"/>
      <c r="M42"/>
      <c r="N42"/>
    </row>
    <row r="43" spans="1:14" x14ac:dyDescent="0.25">
      <c r="B43" s="582"/>
      <c r="C43" s="581" t="s">
        <v>216</v>
      </c>
      <c r="D43" s="440">
        <v>0</v>
      </c>
      <c r="E43" s="8">
        <f t="shared" si="2"/>
        <v>0</v>
      </c>
      <c r="F43" s="437">
        <f>+D42/4</f>
        <v>0</v>
      </c>
      <c r="G43" s="438">
        <f>+F43*3</f>
        <v>0</v>
      </c>
      <c r="H43" s="184"/>
      <c r="I43"/>
      <c r="J43"/>
      <c r="K43"/>
      <c r="L43"/>
      <c r="M43"/>
      <c r="N43"/>
    </row>
    <row r="44" spans="1:14" x14ac:dyDescent="0.25">
      <c r="B44" s="583"/>
      <c r="C44" s="581" t="s">
        <v>95</v>
      </c>
      <c r="D44" s="440">
        <v>0</v>
      </c>
      <c r="E44" s="8">
        <f t="shared" si="2"/>
        <v>0</v>
      </c>
      <c r="F44" s="437">
        <f>+D42/4</f>
        <v>0</v>
      </c>
      <c r="G44" s="438"/>
      <c r="H44" s="184"/>
      <c r="I44"/>
      <c r="J44"/>
      <c r="K44"/>
      <c r="L44"/>
      <c r="M44"/>
      <c r="N44"/>
    </row>
    <row r="45" spans="1:14" x14ac:dyDescent="0.25">
      <c r="B45" s="582"/>
      <c r="C45" s="581"/>
      <c r="D45" s="440">
        <v>0</v>
      </c>
      <c r="E45" s="8">
        <f t="shared" si="2"/>
        <v>0</v>
      </c>
      <c r="F45" s="439">
        <f>SUM(F43:F44)</f>
        <v>0</v>
      </c>
      <c r="G45" s="438"/>
      <c r="H45" s="184"/>
      <c r="I45"/>
      <c r="J45"/>
      <c r="K45"/>
      <c r="L45"/>
      <c r="M45"/>
      <c r="N45"/>
    </row>
    <row r="46" spans="1:14" x14ac:dyDescent="0.25">
      <c r="B46" s="181"/>
      <c r="C46" s="186"/>
      <c r="D46" s="187"/>
      <c r="E46" s="183"/>
      <c r="F46" s="183"/>
      <c r="G46" s="183"/>
      <c r="H46" s="184"/>
      <c r="I46"/>
      <c r="J46"/>
      <c r="K46"/>
      <c r="L46"/>
      <c r="M46"/>
      <c r="N46"/>
    </row>
    <row r="47" spans="1:14" ht="18.75" x14ac:dyDescent="0.3">
      <c r="B47" s="605" t="s">
        <v>244</v>
      </c>
      <c r="C47" s="606"/>
      <c r="H47" s="184"/>
      <c r="I47"/>
      <c r="J47"/>
      <c r="K47"/>
      <c r="L47"/>
      <c r="M47"/>
      <c r="N47"/>
    </row>
    <row r="48" spans="1:14" ht="15.75" thickBot="1" x14ac:dyDescent="0.3">
      <c r="A48" s="180"/>
      <c r="B48" s="181"/>
      <c r="C48" s="182"/>
      <c r="D48" s="183"/>
      <c r="E48" s="183"/>
      <c r="F48" s="183">
        <f>E48*D48</f>
        <v>0</v>
      </c>
      <c r="G48" s="183">
        <f>D48+(D48*30%)</f>
        <v>0</v>
      </c>
      <c r="H48" s="184">
        <f>G48*E48</f>
        <v>0</v>
      </c>
      <c r="I48" s="183">
        <f>H48*12</f>
        <v>0</v>
      </c>
    </row>
    <row r="49" spans="2:15" x14ac:dyDescent="0.25">
      <c r="B49" s="615" t="s">
        <v>97</v>
      </c>
      <c r="C49" s="617" t="s">
        <v>94</v>
      </c>
      <c r="D49" s="617"/>
      <c r="E49" s="617"/>
      <c r="F49" s="617"/>
      <c r="G49" s="617"/>
      <c r="H49" s="617"/>
      <c r="I49" s="617"/>
      <c r="J49" s="617"/>
      <c r="K49" s="617"/>
      <c r="L49" s="617"/>
      <c r="M49" s="617"/>
      <c r="N49" s="617"/>
      <c r="O49" s="618"/>
    </row>
    <row r="50" spans="2:15" ht="15.75" thickBot="1" x14ac:dyDescent="0.3">
      <c r="B50" s="616"/>
      <c r="C50" s="196">
        <v>1</v>
      </c>
      <c r="D50" s="196">
        <v>2</v>
      </c>
      <c r="E50" s="196">
        <v>3</v>
      </c>
      <c r="F50" s="196">
        <v>4</v>
      </c>
      <c r="G50" s="196">
        <v>5</v>
      </c>
      <c r="H50" s="196">
        <v>6</v>
      </c>
      <c r="I50" s="196">
        <v>7</v>
      </c>
      <c r="J50" s="196">
        <v>8</v>
      </c>
      <c r="K50" s="196">
        <v>9</v>
      </c>
      <c r="L50" s="196">
        <v>10</v>
      </c>
      <c r="M50" s="196">
        <v>11</v>
      </c>
      <c r="N50" s="197">
        <v>12</v>
      </c>
      <c r="O50" s="197" t="s">
        <v>123</v>
      </c>
    </row>
    <row r="51" spans="2:15" ht="15.75" thickBot="1" x14ac:dyDescent="0.3">
      <c r="B51" s="188" t="s">
        <v>98</v>
      </c>
      <c r="C51" s="191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3"/>
      <c r="O51" s="193"/>
    </row>
    <row r="52" spans="2:15" ht="17.25" customHeight="1" x14ac:dyDescent="0.25">
      <c r="B52" s="441" t="s">
        <v>265</v>
      </c>
      <c r="C52" s="584">
        <v>200</v>
      </c>
      <c r="D52" s="584">
        <v>200</v>
      </c>
      <c r="E52" s="584">
        <f>D52</f>
        <v>200</v>
      </c>
      <c r="F52" s="584">
        <f t="shared" ref="F52:N52" si="4">E52</f>
        <v>200</v>
      </c>
      <c r="G52" s="584">
        <f t="shared" si="4"/>
        <v>200</v>
      </c>
      <c r="H52" s="584">
        <f t="shared" si="4"/>
        <v>200</v>
      </c>
      <c r="I52" s="584">
        <f t="shared" si="4"/>
        <v>200</v>
      </c>
      <c r="J52" s="584">
        <f t="shared" si="4"/>
        <v>200</v>
      </c>
      <c r="K52" s="584">
        <f t="shared" si="4"/>
        <v>200</v>
      </c>
      <c r="L52" s="584">
        <f t="shared" si="4"/>
        <v>200</v>
      </c>
      <c r="M52" s="584">
        <f t="shared" si="4"/>
        <v>200</v>
      </c>
      <c r="N52" s="584">
        <f t="shared" si="4"/>
        <v>200</v>
      </c>
      <c r="O52" s="514">
        <f>SUM(C52:N52)</f>
        <v>2400</v>
      </c>
    </row>
    <row r="53" spans="2:15" ht="17.25" customHeight="1" x14ac:dyDescent="0.25">
      <c r="B53" s="190" t="s">
        <v>99</v>
      </c>
      <c r="C53" s="444">
        <v>280</v>
      </c>
      <c r="D53" s="444">
        <f t="shared" ref="D53:D57" si="5">C53</f>
        <v>280</v>
      </c>
      <c r="E53" s="444">
        <f t="shared" ref="E53:N53" si="6">D53</f>
        <v>280</v>
      </c>
      <c r="F53" s="444">
        <f t="shared" si="6"/>
        <v>280</v>
      </c>
      <c r="G53" s="444">
        <f t="shared" si="6"/>
        <v>280</v>
      </c>
      <c r="H53" s="444">
        <f t="shared" si="6"/>
        <v>280</v>
      </c>
      <c r="I53" s="444">
        <f t="shared" si="6"/>
        <v>280</v>
      </c>
      <c r="J53" s="444">
        <f t="shared" si="6"/>
        <v>280</v>
      </c>
      <c r="K53" s="444">
        <f t="shared" si="6"/>
        <v>280</v>
      </c>
      <c r="L53" s="444">
        <f t="shared" si="6"/>
        <v>280</v>
      </c>
      <c r="M53" s="444">
        <f t="shared" si="6"/>
        <v>280</v>
      </c>
      <c r="N53" s="510">
        <f t="shared" si="6"/>
        <v>280</v>
      </c>
      <c r="O53" s="515">
        <f>O52*N53</f>
        <v>672000</v>
      </c>
    </row>
    <row r="54" spans="2:15" ht="17.25" customHeight="1" x14ac:dyDescent="0.25">
      <c r="B54" s="441" t="s">
        <v>264</v>
      </c>
      <c r="C54" s="584">
        <v>200</v>
      </c>
      <c r="D54" s="584">
        <v>200</v>
      </c>
      <c r="E54" s="584">
        <f>D54</f>
        <v>200</v>
      </c>
      <c r="F54" s="584">
        <f t="shared" ref="F54:N54" si="7">E54</f>
        <v>200</v>
      </c>
      <c r="G54" s="584">
        <f t="shared" si="7"/>
        <v>200</v>
      </c>
      <c r="H54" s="584">
        <f t="shared" si="7"/>
        <v>200</v>
      </c>
      <c r="I54" s="584">
        <f t="shared" si="7"/>
        <v>200</v>
      </c>
      <c r="J54" s="584">
        <f t="shared" si="7"/>
        <v>200</v>
      </c>
      <c r="K54" s="584">
        <f t="shared" si="7"/>
        <v>200</v>
      </c>
      <c r="L54" s="584">
        <f t="shared" si="7"/>
        <v>200</v>
      </c>
      <c r="M54" s="584">
        <f t="shared" si="7"/>
        <v>200</v>
      </c>
      <c r="N54" s="584">
        <f t="shared" si="7"/>
        <v>200</v>
      </c>
      <c r="O54" s="442">
        <f>SUM(C54:N54)</f>
        <v>2400</v>
      </c>
    </row>
    <row r="55" spans="2:15" ht="17.25" customHeight="1" x14ac:dyDescent="0.25">
      <c r="B55" s="190" t="s">
        <v>99</v>
      </c>
      <c r="C55" s="444">
        <f>'Costos totales'!C80</f>
        <v>280</v>
      </c>
      <c r="D55" s="444">
        <f t="shared" si="5"/>
        <v>280</v>
      </c>
      <c r="E55" s="444">
        <f t="shared" ref="E55:N55" si="8">D55</f>
        <v>280</v>
      </c>
      <c r="F55" s="444">
        <f t="shared" si="8"/>
        <v>280</v>
      </c>
      <c r="G55" s="444">
        <f t="shared" si="8"/>
        <v>280</v>
      </c>
      <c r="H55" s="444">
        <f t="shared" si="8"/>
        <v>280</v>
      </c>
      <c r="I55" s="444">
        <f t="shared" si="8"/>
        <v>280</v>
      </c>
      <c r="J55" s="444">
        <f t="shared" si="8"/>
        <v>280</v>
      </c>
      <c r="K55" s="444">
        <f t="shared" si="8"/>
        <v>280</v>
      </c>
      <c r="L55" s="444">
        <f t="shared" si="8"/>
        <v>280</v>
      </c>
      <c r="M55" s="444">
        <f t="shared" si="8"/>
        <v>280</v>
      </c>
      <c r="N55" s="510">
        <f t="shared" si="8"/>
        <v>280</v>
      </c>
      <c r="O55" s="442">
        <f>O54*N55</f>
        <v>672000</v>
      </c>
    </row>
    <row r="56" spans="2:15" ht="17.25" customHeight="1" x14ac:dyDescent="0.25">
      <c r="B56" s="441" t="s">
        <v>266</v>
      </c>
      <c r="C56" s="585">
        <v>200</v>
      </c>
      <c r="D56" s="586">
        <f>C56</f>
        <v>200</v>
      </c>
      <c r="E56" s="586">
        <f t="shared" ref="E56:N56" si="9">D56</f>
        <v>200</v>
      </c>
      <c r="F56" s="586">
        <f t="shared" si="9"/>
        <v>200</v>
      </c>
      <c r="G56" s="586">
        <f t="shared" si="9"/>
        <v>200</v>
      </c>
      <c r="H56" s="586">
        <f t="shared" si="9"/>
        <v>200</v>
      </c>
      <c r="I56" s="586">
        <f t="shared" si="9"/>
        <v>200</v>
      </c>
      <c r="J56" s="586">
        <f t="shared" si="9"/>
        <v>200</v>
      </c>
      <c r="K56" s="586">
        <f t="shared" si="9"/>
        <v>200</v>
      </c>
      <c r="L56" s="586">
        <f t="shared" si="9"/>
        <v>200</v>
      </c>
      <c r="M56" s="586">
        <f t="shared" si="9"/>
        <v>200</v>
      </c>
      <c r="N56" s="587">
        <f t="shared" si="9"/>
        <v>200</v>
      </c>
      <c r="O56" s="442">
        <f>SUM(C56:N56)</f>
        <v>2400</v>
      </c>
    </row>
    <row r="57" spans="2:15" ht="17.25" customHeight="1" thickBot="1" x14ac:dyDescent="0.3">
      <c r="B57" s="190" t="s">
        <v>99</v>
      </c>
      <c r="C57" s="456">
        <f>'Costos totales'!C96</f>
        <v>280</v>
      </c>
      <c r="D57" s="456">
        <f t="shared" si="5"/>
        <v>280</v>
      </c>
      <c r="E57" s="456">
        <f t="shared" ref="E57:N57" si="10">D57</f>
        <v>280</v>
      </c>
      <c r="F57" s="456">
        <f t="shared" si="10"/>
        <v>280</v>
      </c>
      <c r="G57" s="456">
        <f t="shared" si="10"/>
        <v>280</v>
      </c>
      <c r="H57" s="456">
        <f t="shared" si="10"/>
        <v>280</v>
      </c>
      <c r="I57" s="456">
        <f t="shared" si="10"/>
        <v>280</v>
      </c>
      <c r="J57" s="456">
        <f t="shared" si="10"/>
        <v>280</v>
      </c>
      <c r="K57" s="456">
        <f t="shared" si="10"/>
        <v>280</v>
      </c>
      <c r="L57" s="456">
        <f t="shared" si="10"/>
        <v>280</v>
      </c>
      <c r="M57" s="456">
        <f t="shared" si="10"/>
        <v>280</v>
      </c>
      <c r="N57" s="457">
        <f t="shared" si="10"/>
        <v>280</v>
      </c>
      <c r="O57" s="515">
        <f>O56*N57</f>
        <v>672000</v>
      </c>
    </row>
    <row r="58" spans="2:15" ht="15" customHeight="1" x14ac:dyDescent="0.25">
      <c r="B58" s="194" t="s">
        <v>120</v>
      </c>
      <c r="C58" s="455">
        <f>C52+C54+C56</f>
        <v>600</v>
      </c>
      <c r="D58" s="455">
        <f t="shared" ref="D58:N58" si="11">D52+D54+D56</f>
        <v>600</v>
      </c>
      <c r="E58" s="455">
        <f t="shared" si="11"/>
        <v>600</v>
      </c>
      <c r="F58" s="455">
        <f t="shared" si="11"/>
        <v>600</v>
      </c>
      <c r="G58" s="455">
        <f t="shared" si="11"/>
        <v>600</v>
      </c>
      <c r="H58" s="455">
        <f t="shared" si="11"/>
        <v>600</v>
      </c>
      <c r="I58" s="455">
        <f t="shared" si="11"/>
        <v>600</v>
      </c>
      <c r="J58" s="455">
        <f t="shared" si="11"/>
        <v>600</v>
      </c>
      <c r="K58" s="455">
        <f t="shared" si="11"/>
        <v>600</v>
      </c>
      <c r="L58" s="455">
        <f t="shared" si="11"/>
        <v>600</v>
      </c>
      <c r="M58" s="455">
        <f t="shared" si="11"/>
        <v>600</v>
      </c>
      <c r="N58" s="455">
        <f t="shared" si="11"/>
        <v>600</v>
      </c>
      <c r="O58" s="516">
        <f>O52+O54+O56</f>
        <v>7200</v>
      </c>
    </row>
    <row r="59" spans="2:15" ht="16.5" customHeight="1" thickBot="1" x14ac:dyDescent="0.3">
      <c r="B59" s="195" t="s">
        <v>242</v>
      </c>
      <c r="C59" s="443">
        <f>C53+C55+C57</f>
        <v>840</v>
      </c>
      <c r="D59" s="443">
        <f t="shared" ref="D59:N59" si="12">D53+D55+D57</f>
        <v>840</v>
      </c>
      <c r="E59" s="443">
        <f t="shared" si="12"/>
        <v>840</v>
      </c>
      <c r="F59" s="443">
        <f t="shared" si="12"/>
        <v>840</v>
      </c>
      <c r="G59" s="443">
        <f t="shared" si="12"/>
        <v>840</v>
      </c>
      <c r="H59" s="443">
        <f t="shared" si="12"/>
        <v>840</v>
      </c>
      <c r="I59" s="443">
        <f t="shared" si="12"/>
        <v>840</v>
      </c>
      <c r="J59" s="443">
        <f t="shared" si="12"/>
        <v>840</v>
      </c>
      <c r="K59" s="443">
        <f t="shared" si="12"/>
        <v>840</v>
      </c>
      <c r="L59" s="443">
        <f t="shared" si="12"/>
        <v>840</v>
      </c>
      <c r="M59" s="443">
        <f t="shared" si="12"/>
        <v>840</v>
      </c>
      <c r="N59" s="443">
        <f t="shared" si="12"/>
        <v>840</v>
      </c>
      <c r="O59" s="522">
        <f>O53+O55+O57</f>
        <v>2016000</v>
      </c>
    </row>
    <row r="60" spans="2:15" x14ac:dyDescent="0.25">
      <c r="B60" s="5"/>
      <c r="C60" s="5"/>
      <c r="D60" s="5"/>
      <c r="E60" s="5"/>
      <c r="F60" s="5"/>
      <c r="G60" s="5"/>
      <c r="H60" s="5"/>
      <c r="I60" s="5"/>
    </row>
    <row r="61" spans="2:15" x14ac:dyDescent="0.25">
      <c r="B61" s="7"/>
      <c r="C61" s="6"/>
      <c r="D61" s="6"/>
      <c r="E61" s="5"/>
      <c r="F61" s="5"/>
      <c r="G61" s="5"/>
      <c r="H61" s="5"/>
      <c r="I61" s="5"/>
    </row>
    <row r="62" spans="2:15" x14ac:dyDescent="0.25">
      <c r="B62" s="7"/>
      <c r="C62" s="6"/>
      <c r="D62" s="6"/>
      <c r="E62" s="5"/>
      <c r="F62" s="5"/>
      <c r="G62" s="5"/>
      <c r="H62" s="5"/>
      <c r="I62" s="5"/>
    </row>
    <row r="63" spans="2:15" x14ac:dyDescent="0.25">
      <c r="B63" s="7"/>
      <c r="C63" s="6"/>
      <c r="D63" s="6"/>
      <c r="E63" s="5"/>
      <c r="F63" s="5"/>
      <c r="G63" s="5"/>
      <c r="H63" s="5"/>
      <c r="I63" s="5"/>
    </row>
    <row r="64" spans="2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  <row r="68" spans="2:9" x14ac:dyDescent="0.25">
      <c r="B68" s="5"/>
      <c r="C68" s="5"/>
      <c r="D68" s="5"/>
      <c r="E68" s="5"/>
      <c r="F68" s="5"/>
      <c r="G68" s="5"/>
      <c r="H68" s="5"/>
      <c r="I68" s="5"/>
    </row>
    <row r="69" spans="2:9" x14ac:dyDescent="0.25">
      <c r="B69" s="5"/>
      <c r="C69" s="5"/>
      <c r="D69" s="5"/>
      <c r="E69" s="5"/>
      <c r="F69" s="5"/>
      <c r="G69" s="5"/>
      <c r="H69" s="5"/>
      <c r="I69" s="5"/>
    </row>
    <row r="70" spans="2:9" x14ac:dyDescent="0.25">
      <c r="B70" s="5"/>
      <c r="C70" s="5"/>
      <c r="D70" s="5"/>
      <c r="E70" s="5"/>
      <c r="F70" s="5"/>
      <c r="G70" s="5"/>
      <c r="H70" s="5"/>
      <c r="I70" s="5"/>
    </row>
    <row r="71" spans="2:9" x14ac:dyDescent="0.25">
      <c r="B71" s="5"/>
      <c r="C71" s="5"/>
      <c r="D71" s="5"/>
      <c r="E71" s="5"/>
      <c r="F71" s="5"/>
      <c r="G71" s="5"/>
      <c r="H71" s="5"/>
      <c r="I71" s="5"/>
    </row>
    <row r="72" spans="2:9" x14ac:dyDescent="0.25">
      <c r="B72" s="5"/>
      <c r="C72" s="5"/>
      <c r="D72" s="5"/>
      <c r="E72" s="5"/>
      <c r="F72" s="5"/>
      <c r="G72" s="5"/>
      <c r="H72" s="5"/>
      <c r="I72" s="5"/>
    </row>
    <row r="73" spans="2:9" x14ac:dyDescent="0.25">
      <c r="B73" s="5"/>
      <c r="C73" s="5"/>
      <c r="D73" s="5"/>
      <c r="E73" s="5"/>
      <c r="F73" s="5"/>
      <c r="G73" s="5"/>
      <c r="H73" s="5"/>
      <c r="I73" s="5"/>
    </row>
    <row r="74" spans="2:9" x14ac:dyDescent="0.25">
      <c r="B74" s="5"/>
      <c r="C74" s="5"/>
      <c r="D74" s="5"/>
      <c r="E74" s="5"/>
      <c r="F74" s="5"/>
      <c r="G74" s="5"/>
      <c r="H74" s="5"/>
      <c r="I74" s="5"/>
    </row>
  </sheetData>
  <mergeCells count="4">
    <mergeCell ref="B1:I1"/>
    <mergeCell ref="B2:I2"/>
    <mergeCell ref="B49:B50"/>
    <mergeCell ref="C49:O49"/>
  </mergeCells>
  <phoneticPr fontId="0" type="noConversion"/>
  <hyperlinks>
    <hyperlink ref="A1" location="Portada!A21" display="INDICE"/>
  </hyperlinks>
  <pageMargins left="0.7" right="0.7" top="0.75" bottom="0.75" header="0.3" footer="0.3"/>
  <pageSetup paperSize="9" orientation="landscape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pinner 3">
              <controlPr defaultSize="0" autoPict="0">
                <anchor moveWithCells="1" siz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pinner 4">
              <controlPr defaultSize="0" autoPict="0">
                <anchor moveWithCells="1" siz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M52"/>
  <sheetViews>
    <sheetView showGridLines="0" zoomScale="90" zoomScaleNormal="90" workbookViewId="0">
      <pane ySplit="4" topLeftCell="A5" activePane="bottomLeft" state="frozen"/>
      <selection activeCell="B15" sqref="B15"/>
      <selection pane="bottomLeft" activeCell="C19" sqref="C19"/>
    </sheetView>
  </sheetViews>
  <sheetFormatPr baseColWidth="10" defaultRowHeight="15" x14ac:dyDescent="0.25"/>
  <cols>
    <col min="1" max="1" width="8.42578125" style="108" customWidth="1"/>
    <col min="2" max="2" width="56.42578125" style="108" customWidth="1"/>
    <col min="3" max="4" width="13.42578125" style="108" bestFit="1" customWidth="1"/>
    <col min="5" max="5" width="18.42578125" style="108" bestFit="1" customWidth="1"/>
    <col min="6" max="6" width="17.42578125" style="108" bestFit="1" customWidth="1"/>
    <col min="7" max="7" width="24.140625" style="108" customWidth="1"/>
    <col min="8" max="8" width="15.85546875" style="108" bestFit="1" customWidth="1"/>
    <col min="9" max="9" width="19.140625" style="108" bestFit="1" customWidth="1"/>
    <col min="10" max="10" width="19.7109375" style="108" customWidth="1"/>
    <col min="11" max="16384" width="11.42578125" style="108"/>
  </cols>
  <sheetData>
    <row r="1" spans="1:12" ht="26.25" x14ac:dyDescent="0.25">
      <c r="B1" s="619" t="s">
        <v>241</v>
      </c>
      <c r="C1" s="619"/>
      <c r="D1" s="619"/>
      <c r="E1" s="619"/>
      <c r="F1" s="619"/>
      <c r="G1" s="619"/>
      <c r="H1" s="619"/>
      <c r="I1" s="619"/>
      <c r="J1" s="619"/>
    </row>
    <row r="2" spans="1:12" ht="26.25" x14ac:dyDescent="0.25">
      <c r="A2" s="458" t="s">
        <v>240</v>
      </c>
      <c r="B2" s="619" t="str">
        <f>Portada!C13</f>
        <v>TORTILLERIA TIO FRANK</v>
      </c>
      <c r="C2" s="619"/>
      <c r="D2" s="619"/>
      <c r="E2" s="619"/>
      <c r="F2" s="619"/>
      <c r="G2" s="619"/>
      <c r="H2" s="619"/>
      <c r="I2" s="619"/>
      <c r="J2" s="619"/>
    </row>
    <row r="3" spans="1:12" ht="21.75" thickBot="1" x14ac:dyDescent="0.35">
      <c r="B3" s="605" t="s">
        <v>244</v>
      </c>
      <c r="C3" s="131"/>
      <c r="D3" s="131"/>
      <c r="E3" s="131"/>
      <c r="F3" s="131"/>
      <c r="G3" s="607">
        <v>0.5</v>
      </c>
      <c r="H3" s="607">
        <v>0</v>
      </c>
      <c r="I3" s="607">
        <v>0.5</v>
      </c>
      <c r="J3" s="608"/>
    </row>
    <row r="4" spans="1:12" s="109" customFormat="1" ht="29.25" customHeight="1" thickBot="1" x14ac:dyDescent="0.3">
      <c r="B4" s="168" t="s">
        <v>0</v>
      </c>
      <c r="C4" s="169" t="s">
        <v>1</v>
      </c>
      <c r="D4" s="169" t="s">
        <v>2</v>
      </c>
      <c r="E4" s="170" t="s">
        <v>3</v>
      </c>
      <c r="F4" s="169" t="s">
        <v>4</v>
      </c>
      <c r="G4" s="171" t="s">
        <v>101</v>
      </c>
      <c r="H4" s="171" t="s">
        <v>103</v>
      </c>
      <c r="I4" s="171" t="s">
        <v>102</v>
      </c>
      <c r="J4" s="172" t="s">
        <v>5</v>
      </c>
    </row>
    <row r="5" spans="1:12" ht="21.75" thickBot="1" x14ac:dyDescent="0.3">
      <c r="B5" s="132" t="s">
        <v>6</v>
      </c>
      <c r="C5" s="127"/>
      <c r="D5" s="127"/>
      <c r="E5" s="126"/>
      <c r="F5" s="126"/>
      <c r="G5" s="126"/>
      <c r="H5" s="126"/>
      <c r="I5" s="126"/>
      <c r="J5" s="133"/>
    </row>
    <row r="6" spans="1:12" x14ac:dyDescent="0.25">
      <c r="B6" s="588" t="s">
        <v>245</v>
      </c>
      <c r="C6" s="589" t="s">
        <v>211</v>
      </c>
      <c r="D6" s="590">
        <v>5</v>
      </c>
      <c r="E6" s="611">
        <v>2974.14</v>
      </c>
      <c r="F6" s="463">
        <f t="shared" ref="F6:F14" si="0">E6*D6</f>
        <v>14870.699999999999</v>
      </c>
      <c r="G6" s="463">
        <f>F6*$G$3</f>
        <v>7435.3499999999995</v>
      </c>
      <c r="H6" s="463">
        <f>F6*$H$3</f>
        <v>0</v>
      </c>
      <c r="I6" s="463">
        <f>F6*$I$3</f>
        <v>7435.3499999999995</v>
      </c>
      <c r="J6" s="464">
        <f>SUM(G6:I6)</f>
        <v>14870.699999999999</v>
      </c>
      <c r="K6" s="134"/>
      <c r="L6" s="92"/>
    </row>
    <row r="7" spans="1:12" x14ac:dyDescent="0.25">
      <c r="B7" s="591" t="s">
        <v>246</v>
      </c>
      <c r="C7" s="578" t="s">
        <v>211</v>
      </c>
      <c r="D7" s="592">
        <v>5</v>
      </c>
      <c r="E7" s="612">
        <v>1034.48</v>
      </c>
      <c r="F7" s="465">
        <f t="shared" si="0"/>
        <v>5172.3999999999996</v>
      </c>
      <c r="G7" s="465">
        <f t="shared" ref="G7:G30" si="1">F7*$G$3</f>
        <v>2586.1999999999998</v>
      </c>
      <c r="H7" s="465">
        <f t="shared" ref="H7:H30" si="2">F7*$H$3</f>
        <v>0</v>
      </c>
      <c r="I7" s="465">
        <f t="shared" ref="I7:I30" si="3">F7*$I$3</f>
        <v>2586.1999999999998</v>
      </c>
      <c r="J7" s="466">
        <f t="shared" ref="J7:J30" si="4">SUM(G7:I7)</f>
        <v>5172.3999999999996</v>
      </c>
      <c r="K7" s="134"/>
      <c r="L7" s="93"/>
    </row>
    <row r="8" spans="1:12" x14ac:dyDescent="0.25">
      <c r="B8" s="591" t="s">
        <v>247</v>
      </c>
      <c r="C8" s="578" t="s">
        <v>211</v>
      </c>
      <c r="D8" s="592">
        <v>5</v>
      </c>
      <c r="E8" s="612">
        <v>775</v>
      </c>
      <c r="F8" s="465">
        <f t="shared" si="0"/>
        <v>3875</v>
      </c>
      <c r="G8" s="465">
        <f t="shared" si="1"/>
        <v>1937.5</v>
      </c>
      <c r="H8" s="465">
        <f t="shared" si="2"/>
        <v>0</v>
      </c>
      <c r="I8" s="465">
        <f t="shared" si="3"/>
        <v>1937.5</v>
      </c>
      <c r="J8" s="466">
        <f t="shared" si="4"/>
        <v>3875</v>
      </c>
      <c r="K8" s="134"/>
      <c r="L8" s="94"/>
    </row>
    <row r="9" spans="1:12" x14ac:dyDescent="0.25">
      <c r="B9" s="591" t="s">
        <v>248</v>
      </c>
      <c r="C9" s="578" t="s">
        <v>211</v>
      </c>
      <c r="D9" s="592">
        <v>1</v>
      </c>
      <c r="E9" s="612">
        <v>1370.69</v>
      </c>
      <c r="F9" s="465">
        <f t="shared" si="0"/>
        <v>1370.69</v>
      </c>
      <c r="G9" s="465">
        <f t="shared" si="1"/>
        <v>685.34500000000003</v>
      </c>
      <c r="H9" s="465">
        <f t="shared" si="2"/>
        <v>0</v>
      </c>
      <c r="I9" s="465">
        <f t="shared" si="3"/>
        <v>685.34500000000003</v>
      </c>
      <c r="J9" s="466">
        <f t="shared" si="4"/>
        <v>1370.69</v>
      </c>
      <c r="K9" s="134"/>
      <c r="L9" s="93"/>
    </row>
    <row r="10" spans="1:12" x14ac:dyDescent="0.25">
      <c r="B10" s="591" t="s">
        <v>249</v>
      </c>
      <c r="C10" s="578" t="s">
        <v>211</v>
      </c>
      <c r="D10" s="592">
        <v>1</v>
      </c>
      <c r="E10" s="612">
        <v>672.41</v>
      </c>
      <c r="F10" s="465">
        <f t="shared" si="0"/>
        <v>672.41</v>
      </c>
      <c r="G10" s="465">
        <f t="shared" si="1"/>
        <v>336.20499999999998</v>
      </c>
      <c r="H10" s="465">
        <f t="shared" si="2"/>
        <v>0</v>
      </c>
      <c r="I10" s="465">
        <f t="shared" si="3"/>
        <v>336.20499999999998</v>
      </c>
      <c r="J10" s="466">
        <f t="shared" si="4"/>
        <v>672.41</v>
      </c>
      <c r="K10" s="134"/>
      <c r="L10" s="93"/>
    </row>
    <row r="11" spans="1:12" x14ac:dyDescent="0.25">
      <c r="B11" s="591" t="s">
        <v>250</v>
      </c>
      <c r="C11" s="578" t="s">
        <v>211</v>
      </c>
      <c r="D11" s="592">
        <v>10</v>
      </c>
      <c r="E11" s="612">
        <v>344.83</v>
      </c>
      <c r="F11" s="465">
        <f t="shared" si="0"/>
        <v>3448.2999999999997</v>
      </c>
      <c r="G11" s="465">
        <f t="shared" si="1"/>
        <v>1724.1499999999999</v>
      </c>
      <c r="H11" s="465">
        <f t="shared" si="2"/>
        <v>0</v>
      </c>
      <c r="I11" s="465">
        <f t="shared" si="3"/>
        <v>1724.1499999999999</v>
      </c>
      <c r="J11" s="466">
        <f t="shared" si="4"/>
        <v>3448.2999999999997</v>
      </c>
      <c r="K11" s="134"/>
      <c r="L11" s="93"/>
    </row>
    <row r="12" spans="1:12" x14ac:dyDescent="0.25">
      <c r="B12" s="591" t="s">
        <v>251</v>
      </c>
      <c r="C12" s="578" t="s">
        <v>211</v>
      </c>
      <c r="D12" s="592">
        <v>5</v>
      </c>
      <c r="E12" s="612">
        <v>1456.9</v>
      </c>
      <c r="F12" s="465">
        <f t="shared" si="0"/>
        <v>7284.5</v>
      </c>
      <c r="G12" s="465">
        <f t="shared" si="1"/>
        <v>3642.25</v>
      </c>
      <c r="H12" s="465">
        <f t="shared" si="2"/>
        <v>0</v>
      </c>
      <c r="I12" s="465">
        <f t="shared" si="3"/>
        <v>3642.25</v>
      </c>
      <c r="J12" s="466">
        <f t="shared" si="4"/>
        <v>7284.5</v>
      </c>
      <c r="K12" s="134"/>
      <c r="L12" s="93"/>
    </row>
    <row r="13" spans="1:12" x14ac:dyDescent="0.25">
      <c r="B13" s="591"/>
      <c r="C13" s="578" t="s">
        <v>211</v>
      </c>
      <c r="D13" s="592">
        <v>1</v>
      </c>
      <c r="E13" s="593">
        <v>0</v>
      </c>
      <c r="F13" s="465">
        <f t="shared" si="0"/>
        <v>0</v>
      </c>
      <c r="G13" s="465">
        <f t="shared" si="1"/>
        <v>0</v>
      </c>
      <c r="H13" s="465">
        <f t="shared" si="2"/>
        <v>0</v>
      </c>
      <c r="I13" s="465">
        <f t="shared" si="3"/>
        <v>0</v>
      </c>
      <c r="J13" s="466">
        <f t="shared" si="4"/>
        <v>0</v>
      </c>
      <c r="K13" s="134"/>
      <c r="L13" s="93"/>
    </row>
    <row r="14" spans="1:12" x14ac:dyDescent="0.25">
      <c r="B14" s="591"/>
      <c r="C14" s="578" t="s">
        <v>211</v>
      </c>
      <c r="D14" s="592">
        <v>1</v>
      </c>
      <c r="E14" s="593">
        <v>0</v>
      </c>
      <c r="F14" s="465">
        <f t="shared" si="0"/>
        <v>0</v>
      </c>
      <c r="G14" s="465">
        <f t="shared" si="1"/>
        <v>0</v>
      </c>
      <c r="H14" s="465">
        <f t="shared" si="2"/>
        <v>0</v>
      </c>
      <c r="I14" s="465">
        <f t="shared" si="3"/>
        <v>0</v>
      </c>
      <c r="J14" s="466">
        <f t="shared" si="4"/>
        <v>0</v>
      </c>
      <c r="K14" s="134"/>
      <c r="L14" s="93"/>
    </row>
    <row r="15" spans="1:12" x14ac:dyDescent="0.25">
      <c r="B15" s="591"/>
      <c r="C15" s="578" t="s">
        <v>211</v>
      </c>
      <c r="D15" s="592">
        <v>1</v>
      </c>
      <c r="E15" s="593">
        <v>0</v>
      </c>
      <c r="F15" s="465">
        <f t="shared" ref="F15:F30" si="5">E15*D15</f>
        <v>0</v>
      </c>
      <c r="G15" s="465">
        <f t="shared" si="1"/>
        <v>0</v>
      </c>
      <c r="H15" s="465">
        <f t="shared" si="2"/>
        <v>0</v>
      </c>
      <c r="I15" s="465">
        <f t="shared" si="3"/>
        <v>0</v>
      </c>
      <c r="J15" s="466">
        <f t="shared" si="4"/>
        <v>0</v>
      </c>
    </row>
    <row r="16" spans="1:12" x14ac:dyDescent="0.25">
      <c r="B16" s="591"/>
      <c r="C16" s="578" t="s">
        <v>211</v>
      </c>
      <c r="D16" s="592">
        <v>1</v>
      </c>
      <c r="E16" s="593">
        <v>0</v>
      </c>
      <c r="F16" s="465">
        <f t="shared" si="5"/>
        <v>0</v>
      </c>
      <c r="G16" s="465">
        <f t="shared" si="1"/>
        <v>0</v>
      </c>
      <c r="H16" s="465">
        <f t="shared" si="2"/>
        <v>0</v>
      </c>
      <c r="I16" s="465">
        <f t="shared" si="3"/>
        <v>0</v>
      </c>
      <c r="J16" s="466">
        <f t="shared" si="4"/>
        <v>0</v>
      </c>
    </row>
    <row r="17" spans="1:12" x14ac:dyDescent="0.25">
      <c r="B17" s="591"/>
      <c r="C17" s="578" t="s">
        <v>211</v>
      </c>
      <c r="D17" s="592">
        <v>1</v>
      </c>
      <c r="E17" s="593">
        <v>0</v>
      </c>
      <c r="F17" s="465">
        <f t="shared" si="5"/>
        <v>0</v>
      </c>
      <c r="G17" s="465">
        <f t="shared" si="1"/>
        <v>0</v>
      </c>
      <c r="H17" s="465">
        <f t="shared" si="2"/>
        <v>0</v>
      </c>
      <c r="I17" s="465">
        <f t="shared" si="3"/>
        <v>0</v>
      </c>
      <c r="J17" s="466">
        <f t="shared" si="4"/>
        <v>0</v>
      </c>
    </row>
    <row r="18" spans="1:12" x14ac:dyDescent="0.25">
      <c r="B18" s="591"/>
      <c r="C18" s="578" t="s">
        <v>211</v>
      </c>
      <c r="D18" s="592">
        <v>1</v>
      </c>
      <c r="E18" s="593">
        <v>0</v>
      </c>
      <c r="F18" s="465">
        <f t="shared" si="5"/>
        <v>0</v>
      </c>
      <c r="G18" s="465">
        <f t="shared" si="1"/>
        <v>0</v>
      </c>
      <c r="H18" s="465">
        <f t="shared" si="2"/>
        <v>0</v>
      </c>
      <c r="I18" s="465">
        <f t="shared" si="3"/>
        <v>0</v>
      </c>
      <c r="J18" s="466">
        <f t="shared" si="4"/>
        <v>0</v>
      </c>
    </row>
    <row r="19" spans="1:12" x14ac:dyDescent="0.25">
      <c r="B19" s="591"/>
      <c r="C19" s="578" t="s">
        <v>211</v>
      </c>
      <c r="D19" s="592">
        <v>1</v>
      </c>
      <c r="E19" s="593">
        <v>0</v>
      </c>
      <c r="F19" s="465">
        <f t="shared" si="5"/>
        <v>0</v>
      </c>
      <c r="G19" s="465">
        <f t="shared" si="1"/>
        <v>0</v>
      </c>
      <c r="H19" s="465">
        <f t="shared" si="2"/>
        <v>0</v>
      </c>
      <c r="I19" s="465">
        <f t="shared" si="3"/>
        <v>0</v>
      </c>
      <c r="J19" s="466">
        <f t="shared" si="4"/>
        <v>0</v>
      </c>
    </row>
    <row r="20" spans="1:12" x14ac:dyDescent="0.25">
      <c r="A20" s="462" t="s">
        <v>243</v>
      </c>
      <c r="B20" s="591"/>
      <c r="C20" s="578" t="s">
        <v>211</v>
      </c>
      <c r="D20" s="592">
        <v>1</v>
      </c>
      <c r="E20" s="593">
        <v>0</v>
      </c>
      <c r="F20" s="465">
        <f t="shared" si="5"/>
        <v>0</v>
      </c>
      <c r="G20" s="465">
        <f t="shared" si="1"/>
        <v>0</v>
      </c>
      <c r="H20" s="465">
        <f t="shared" si="2"/>
        <v>0</v>
      </c>
      <c r="I20" s="465">
        <f t="shared" si="3"/>
        <v>0</v>
      </c>
      <c r="J20" s="466">
        <f t="shared" si="4"/>
        <v>0</v>
      </c>
    </row>
    <row r="21" spans="1:12" x14ac:dyDescent="0.25">
      <c r="B21" s="594"/>
      <c r="C21" s="595"/>
      <c r="D21" s="596"/>
      <c r="E21" s="597"/>
      <c r="F21" s="423">
        <f t="shared" si="5"/>
        <v>0</v>
      </c>
      <c r="G21" s="423">
        <f t="shared" si="1"/>
        <v>0</v>
      </c>
      <c r="H21" s="423">
        <f t="shared" si="2"/>
        <v>0</v>
      </c>
      <c r="I21" s="423">
        <f t="shared" si="3"/>
        <v>0</v>
      </c>
      <c r="J21" s="424">
        <f t="shared" si="4"/>
        <v>0</v>
      </c>
    </row>
    <row r="22" spans="1:12" x14ac:dyDescent="0.25">
      <c r="B22" s="594"/>
      <c r="C22" s="595"/>
      <c r="D22" s="596"/>
      <c r="E22" s="597"/>
      <c r="F22" s="423">
        <f t="shared" si="5"/>
        <v>0</v>
      </c>
      <c r="G22" s="423">
        <f t="shared" si="1"/>
        <v>0</v>
      </c>
      <c r="H22" s="423">
        <f t="shared" si="2"/>
        <v>0</v>
      </c>
      <c r="I22" s="423">
        <f t="shared" si="3"/>
        <v>0</v>
      </c>
      <c r="J22" s="424">
        <f t="shared" si="4"/>
        <v>0</v>
      </c>
    </row>
    <row r="23" spans="1:12" x14ac:dyDescent="0.25">
      <c r="B23" s="594"/>
      <c r="C23" s="595"/>
      <c r="D23" s="596"/>
      <c r="E23" s="597"/>
      <c r="F23" s="423">
        <f t="shared" si="5"/>
        <v>0</v>
      </c>
      <c r="G23" s="423">
        <f t="shared" si="1"/>
        <v>0</v>
      </c>
      <c r="H23" s="423">
        <f t="shared" si="2"/>
        <v>0</v>
      </c>
      <c r="I23" s="423">
        <f t="shared" si="3"/>
        <v>0</v>
      </c>
      <c r="J23" s="424">
        <f t="shared" si="4"/>
        <v>0</v>
      </c>
    </row>
    <row r="24" spans="1:12" x14ac:dyDescent="0.25">
      <c r="B24" s="594"/>
      <c r="C24" s="595"/>
      <c r="D24" s="596"/>
      <c r="E24" s="597"/>
      <c r="F24" s="423">
        <f t="shared" si="5"/>
        <v>0</v>
      </c>
      <c r="G24" s="423">
        <f t="shared" si="1"/>
        <v>0</v>
      </c>
      <c r="H24" s="423">
        <f t="shared" si="2"/>
        <v>0</v>
      </c>
      <c r="I24" s="423">
        <f t="shared" si="3"/>
        <v>0</v>
      </c>
      <c r="J24" s="424">
        <f t="shared" si="4"/>
        <v>0</v>
      </c>
    </row>
    <row r="25" spans="1:12" x14ac:dyDescent="0.25">
      <c r="B25" s="594"/>
      <c r="C25" s="595"/>
      <c r="D25" s="596"/>
      <c r="E25" s="597"/>
      <c r="F25" s="423">
        <f t="shared" si="5"/>
        <v>0</v>
      </c>
      <c r="G25" s="423">
        <f t="shared" si="1"/>
        <v>0</v>
      </c>
      <c r="H25" s="423">
        <f t="shared" si="2"/>
        <v>0</v>
      </c>
      <c r="I25" s="423">
        <f t="shared" si="3"/>
        <v>0</v>
      </c>
      <c r="J25" s="424">
        <f t="shared" si="4"/>
        <v>0</v>
      </c>
    </row>
    <row r="26" spans="1:12" x14ac:dyDescent="0.25">
      <c r="B26" s="594"/>
      <c r="C26" s="595"/>
      <c r="D26" s="596"/>
      <c r="E26" s="597"/>
      <c r="F26" s="423">
        <f t="shared" si="5"/>
        <v>0</v>
      </c>
      <c r="G26" s="423">
        <f t="shared" si="1"/>
        <v>0</v>
      </c>
      <c r="H26" s="423">
        <f t="shared" si="2"/>
        <v>0</v>
      </c>
      <c r="I26" s="423">
        <f t="shared" si="3"/>
        <v>0</v>
      </c>
      <c r="J26" s="424">
        <f t="shared" si="4"/>
        <v>0</v>
      </c>
    </row>
    <row r="27" spans="1:12" x14ac:dyDescent="0.25">
      <c r="B27" s="594"/>
      <c r="C27" s="595"/>
      <c r="D27" s="596"/>
      <c r="E27" s="597"/>
      <c r="F27" s="423">
        <f t="shared" si="5"/>
        <v>0</v>
      </c>
      <c r="G27" s="423">
        <f t="shared" si="1"/>
        <v>0</v>
      </c>
      <c r="H27" s="423">
        <f t="shared" si="2"/>
        <v>0</v>
      </c>
      <c r="I27" s="423">
        <f t="shared" si="3"/>
        <v>0</v>
      </c>
      <c r="J27" s="424">
        <f t="shared" si="4"/>
        <v>0</v>
      </c>
    </row>
    <row r="28" spans="1:12" x14ac:dyDescent="0.25">
      <c r="B28" s="594"/>
      <c r="C28" s="595"/>
      <c r="D28" s="596"/>
      <c r="E28" s="597"/>
      <c r="F28" s="423">
        <f t="shared" si="5"/>
        <v>0</v>
      </c>
      <c r="G28" s="423">
        <f t="shared" si="1"/>
        <v>0</v>
      </c>
      <c r="H28" s="423">
        <f t="shared" si="2"/>
        <v>0</v>
      </c>
      <c r="I28" s="423">
        <f t="shared" si="3"/>
        <v>0</v>
      </c>
      <c r="J28" s="424">
        <f t="shared" si="4"/>
        <v>0</v>
      </c>
    </row>
    <row r="29" spans="1:12" x14ac:dyDescent="0.25">
      <c r="B29" s="594"/>
      <c r="C29" s="598"/>
      <c r="D29" s="599"/>
      <c r="E29" s="597"/>
      <c r="F29" s="423">
        <f t="shared" si="5"/>
        <v>0</v>
      </c>
      <c r="G29" s="423">
        <f t="shared" si="1"/>
        <v>0</v>
      </c>
      <c r="H29" s="423">
        <f t="shared" si="2"/>
        <v>0</v>
      </c>
      <c r="I29" s="423">
        <f t="shared" si="3"/>
        <v>0</v>
      </c>
      <c r="J29" s="424">
        <f t="shared" si="4"/>
        <v>0</v>
      </c>
    </row>
    <row r="30" spans="1:12" ht="15.75" thickBot="1" x14ac:dyDescent="0.3">
      <c r="B30" s="600"/>
      <c r="C30" s="601"/>
      <c r="D30" s="602"/>
      <c r="E30" s="603"/>
      <c r="F30" s="425">
        <f t="shared" si="5"/>
        <v>0</v>
      </c>
      <c r="G30" s="425">
        <f t="shared" si="1"/>
        <v>0</v>
      </c>
      <c r="H30" s="425">
        <f t="shared" si="2"/>
        <v>0</v>
      </c>
      <c r="I30" s="425">
        <f t="shared" si="3"/>
        <v>0</v>
      </c>
      <c r="J30" s="426">
        <f t="shared" si="4"/>
        <v>0</v>
      </c>
    </row>
    <row r="31" spans="1:12" ht="20.25" customHeight="1" thickBot="1" x14ac:dyDescent="0.3">
      <c r="B31" s="251" t="s">
        <v>60</v>
      </c>
      <c r="C31" s="260"/>
      <c r="D31" s="260"/>
      <c r="E31" s="261" t="s">
        <v>243</v>
      </c>
      <c r="F31" s="176">
        <f>SUM(F6:F30)</f>
        <v>36694</v>
      </c>
      <c r="G31" s="262">
        <f>SUM(G6:G30)</f>
        <v>18347</v>
      </c>
      <c r="H31" s="262">
        <f>SUM(H6:H30)</f>
        <v>0</v>
      </c>
      <c r="I31" s="262">
        <f>SUM(I6:I30)</f>
        <v>18347</v>
      </c>
      <c r="J31" s="263">
        <f>SUM(J6:J30)</f>
        <v>36694</v>
      </c>
      <c r="K31" s="467">
        <f>G31/400000</f>
        <v>4.5867499999999999E-2</v>
      </c>
      <c r="L31" s="468">
        <f>G31/G50</f>
        <v>0.17406660848950184</v>
      </c>
    </row>
    <row r="32" spans="1:12" ht="19.5" thickBot="1" x14ac:dyDescent="0.3">
      <c r="B32" s="140"/>
      <c r="C32" s="141"/>
      <c r="D32" s="142"/>
      <c r="E32" s="143"/>
      <c r="F32" s="144"/>
      <c r="G32" s="609">
        <v>0.5</v>
      </c>
      <c r="H32" s="609">
        <v>0</v>
      </c>
      <c r="I32" s="609">
        <v>0.5</v>
      </c>
      <c r="J32" s="264"/>
      <c r="K32" s="110"/>
      <c r="L32" s="110"/>
    </row>
    <row r="33" spans="2:12" s="111" customFormat="1" ht="21.75" customHeight="1" x14ac:dyDescent="0.25">
      <c r="B33" s="135" t="s">
        <v>7</v>
      </c>
      <c r="C33" s="136"/>
      <c r="D33" s="136"/>
      <c r="E33" s="137"/>
      <c r="F33" s="137"/>
      <c r="G33" s="138"/>
      <c r="H33" s="138"/>
      <c r="I33" s="138"/>
      <c r="J33" s="139"/>
    </row>
    <row r="34" spans="2:12" x14ac:dyDescent="0.25">
      <c r="B34" s="604" t="s">
        <v>106</v>
      </c>
      <c r="C34" s="578" t="s">
        <v>27</v>
      </c>
      <c r="D34" s="578"/>
      <c r="E34" s="593"/>
      <c r="F34" s="465">
        <f>E34*D34</f>
        <v>0</v>
      </c>
      <c r="G34" s="465">
        <f>F34*$G$32</f>
        <v>0</v>
      </c>
      <c r="H34" s="465">
        <f>F34*$H$32</f>
        <v>0</v>
      </c>
      <c r="I34" s="465">
        <f>F34*$I$32</f>
        <v>0</v>
      </c>
      <c r="J34" s="466">
        <f>SUM(G34:I34)</f>
        <v>0</v>
      </c>
      <c r="K34" s="110"/>
      <c r="L34" s="110"/>
    </row>
    <row r="35" spans="2:12" x14ac:dyDescent="0.25">
      <c r="B35" s="604" t="s">
        <v>107</v>
      </c>
      <c r="C35" s="578" t="s">
        <v>27</v>
      </c>
      <c r="D35" s="578"/>
      <c r="E35" s="593"/>
      <c r="F35" s="465">
        <f>E35*D35</f>
        <v>0</v>
      </c>
      <c r="G35" s="465">
        <f t="shared" ref="G35:G43" si="6">F35*$G$32</f>
        <v>0</v>
      </c>
      <c r="H35" s="465">
        <f t="shared" ref="H35:H43" si="7">F35*$H$32</f>
        <v>0</v>
      </c>
      <c r="I35" s="465">
        <f t="shared" ref="I35:I43" si="8">F35*$I$32</f>
        <v>0</v>
      </c>
      <c r="J35" s="466">
        <f>SUM(G35:I35)</f>
        <v>0</v>
      </c>
      <c r="K35" s="110"/>
      <c r="L35" s="110"/>
    </row>
    <row r="36" spans="2:12" x14ac:dyDescent="0.25">
      <c r="B36" s="604" t="s">
        <v>108</v>
      </c>
      <c r="C36" s="578" t="s">
        <v>27</v>
      </c>
      <c r="D36" s="578">
        <v>1</v>
      </c>
      <c r="E36" s="593">
        <v>0</v>
      </c>
      <c r="F36" s="465">
        <f t="shared" ref="F36:F43" si="9">E36*D36</f>
        <v>0</v>
      </c>
      <c r="G36" s="465">
        <f t="shared" si="6"/>
        <v>0</v>
      </c>
      <c r="H36" s="465">
        <f t="shared" si="7"/>
        <v>0</v>
      </c>
      <c r="I36" s="465">
        <f t="shared" si="8"/>
        <v>0</v>
      </c>
      <c r="J36" s="466">
        <f t="shared" ref="J36:J43" si="10">SUM(G36:I36)</f>
        <v>0</v>
      </c>
      <c r="K36" s="110"/>
      <c r="L36" s="110"/>
    </row>
    <row r="37" spans="2:12" x14ac:dyDescent="0.25">
      <c r="B37" s="604" t="s">
        <v>109</v>
      </c>
      <c r="C37" s="578" t="s">
        <v>27</v>
      </c>
      <c r="D37" s="578"/>
      <c r="E37" s="593"/>
      <c r="F37" s="465">
        <f t="shared" si="9"/>
        <v>0</v>
      </c>
      <c r="G37" s="465">
        <f t="shared" si="6"/>
        <v>0</v>
      </c>
      <c r="H37" s="465">
        <f t="shared" si="7"/>
        <v>0</v>
      </c>
      <c r="I37" s="465">
        <f t="shared" si="8"/>
        <v>0</v>
      </c>
      <c r="J37" s="466">
        <f t="shared" si="10"/>
        <v>0</v>
      </c>
      <c r="K37" s="110"/>
      <c r="L37" s="110"/>
    </row>
    <row r="38" spans="2:12" x14ac:dyDescent="0.25">
      <c r="B38" s="604" t="s">
        <v>110</v>
      </c>
      <c r="C38" s="578" t="s">
        <v>27</v>
      </c>
      <c r="D38" s="578"/>
      <c r="E38" s="593"/>
      <c r="F38" s="465">
        <f t="shared" si="9"/>
        <v>0</v>
      </c>
      <c r="G38" s="465">
        <f t="shared" si="6"/>
        <v>0</v>
      </c>
      <c r="H38" s="465">
        <f t="shared" si="7"/>
        <v>0</v>
      </c>
      <c r="I38" s="465">
        <f t="shared" si="8"/>
        <v>0</v>
      </c>
      <c r="J38" s="466">
        <f t="shared" si="10"/>
        <v>0</v>
      </c>
      <c r="K38" s="110"/>
      <c r="L38" s="110"/>
    </row>
    <row r="39" spans="2:12" x14ac:dyDescent="0.25">
      <c r="B39" s="604" t="s">
        <v>111</v>
      </c>
      <c r="C39" s="578" t="s">
        <v>27</v>
      </c>
      <c r="D39" s="578"/>
      <c r="E39" s="593"/>
      <c r="F39" s="465">
        <f t="shared" si="9"/>
        <v>0</v>
      </c>
      <c r="G39" s="465">
        <f t="shared" si="6"/>
        <v>0</v>
      </c>
      <c r="H39" s="465">
        <f t="shared" si="7"/>
        <v>0</v>
      </c>
      <c r="I39" s="465">
        <f t="shared" si="8"/>
        <v>0</v>
      </c>
      <c r="J39" s="466">
        <f t="shared" si="10"/>
        <v>0</v>
      </c>
      <c r="K39" s="110"/>
      <c r="L39" s="110"/>
    </row>
    <row r="40" spans="2:12" x14ac:dyDescent="0.25">
      <c r="B40" s="604" t="s">
        <v>112</v>
      </c>
      <c r="C40" s="578" t="s">
        <v>27</v>
      </c>
      <c r="D40" s="578"/>
      <c r="E40" s="593"/>
      <c r="F40" s="465">
        <f t="shared" si="9"/>
        <v>0</v>
      </c>
      <c r="G40" s="465">
        <f t="shared" si="6"/>
        <v>0</v>
      </c>
      <c r="H40" s="465">
        <f t="shared" si="7"/>
        <v>0</v>
      </c>
      <c r="I40" s="465">
        <f t="shared" si="8"/>
        <v>0</v>
      </c>
      <c r="J40" s="466">
        <f t="shared" si="10"/>
        <v>0</v>
      </c>
      <c r="K40" s="110"/>
      <c r="L40" s="110"/>
    </row>
    <row r="41" spans="2:12" x14ac:dyDescent="0.25">
      <c r="B41" s="604" t="s">
        <v>113</v>
      </c>
      <c r="C41" s="578" t="s">
        <v>27</v>
      </c>
      <c r="D41" s="578"/>
      <c r="E41" s="593"/>
      <c r="F41" s="465">
        <f t="shared" si="9"/>
        <v>0</v>
      </c>
      <c r="G41" s="465">
        <f t="shared" si="6"/>
        <v>0</v>
      </c>
      <c r="H41" s="465">
        <f t="shared" si="7"/>
        <v>0</v>
      </c>
      <c r="I41" s="465">
        <f t="shared" si="8"/>
        <v>0</v>
      </c>
      <c r="J41" s="466">
        <f t="shared" si="10"/>
        <v>0</v>
      </c>
      <c r="K41" s="110"/>
      <c r="L41" s="110"/>
    </row>
    <row r="42" spans="2:12" x14ac:dyDescent="0.25">
      <c r="B42" s="604" t="s">
        <v>114</v>
      </c>
      <c r="C42" s="578" t="s">
        <v>27</v>
      </c>
      <c r="D42" s="578"/>
      <c r="E42" s="593"/>
      <c r="F42" s="465">
        <f t="shared" si="9"/>
        <v>0</v>
      </c>
      <c r="G42" s="465">
        <f t="shared" si="6"/>
        <v>0</v>
      </c>
      <c r="H42" s="465">
        <f t="shared" si="7"/>
        <v>0</v>
      </c>
      <c r="I42" s="465">
        <f t="shared" si="8"/>
        <v>0</v>
      </c>
      <c r="J42" s="466">
        <f t="shared" si="10"/>
        <v>0</v>
      </c>
      <c r="K42" s="110"/>
      <c r="L42" s="110"/>
    </row>
    <row r="43" spans="2:12" ht="15.75" thickBot="1" x14ac:dyDescent="0.3">
      <c r="B43" s="469"/>
      <c r="C43" s="470"/>
      <c r="D43" s="470"/>
      <c r="E43" s="471"/>
      <c r="F43" s="472">
        <f t="shared" si="9"/>
        <v>0</v>
      </c>
      <c r="G43" s="472">
        <f t="shared" si="6"/>
        <v>0</v>
      </c>
      <c r="H43" s="472">
        <f t="shared" si="7"/>
        <v>0</v>
      </c>
      <c r="I43" s="472">
        <f t="shared" si="8"/>
        <v>0</v>
      </c>
      <c r="J43" s="473">
        <f t="shared" si="10"/>
        <v>0</v>
      </c>
      <c r="K43" s="110"/>
      <c r="L43" s="110"/>
    </row>
    <row r="44" spans="2:12" ht="20.25" customHeight="1" thickBot="1" x14ac:dyDescent="0.3">
      <c r="B44" s="257" t="s">
        <v>60</v>
      </c>
      <c r="C44" s="258"/>
      <c r="D44" s="258"/>
      <c r="E44" s="259"/>
      <c r="F44" s="459">
        <f>SUM(F34:F43)</f>
        <v>0</v>
      </c>
      <c r="G44" s="460">
        <f>SUM(G34:G43)</f>
        <v>0</v>
      </c>
      <c r="H44" s="460">
        <f>SUM(H34:H43)</f>
        <v>0</v>
      </c>
      <c r="I44" s="460">
        <f>SUM(I34:I43)</f>
        <v>0</v>
      </c>
      <c r="J44" s="461">
        <f>SUM(J34:J43)</f>
        <v>0</v>
      </c>
      <c r="K44" s="145"/>
      <c r="L44" s="129"/>
    </row>
    <row r="45" spans="2:12" ht="19.5" thickBot="1" x14ac:dyDescent="0.3">
      <c r="B45" s="146"/>
      <c r="C45" s="147"/>
      <c r="D45" s="148"/>
      <c r="E45" s="149"/>
      <c r="F45" s="150"/>
      <c r="G45" s="610">
        <v>0.5</v>
      </c>
      <c r="H45" s="610">
        <v>0</v>
      </c>
      <c r="I45" s="610">
        <v>0.5</v>
      </c>
      <c r="J45" s="265"/>
      <c r="K45" s="110"/>
      <c r="L45" s="130"/>
    </row>
    <row r="46" spans="2:12" ht="20.25" customHeight="1" thickBot="1" x14ac:dyDescent="0.3">
      <c r="B46" s="173" t="s">
        <v>8</v>
      </c>
      <c r="C46" s="151"/>
      <c r="D46" s="151"/>
      <c r="E46" s="151"/>
      <c r="F46" s="151"/>
      <c r="G46" s="151"/>
      <c r="H46" s="151"/>
      <c r="I46" s="151"/>
      <c r="J46" s="152"/>
      <c r="K46" s="110"/>
      <c r="L46" s="130"/>
    </row>
    <row r="47" spans="2:12" ht="20.25" customHeight="1" thickBot="1" x14ac:dyDescent="0.3">
      <c r="B47" s="474" t="s">
        <v>96</v>
      </c>
      <c r="C47" s="475" t="s">
        <v>95</v>
      </c>
      <c r="D47" s="475">
        <v>1</v>
      </c>
      <c r="E47" s="476">
        <f>CDT!C51*-1</f>
        <v>174110.36</v>
      </c>
      <c r="F47" s="477">
        <f>E47*D47</f>
        <v>174110.36</v>
      </c>
      <c r="G47" s="477">
        <f>F47*$G$45</f>
        <v>87055.18</v>
      </c>
      <c r="H47" s="477">
        <f>F47*$H$45</f>
        <v>0</v>
      </c>
      <c r="I47" s="477">
        <f>F47*$I$45</f>
        <v>87055.18</v>
      </c>
      <c r="J47" s="478">
        <f>SUM(G47:I47)</f>
        <v>174110.36</v>
      </c>
      <c r="K47" s="110"/>
      <c r="L47" s="130"/>
    </row>
    <row r="48" spans="2:12" ht="20.25" customHeight="1" thickBot="1" x14ac:dyDescent="0.3">
      <c r="B48" s="251" t="s">
        <v>60</v>
      </c>
      <c r="C48" s="252"/>
      <c r="D48" s="252"/>
      <c r="E48" s="252"/>
      <c r="F48" s="175">
        <f>SUM(F47)</f>
        <v>174110.36</v>
      </c>
      <c r="G48" s="176">
        <f>SUM(G47)</f>
        <v>87055.18</v>
      </c>
      <c r="H48" s="176">
        <f>SUM(H47)</f>
        <v>0</v>
      </c>
      <c r="I48" s="176">
        <f>SUM(I47)</f>
        <v>87055.18</v>
      </c>
      <c r="J48" s="177">
        <f>SUM(J47)</f>
        <v>174110.36</v>
      </c>
      <c r="K48" s="145"/>
      <c r="L48" s="129"/>
    </row>
    <row r="49" spans="2:13" ht="7.5" customHeight="1" thickBot="1" x14ac:dyDescent="0.3">
      <c r="B49" s="253"/>
      <c r="C49" s="254"/>
      <c r="D49" s="254"/>
      <c r="E49" s="255"/>
      <c r="F49" s="479"/>
      <c r="G49" s="479"/>
      <c r="H49" s="479"/>
      <c r="I49" s="479"/>
      <c r="J49" s="480"/>
      <c r="K49" s="110"/>
      <c r="L49" s="130"/>
    </row>
    <row r="50" spans="2:13" ht="19.5" thickBot="1" x14ac:dyDescent="0.3">
      <c r="B50" s="256" t="s">
        <v>5</v>
      </c>
      <c r="C50" s="153"/>
      <c r="D50" s="153"/>
      <c r="E50" s="154"/>
      <c r="F50" s="175">
        <f>SUM(F31+F44+F48)</f>
        <v>210804.36</v>
      </c>
      <c r="G50" s="176">
        <f>SUM(G31+G44+G48)</f>
        <v>105402.18</v>
      </c>
      <c r="H50" s="176">
        <f>SUM(H31+H44+H48)</f>
        <v>0</v>
      </c>
      <c r="I50" s="176">
        <f>SUM(I31+I44+I48)</f>
        <v>105402.18</v>
      </c>
      <c r="J50" s="177">
        <f>SUM(J31+J44+J48)</f>
        <v>210804.36</v>
      </c>
      <c r="K50" s="113"/>
      <c r="L50" s="113"/>
      <c r="M50" s="113"/>
    </row>
    <row r="51" spans="2:13" x14ac:dyDescent="0.25">
      <c r="G51" s="112"/>
      <c r="H51" s="112"/>
      <c r="I51" s="112"/>
      <c r="J51" s="113"/>
    </row>
    <row r="52" spans="2:13" x14ac:dyDescent="0.25">
      <c r="G52" s="114"/>
      <c r="H52" s="114"/>
    </row>
  </sheetData>
  <sheetProtection selectLockedCells="1" selectUnlockedCells="1"/>
  <mergeCells count="2">
    <mergeCell ref="B2:J2"/>
    <mergeCell ref="B1:J1"/>
  </mergeCells>
  <phoneticPr fontId="0" type="noConversion"/>
  <hyperlinks>
    <hyperlink ref="A2" location="Portada!A21" display="INDICE"/>
  </hyperlinks>
  <pageMargins left="0.7" right="0.7" top="0.75" bottom="0.75" header="0.3" footer="0.3"/>
  <pageSetup paperSize="9" scale="80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41"/>
  <sheetViews>
    <sheetView showGridLines="0" topLeftCell="A7" zoomScale="90" zoomScaleNormal="90" workbookViewId="0">
      <selection activeCell="B25" sqref="B25"/>
    </sheetView>
  </sheetViews>
  <sheetFormatPr baseColWidth="10" defaultRowHeight="15" x14ac:dyDescent="0.25"/>
  <cols>
    <col min="1" max="1" width="7.140625" customWidth="1"/>
    <col min="2" max="2" width="33.5703125" customWidth="1"/>
    <col min="3" max="3" width="17.5703125" customWidth="1"/>
    <col min="4" max="8" width="15.42578125" customWidth="1"/>
    <col min="9" max="9" width="12.7109375" customWidth="1"/>
    <col min="10" max="10" width="7.28515625" bestFit="1" customWidth="1"/>
    <col min="11" max="11" width="9.5703125" bestFit="1" customWidth="1"/>
    <col min="12" max="12" width="10.7109375" bestFit="1" customWidth="1"/>
  </cols>
  <sheetData>
    <row r="1" spans="1:12" ht="21" customHeight="1" x14ac:dyDescent="0.35">
      <c r="A1" s="422" t="s">
        <v>240</v>
      </c>
      <c r="B1" s="620" t="str">
        <f>Memoria!B2:I2</f>
        <v>TORTILLERIA TIO FRANK</v>
      </c>
      <c r="C1" s="620"/>
      <c r="D1" s="620"/>
      <c r="E1" s="620"/>
      <c r="F1" s="620"/>
      <c r="G1" s="620"/>
      <c r="H1" s="620"/>
    </row>
    <row r="2" spans="1:12" ht="21" customHeight="1" x14ac:dyDescent="0.35">
      <c r="B2" s="621" t="s">
        <v>70</v>
      </c>
      <c r="C2" s="621"/>
      <c r="D2" s="621"/>
      <c r="E2" s="621"/>
      <c r="F2" s="621"/>
      <c r="G2" s="621"/>
      <c r="H2" s="621"/>
    </row>
    <row r="3" spans="1:12" ht="15.75" thickBot="1" x14ac:dyDescent="0.3"/>
    <row r="4" spans="1:12" ht="32.25" thickBot="1" x14ac:dyDescent="0.3">
      <c r="B4" s="122" t="s">
        <v>11</v>
      </c>
      <c r="C4" s="123" t="s">
        <v>126</v>
      </c>
      <c r="D4" s="124" t="s">
        <v>14</v>
      </c>
      <c r="E4" s="124" t="s">
        <v>15</v>
      </c>
      <c r="F4" s="124" t="s">
        <v>16</v>
      </c>
      <c r="G4" s="124" t="s">
        <v>17</v>
      </c>
      <c r="H4" s="125" t="s">
        <v>18</v>
      </c>
    </row>
    <row r="5" spans="1:12" ht="19.5" thickBot="1" x14ac:dyDescent="0.3">
      <c r="B5" s="128" t="s">
        <v>104</v>
      </c>
      <c r="C5" s="273">
        <f>SUM(C6:C20)</f>
        <v>44256.53</v>
      </c>
      <c r="D5" s="273">
        <f t="shared" ref="D5:H5" si="0">SUM(D6:D20)</f>
        <v>531078.3600000001</v>
      </c>
      <c r="E5" s="273">
        <f t="shared" si="0"/>
        <v>531078.3600000001</v>
      </c>
      <c r="F5" s="273">
        <f t="shared" si="0"/>
        <v>531078.3600000001</v>
      </c>
      <c r="G5" s="273">
        <f t="shared" si="0"/>
        <v>531078.3600000001</v>
      </c>
      <c r="H5" s="273">
        <f t="shared" si="0"/>
        <v>531078.3600000001</v>
      </c>
      <c r="K5" s="96"/>
    </row>
    <row r="6" spans="1:12" s="108" customFormat="1" x14ac:dyDescent="0.25">
      <c r="B6" s="481" t="str">
        <f>Memoria!B28</f>
        <v>Energía Eléctrica</v>
      </c>
      <c r="C6" s="482">
        <f>Memoria!D28</f>
        <v>560.34</v>
      </c>
      <c r="D6" s="482">
        <f>C6*12</f>
        <v>6724.08</v>
      </c>
      <c r="E6" s="482">
        <f>C6*12</f>
        <v>6724.08</v>
      </c>
      <c r="F6" s="482">
        <f>C6*12</f>
        <v>6724.08</v>
      </c>
      <c r="G6" s="482">
        <f>C6*12</f>
        <v>6724.08</v>
      </c>
      <c r="H6" s="483">
        <f>C6*12</f>
        <v>6724.08</v>
      </c>
      <c r="I6" s="116"/>
      <c r="J6" s="117"/>
      <c r="K6" s="84"/>
      <c r="L6" s="118"/>
    </row>
    <row r="7" spans="1:12" s="108" customFormat="1" x14ac:dyDescent="0.25">
      <c r="B7" s="481" t="str">
        <f>Memoria!B29</f>
        <v>Telefonos e Internet</v>
      </c>
      <c r="C7" s="482">
        <f>Memoria!D29</f>
        <v>517.24</v>
      </c>
      <c r="D7" s="484">
        <f t="shared" ref="D7:D20" si="1">C7*12</f>
        <v>6206.88</v>
      </c>
      <c r="E7" s="484">
        <f t="shared" ref="E7:E20" si="2">C7*12</f>
        <v>6206.88</v>
      </c>
      <c r="F7" s="484">
        <f t="shared" ref="F7:F20" si="3">C7*12</f>
        <v>6206.88</v>
      </c>
      <c r="G7" s="484">
        <f t="shared" ref="G7:G20" si="4">C7*12</f>
        <v>6206.88</v>
      </c>
      <c r="H7" s="485">
        <f t="shared" ref="H7:H20" si="5">C7*12</f>
        <v>6206.88</v>
      </c>
      <c r="I7" s="116"/>
      <c r="J7" s="117"/>
      <c r="K7" s="119"/>
      <c r="L7" s="118"/>
    </row>
    <row r="8" spans="1:12" s="108" customFormat="1" x14ac:dyDescent="0.25">
      <c r="B8" s="481" t="str">
        <f>Memoria!B30</f>
        <v>Arrendamiento</v>
      </c>
      <c r="C8" s="482">
        <f>Memoria!D30</f>
        <v>1724.14</v>
      </c>
      <c r="D8" s="484">
        <f t="shared" si="1"/>
        <v>20689.68</v>
      </c>
      <c r="E8" s="484">
        <f t="shared" si="2"/>
        <v>20689.68</v>
      </c>
      <c r="F8" s="484">
        <f t="shared" si="3"/>
        <v>20689.68</v>
      </c>
      <c r="G8" s="484">
        <f t="shared" si="4"/>
        <v>20689.68</v>
      </c>
      <c r="H8" s="485">
        <f t="shared" si="5"/>
        <v>20689.68</v>
      </c>
      <c r="I8" s="116"/>
      <c r="J8" s="117"/>
      <c r="K8" s="119"/>
      <c r="L8" s="118"/>
    </row>
    <row r="9" spans="1:12" s="108" customFormat="1" x14ac:dyDescent="0.25">
      <c r="B9" s="481" t="str">
        <f>Memoria!B31</f>
        <v>Agua</v>
      </c>
      <c r="C9" s="482">
        <f>Memoria!D31</f>
        <v>431.03</v>
      </c>
      <c r="D9" s="484">
        <f t="shared" si="1"/>
        <v>5172.3599999999997</v>
      </c>
      <c r="E9" s="484">
        <f t="shared" si="2"/>
        <v>5172.3599999999997</v>
      </c>
      <c r="F9" s="484">
        <f t="shared" si="3"/>
        <v>5172.3599999999997</v>
      </c>
      <c r="G9" s="484">
        <f t="shared" si="4"/>
        <v>5172.3599999999997</v>
      </c>
      <c r="H9" s="485">
        <f t="shared" si="5"/>
        <v>5172.3599999999997</v>
      </c>
      <c r="I9" s="116"/>
      <c r="J9" s="117"/>
      <c r="K9" s="119"/>
      <c r="L9" s="118"/>
    </row>
    <row r="10" spans="1:12" s="108" customFormat="1" x14ac:dyDescent="0.25">
      <c r="B10" s="481" t="str">
        <f>Memoria!B32</f>
        <v>Otros gastos menores</v>
      </c>
      <c r="C10" s="482">
        <f>Memoria!D32</f>
        <v>333.62</v>
      </c>
      <c r="D10" s="484">
        <f t="shared" si="1"/>
        <v>4003.44</v>
      </c>
      <c r="E10" s="484">
        <f t="shared" si="2"/>
        <v>4003.44</v>
      </c>
      <c r="F10" s="484">
        <f t="shared" si="3"/>
        <v>4003.44</v>
      </c>
      <c r="G10" s="484">
        <f t="shared" si="4"/>
        <v>4003.44</v>
      </c>
      <c r="H10" s="485">
        <f t="shared" si="5"/>
        <v>4003.44</v>
      </c>
      <c r="I10" s="116"/>
      <c r="J10" s="117"/>
      <c r="K10" s="119"/>
      <c r="L10" s="118"/>
    </row>
    <row r="11" spans="1:12" s="108" customFormat="1" x14ac:dyDescent="0.25">
      <c r="B11" s="481" t="str">
        <f>Memoria!B35</f>
        <v>Departamento de Finanzas</v>
      </c>
      <c r="C11" s="482">
        <f>Memoria!D35</f>
        <v>8000.1</v>
      </c>
      <c r="D11" s="484">
        <f t="shared" si="1"/>
        <v>96001.200000000012</v>
      </c>
      <c r="E11" s="484">
        <f t="shared" si="2"/>
        <v>96001.200000000012</v>
      </c>
      <c r="F11" s="484">
        <f t="shared" si="3"/>
        <v>96001.200000000012</v>
      </c>
      <c r="G11" s="484">
        <f t="shared" si="4"/>
        <v>96001.200000000012</v>
      </c>
      <c r="H11" s="485">
        <f t="shared" si="5"/>
        <v>96001.200000000012</v>
      </c>
      <c r="I11" s="120"/>
      <c r="J11" s="117"/>
      <c r="K11" s="119"/>
      <c r="L11" s="118"/>
    </row>
    <row r="12" spans="1:12" s="108" customFormat="1" x14ac:dyDescent="0.25">
      <c r="B12" s="481" t="str">
        <f>Memoria!B36</f>
        <v>Departamento de Ventas</v>
      </c>
      <c r="C12" s="482">
        <f>Memoria!D36</f>
        <v>8000.1</v>
      </c>
      <c r="D12" s="484">
        <f t="shared" si="1"/>
        <v>96001.200000000012</v>
      </c>
      <c r="E12" s="484">
        <f t="shared" si="2"/>
        <v>96001.200000000012</v>
      </c>
      <c r="F12" s="484">
        <f t="shared" si="3"/>
        <v>96001.200000000012</v>
      </c>
      <c r="G12" s="484">
        <f t="shared" si="4"/>
        <v>96001.200000000012</v>
      </c>
      <c r="H12" s="485">
        <f t="shared" si="5"/>
        <v>96001.200000000012</v>
      </c>
      <c r="I12" s="120"/>
      <c r="J12" s="117"/>
      <c r="K12" s="119"/>
      <c r="L12" s="118"/>
    </row>
    <row r="13" spans="1:12" s="108" customFormat="1" x14ac:dyDescent="0.25">
      <c r="B13" s="481" t="str">
        <f>Memoria!B37</f>
        <v>Departamento de diseño</v>
      </c>
      <c r="C13" s="482">
        <f>Memoria!D37</f>
        <v>8000.1</v>
      </c>
      <c r="D13" s="484">
        <f t="shared" si="1"/>
        <v>96001.200000000012</v>
      </c>
      <c r="E13" s="484">
        <f t="shared" si="2"/>
        <v>96001.200000000012</v>
      </c>
      <c r="F13" s="484">
        <f t="shared" si="3"/>
        <v>96001.200000000012</v>
      </c>
      <c r="G13" s="484">
        <f t="shared" si="4"/>
        <v>96001.200000000012</v>
      </c>
      <c r="H13" s="485">
        <f t="shared" si="5"/>
        <v>96001.200000000012</v>
      </c>
      <c r="I13" s="121"/>
      <c r="K13" s="119"/>
      <c r="L13" s="118"/>
    </row>
    <row r="14" spans="1:12" s="108" customFormat="1" x14ac:dyDescent="0.25">
      <c r="B14" s="481" t="str">
        <f>Memoria!B38</f>
        <v>Departamento de Informática</v>
      </c>
      <c r="C14" s="482">
        <f>Memoria!D38</f>
        <v>8000.1</v>
      </c>
      <c r="D14" s="484">
        <f t="shared" si="1"/>
        <v>96001.200000000012</v>
      </c>
      <c r="E14" s="484">
        <f t="shared" si="2"/>
        <v>96001.200000000012</v>
      </c>
      <c r="F14" s="484">
        <f t="shared" si="3"/>
        <v>96001.200000000012</v>
      </c>
      <c r="G14" s="484">
        <f t="shared" si="4"/>
        <v>96001.200000000012</v>
      </c>
      <c r="H14" s="485">
        <f t="shared" si="5"/>
        <v>96001.200000000012</v>
      </c>
      <c r="I14" s="121"/>
      <c r="K14" s="119"/>
      <c r="L14" s="118"/>
    </row>
    <row r="15" spans="1:12" s="108" customFormat="1" x14ac:dyDescent="0.25">
      <c r="B15" s="481" t="str">
        <f>Memoria!B39</f>
        <v>Contador Público</v>
      </c>
      <c r="C15" s="482">
        <f>Memoria!D39</f>
        <v>8000.1</v>
      </c>
      <c r="D15" s="484">
        <f t="shared" si="1"/>
        <v>96001.200000000012</v>
      </c>
      <c r="E15" s="484">
        <f t="shared" si="2"/>
        <v>96001.200000000012</v>
      </c>
      <c r="F15" s="484">
        <f t="shared" si="3"/>
        <v>96001.200000000012</v>
      </c>
      <c r="G15" s="484">
        <f t="shared" si="4"/>
        <v>96001.200000000012</v>
      </c>
      <c r="H15" s="485">
        <f t="shared" si="5"/>
        <v>96001.200000000012</v>
      </c>
      <c r="I15" s="121"/>
      <c r="K15" s="119"/>
      <c r="L15" s="118"/>
    </row>
    <row r="16" spans="1:12" s="108" customFormat="1" x14ac:dyDescent="0.25">
      <c r="B16" s="481" t="str">
        <f>Memoria!B41</f>
        <v>Papeleria y útiles</v>
      </c>
      <c r="C16" s="482">
        <f>Memoria!D41</f>
        <v>689.66</v>
      </c>
      <c r="D16" s="484">
        <f t="shared" si="1"/>
        <v>8275.92</v>
      </c>
      <c r="E16" s="484">
        <f t="shared" si="2"/>
        <v>8275.92</v>
      </c>
      <c r="F16" s="484">
        <f t="shared" si="3"/>
        <v>8275.92</v>
      </c>
      <c r="G16" s="484">
        <f t="shared" si="4"/>
        <v>8275.92</v>
      </c>
      <c r="H16" s="485">
        <f t="shared" si="5"/>
        <v>8275.92</v>
      </c>
      <c r="I16" s="121"/>
      <c r="K16" s="119"/>
      <c r="L16" s="118"/>
    </row>
    <row r="17" spans="2:12" s="108" customFormat="1" x14ac:dyDescent="0.25">
      <c r="B17" s="481">
        <f>Memoria!B42</f>
        <v>0</v>
      </c>
      <c r="C17" s="482">
        <f>Memoria!D42</f>
        <v>0</v>
      </c>
      <c r="D17" s="484">
        <f t="shared" si="1"/>
        <v>0</v>
      </c>
      <c r="E17" s="484">
        <f t="shared" si="2"/>
        <v>0</v>
      </c>
      <c r="F17" s="484">
        <f t="shared" si="3"/>
        <v>0</v>
      </c>
      <c r="G17" s="484">
        <f t="shared" si="4"/>
        <v>0</v>
      </c>
      <c r="H17" s="485">
        <f t="shared" si="5"/>
        <v>0</v>
      </c>
      <c r="I17" s="121"/>
      <c r="K17" s="119"/>
      <c r="L17" s="118"/>
    </row>
    <row r="18" spans="2:12" s="108" customFormat="1" x14ac:dyDescent="0.25">
      <c r="B18" s="481">
        <f>Memoria!B43</f>
        <v>0</v>
      </c>
      <c r="C18" s="482">
        <f>Memoria!D43</f>
        <v>0</v>
      </c>
      <c r="D18" s="484">
        <f t="shared" si="1"/>
        <v>0</v>
      </c>
      <c r="E18" s="484">
        <f t="shared" si="2"/>
        <v>0</v>
      </c>
      <c r="F18" s="484">
        <f t="shared" si="3"/>
        <v>0</v>
      </c>
      <c r="G18" s="484">
        <f t="shared" si="4"/>
        <v>0</v>
      </c>
      <c r="H18" s="485">
        <f t="shared" si="5"/>
        <v>0</v>
      </c>
      <c r="I18" s="121"/>
      <c r="K18" s="119"/>
      <c r="L18" s="118"/>
    </row>
    <row r="19" spans="2:12" s="108" customFormat="1" x14ac:dyDescent="0.25">
      <c r="B19" s="481">
        <f>Memoria!B44</f>
        <v>0</v>
      </c>
      <c r="C19" s="482">
        <f>Memoria!D44</f>
        <v>0</v>
      </c>
      <c r="D19" s="484">
        <f t="shared" si="1"/>
        <v>0</v>
      </c>
      <c r="E19" s="484">
        <f t="shared" si="2"/>
        <v>0</v>
      </c>
      <c r="F19" s="484">
        <f t="shared" si="3"/>
        <v>0</v>
      </c>
      <c r="G19" s="484">
        <f t="shared" si="4"/>
        <v>0</v>
      </c>
      <c r="H19" s="485">
        <f t="shared" si="5"/>
        <v>0</v>
      </c>
      <c r="I19" s="121"/>
      <c r="K19" s="119"/>
      <c r="L19" s="118"/>
    </row>
    <row r="20" spans="2:12" s="108" customFormat="1" ht="15.75" thickBot="1" x14ac:dyDescent="0.3">
      <c r="B20" s="427">
        <f>Memoria!B45</f>
        <v>0</v>
      </c>
      <c r="C20" s="428">
        <f>Memoria!D45</f>
        <v>0</v>
      </c>
      <c r="D20" s="429">
        <f t="shared" si="1"/>
        <v>0</v>
      </c>
      <c r="E20" s="429">
        <f t="shared" si="2"/>
        <v>0</v>
      </c>
      <c r="F20" s="429">
        <f t="shared" si="3"/>
        <v>0</v>
      </c>
      <c r="G20" s="429">
        <f t="shared" si="4"/>
        <v>0</v>
      </c>
      <c r="H20" s="430">
        <f t="shared" si="5"/>
        <v>0</v>
      </c>
      <c r="I20" s="121"/>
      <c r="K20" s="119"/>
      <c r="L20" s="118"/>
    </row>
    <row r="21" spans="2:12" ht="23.25" customHeight="1" thickBot="1" x14ac:dyDescent="0.3">
      <c r="B21" s="128" t="s">
        <v>105</v>
      </c>
      <c r="C21" s="274">
        <f>SUM(C22:C36)</f>
        <v>77586</v>
      </c>
      <c r="D21" s="274">
        <f t="shared" ref="D21:H21" si="6">SUM(D22:D36)</f>
        <v>931032</v>
      </c>
      <c r="E21" s="274">
        <f t="shared" si="6"/>
        <v>931032</v>
      </c>
      <c r="F21" s="274">
        <f t="shared" si="6"/>
        <v>931032</v>
      </c>
      <c r="G21" s="274">
        <f t="shared" si="6"/>
        <v>931032</v>
      </c>
      <c r="H21" s="274">
        <f t="shared" si="6"/>
        <v>931032</v>
      </c>
      <c r="I21" s="77"/>
      <c r="K21" s="97"/>
      <c r="L21" s="100"/>
    </row>
    <row r="22" spans="2:12" x14ac:dyDescent="0.25">
      <c r="B22" s="486" t="str">
        <f>Memoria!B5</f>
        <v>Blusa terminado</v>
      </c>
      <c r="C22" s="487">
        <f>Memoria!F5</f>
        <v>77586</v>
      </c>
      <c r="D22" s="487">
        <f>C22*12</f>
        <v>931032</v>
      </c>
      <c r="E22" s="487">
        <f>C22*12</f>
        <v>931032</v>
      </c>
      <c r="F22" s="487">
        <f>C22*12</f>
        <v>931032</v>
      </c>
      <c r="G22" s="487">
        <f>C22*12</f>
        <v>931032</v>
      </c>
      <c r="H22" s="488">
        <f>C22*12</f>
        <v>931032</v>
      </c>
      <c r="I22" s="77"/>
      <c r="K22" s="97"/>
      <c r="L22" s="100"/>
    </row>
    <row r="23" spans="2:12" x14ac:dyDescent="0.25">
      <c r="B23" s="486">
        <f>Memoria!B6</f>
        <v>0</v>
      </c>
      <c r="C23" s="487">
        <f>Memoria!F6</f>
        <v>0</v>
      </c>
      <c r="D23" s="489">
        <f t="shared" ref="D23:D36" si="7">C23*12</f>
        <v>0</v>
      </c>
      <c r="E23" s="489">
        <f t="shared" ref="E23:E36" si="8">C23*12</f>
        <v>0</v>
      </c>
      <c r="F23" s="489">
        <f t="shared" ref="F23:F36" si="9">C23*12</f>
        <v>0</v>
      </c>
      <c r="G23" s="489">
        <f t="shared" ref="G23:G36" si="10">C23*12</f>
        <v>0</v>
      </c>
      <c r="H23" s="490">
        <f t="shared" ref="H23:H36" si="11">C23*12</f>
        <v>0</v>
      </c>
      <c r="I23" s="77"/>
      <c r="K23" s="97"/>
      <c r="L23" s="100"/>
    </row>
    <row r="24" spans="2:12" x14ac:dyDescent="0.25">
      <c r="B24" s="486">
        <f>Memoria!B7</f>
        <v>0</v>
      </c>
      <c r="C24" s="487">
        <f>Memoria!F7</f>
        <v>0</v>
      </c>
      <c r="D24" s="489">
        <f t="shared" si="7"/>
        <v>0</v>
      </c>
      <c r="E24" s="489">
        <f t="shared" si="8"/>
        <v>0</v>
      </c>
      <c r="F24" s="489">
        <f t="shared" si="9"/>
        <v>0</v>
      </c>
      <c r="G24" s="489">
        <f t="shared" si="10"/>
        <v>0</v>
      </c>
      <c r="H24" s="490">
        <f t="shared" si="11"/>
        <v>0</v>
      </c>
      <c r="I24" s="77"/>
      <c r="K24" s="97"/>
      <c r="L24" s="100"/>
    </row>
    <row r="25" spans="2:12" x14ac:dyDescent="0.25">
      <c r="B25" s="486">
        <f>Memoria!B8</f>
        <v>0</v>
      </c>
      <c r="C25" s="487">
        <f>Memoria!F8</f>
        <v>0</v>
      </c>
      <c r="D25" s="489">
        <f t="shared" si="7"/>
        <v>0</v>
      </c>
      <c r="E25" s="489">
        <f t="shared" si="8"/>
        <v>0</v>
      </c>
      <c r="F25" s="489">
        <f t="shared" si="9"/>
        <v>0</v>
      </c>
      <c r="G25" s="489">
        <f t="shared" si="10"/>
        <v>0</v>
      </c>
      <c r="H25" s="490">
        <f t="shared" si="11"/>
        <v>0</v>
      </c>
      <c r="I25" s="77"/>
      <c r="K25" s="97"/>
      <c r="L25" s="100"/>
    </row>
    <row r="26" spans="2:12" x14ac:dyDescent="0.25">
      <c r="B26" s="486">
        <f>Memoria!B9</f>
        <v>0</v>
      </c>
      <c r="C26" s="487">
        <f>Memoria!F9</f>
        <v>0</v>
      </c>
      <c r="D26" s="489">
        <f t="shared" si="7"/>
        <v>0</v>
      </c>
      <c r="E26" s="489">
        <f t="shared" si="8"/>
        <v>0</v>
      </c>
      <c r="F26" s="489">
        <f t="shared" si="9"/>
        <v>0</v>
      </c>
      <c r="G26" s="489">
        <f t="shared" si="10"/>
        <v>0</v>
      </c>
      <c r="H26" s="490">
        <f t="shared" si="11"/>
        <v>0</v>
      </c>
      <c r="I26" s="77"/>
      <c r="K26" s="97"/>
      <c r="L26" s="100"/>
    </row>
    <row r="27" spans="2:12" x14ac:dyDescent="0.25">
      <c r="B27" s="486">
        <f>Memoria!B10</f>
        <v>0</v>
      </c>
      <c r="C27" s="487">
        <f>Memoria!F10</f>
        <v>0</v>
      </c>
      <c r="D27" s="489">
        <f t="shared" si="7"/>
        <v>0</v>
      </c>
      <c r="E27" s="489">
        <f t="shared" si="8"/>
        <v>0</v>
      </c>
      <c r="F27" s="489">
        <f t="shared" si="9"/>
        <v>0</v>
      </c>
      <c r="G27" s="489">
        <f t="shared" si="10"/>
        <v>0</v>
      </c>
      <c r="H27" s="490">
        <f t="shared" si="11"/>
        <v>0</v>
      </c>
      <c r="I27" s="77"/>
      <c r="K27" s="97"/>
      <c r="L27" s="100"/>
    </row>
    <row r="28" spans="2:12" x14ac:dyDescent="0.25">
      <c r="B28" s="486">
        <f>Memoria!B11</f>
        <v>0</v>
      </c>
      <c r="C28" s="487">
        <f>Memoria!F11</f>
        <v>0</v>
      </c>
      <c r="D28" s="489">
        <f t="shared" si="7"/>
        <v>0</v>
      </c>
      <c r="E28" s="489">
        <f t="shared" si="8"/>
        <v>0</v>
      </c>
      <c r="F28" s="489">
        <f t="shared" si="9"/>
        <v>0</v>
      </c>
      <c r="G28" s="489">
        <f t="shared" si="10"/>
        <v>0</v>
      </c>
      <c r="H28" s="490">
        <f t="shared" si="11"/>
        <v>0</v>
      </c>
      <c r="I28" s="77"/>
      <c r="K28" s="97"/>
      <c r="L28" s="100"/>
    </row>
    <row r="29" spans="2:12" x14ac:dyDescent="0.25">
      <c r="B29" s="486">
        <f>Memoria!B12</f>
        <v>0</v>
      </c>
      <c r="C29" s="487">
        <f>Memoria!F12</f>
        <v>0</v>
      </c>
      <c r="D29" s="489">
        <f t="shared" si="7"/>
        <v>0</v>
      </c>
      <c r="E29" s="489">
        <f t="shared" si="8"/>
        <v>0</v>
      </c>
      <c r="F29" s="489">
        <f t="shared" si="9"/>
        <v>0</v>
      </c>
      <c r="G29" s="489">
        <f t="shared" si="10"/>
        <v>0</v>
      </c>
      <c r="H29" s="490">
        <f t="shared" si="11"/>
        <v>0</v>
      </c>
      <c r="I29" s="77"/>
      <c r="K29" s="97"/>
      <c r="L29" s="100"/>
    </row>
    <row r="30" spans="2:12" x14ac:dyDescent="0.25">
      <c r="B30" s="486">
        <f>Memoria!B13</f>
        <v>0</v>
      </c>
      <c r="C30" s="487">
        <f>Memoria!F13</f>
        <v>0</v>
      </c>
      <c r="D30" s="489">
        <f t="shared" si="7"/>
        <v>0</v>
      </c>
      <c r="E30" s="489">
        <f t="shared" si="8"/>
        <v>0</v>
      </c>
      <c r="F30" s="489">
        <f t="shared" si="9"/>
        <v>0</v>
      </c>
      <c r="G30" s="489">
        <f t="shared" si="10"/>
        <v>0</v>
      </c>
      <c r="H30" s="490">
        <f t="shared" si="11"/>
        <v>0</v>
      </c>
      <c r="I30" s="77"/>
      <c r="K30" s="97"/>
      <c r="L30" s="100"/>
    </row>
    <row r="31" spans="2:12" x14ac:dyDescent="0.25">
      <c r="B31" s="431">
        <f>Memoria!B14</f>
        <v>0</v>
      </c>
      <c r="C31" s="432">
        <f>Memoria!F14</f>
        <v>0</v>
      </c>
      <c r="D31" s="433">
        <f t="shared" si="7"/>
        <v>0</v>
      </c>
      <c r="E31" s="433">
        <f t="shared" si="8"/>
        <v>0</v>
      </c>
      <c r="F31" s="433">
        <f t="shared" si="9"/>
        <v>0</v>
      </c>
      <c r="G31" s="433">
        <f t="shared" si="10"/>
        <v>0</v>
      </c>
      <c r="H31" s="434">
        <f t="shared" si="11"/>
        <v>0</v>
      </c>
      <c r="I31" s="77"/>
      <c r="K31" s="97"/>
      <c r="L31" s="100"/>
    </row>
    <row r="32" spans="2:12" x14ac:dyDescent="0.25">
      <c r="B32" s="431">
        <f>Memoria!B15</f>
        <v>0</v>
      </c>
      <c r="C32" s="432">
        <f>Memoria!F15</f>
        <v>0</v>
      </c>
      <c r="D32" s="433">
        <f t="shared" si="7"/>
        <v>0</v>
      </c>
      <c r="E32" s="433">
        <f t="shared" si="8"/>
        <v>0</v>
      </c>
      <c r="F32" s="433">
        <f t="shared" si="9"/>
        <v>0</v>
      </c>
      <c r="G32" s="433">
        <f t="shared" si="10"/>
        <v>0</v>
      </c>
      <c r="H32" s="434">
        <f t="shared" si="11"/>
        <v>0</v>
      </c>
      <c r="I32" s="77"/>
      <c r="K32" s="97"/>
      <c r="L32" s="100"/>
    </row>
    <row r="33" spans="2:12" x14ac:dyDescent="0.25">
      <c r="B33" s="431">
        <f>Memoria!B16</f>
        <v>0</v>
      </c>
      <c r="C33" s="432">
        <f>Memoria!F16</f>
        <v>0</v>
      </c>
      <c r="D33" s="433">
        <f t="shared" si="7"/>
        <v>0</v>
      </c>
      <c r="E33" s="433">
        <f t="shared" si="8"/>
        <v>0</v>
      </c>
      <c r="F33" s="433">
        <f t="shared" si="9"/>
        <v>0</v>
      </c>
      <c r="G33" s="433">
        <f t="shared" si="10"/>
        <v>0</v>
      </c>
      <c r="H33" s="434">
        <f t="shared" si="11"/>
        <v>0</v>
      </c>
      <c r="I33" s="77"/>
      <c r="K33" s="97"/>
      <c r="L33" s="100"/>
    </row>
    <row r="34" spans="2:12" x14ac:dyDescent="0.25">
      <c r="B34" s="431">
        <f>Memoria!B17</f>
        <v>0</v>
      </c>
      <c r="C34" s="432">
        <f>Memoria!F17</f>
        <v>0</v>
      </c>
      <c r="D34" s="433">
        <f t="shared" si="7"/>
        <v>0</v>
      </c>
      <c r="E34" s="433">
        <f t="shared" si="8"/>
        <v>0</v>
      </c>
      <c r="F34" s="433">
        <f t="shared" si="9"/>
        <v>0</v>
      </c>
      <c r="G34" s="433">
        <f t="shared" si="10"/>
        <v>0</v>
      </c>
      <c r="H34" s="434">
        <f t="shared" si="11"/>
        <v>0</v>
      </c>
      <c r="I34" s="77"/>
      <c r="K34" s="97"/>
      <c r="L34" s="100"/>
    </row>
    <row r="35" spans="2:12" x14ac:dyDescent="0.25">
      <c r="B35" s="431">
        <f>Memoria!B18</f>
        <v>0</v>
      </c>
      <c r="C35" s="432">
        <f>Memoria!F18</f>
        <v>0</v>
      </c>
      <c r="D35" s="433">
        <f t="shared" si="7"/>
        <v>0</v>
      </c>
      <c r="E35" s="433">
        <f t="shared" si="8"/>
        <v>0</v>
      </c>
      <c r="F35" s="433">
        <f t="shared" si="9"/>
        <v>0</v>
      </c>
      <c r="G35" s="433">
        <f t="shared" si="10"/>
        <v>0</v>
      </c>
      <c r="H35" s="434">
        <f t="shared" si="11"/>
        <v>0</v>
      </c>
      <c r="I35" s="77"/>
      <c r="K35" s="97"/>
      <c r="L35" s="100"/>
    </row>
    <row r="36" spans="2:12" ht="15.75" thickBot="1" x14ac:dyDescent="0.3">
      <c r="B36" s="431">
        <f>Memoria!B19</f>
        <v>0</v>
      </c>
      <c r="C36" s="432">
        <f>Memoria!F19</f>
        <v>0</v>
      </c>
      <c r="D36" s="435">
        <f t="shared" si="7"/>
        <v>0</v>
      </c>
      <c r="E36" s="435">
        <f t="shared" si="8"/>
        <v>0</v>
      </c>
      <c r="F36" s="435">
        <f t="shared" si="9"/>
        <v>0</v>
      </c>
      <c r="G36" s="435">
        <f t="shared" si="10"/>
        <v>0</v>
      </c>
      <c r="H36" s="436">
        <f t="shared" si="11"/>
        <v>0</v>
      </c>
      <c r="I36" s="77"/>
      <c r="K36" s="97"/>
      <c r="L36" s="98"/>
    </row>
    <row r="37" spans="2:12" ht="19.5" thickBot="1" x14ac:dyDescent="0.3">
      <c r="B37" s="178" t="s">
        <v>5</v>
      </c>
      <c r="C37" s="179">
        <f>+C21+C5</f>
        <v>121842.53</v>
      </c>
      <c r="D37" s="179">
        <f>+D21+D5</f>
        <v>1462110.36</v>
      </c>
      <c r="E37" s="179">
        <f>+E21+E5</f>
        <v>1462110.36</v>
      </c>
      <c r="F37" s="179">
        <f>+F21+F5</f>
        <v>1462110.36</v>
      </c>
      <c r="G37" s="179">
        <f t="shared" ref="G37:H37" si="12">+G21+G5</f>
        <v>1462110.36</v>
      </c>
      <c r="H37" s="179">
        <f t="shared" si="12"/>
        <v>1462110.36</v>
      </c>
      <c r="K37" s="97"/>
      <c r="L37" s="97"/>
    </row>
    <row r="38" spans="2:12" x14ac:dyDescent="0.25">
      <c r="K38" s="3"/>
      <c r="L38" s="3"/>
    </row>
    <row r="39" spans="2:12" x14ac:dyDescent="0.25">
      <c r="C39" s="104"/>
      <c r="E39" s="96"/>
    </row>
    <row r="40" spans="2:12" x14ac:dyDescent="0.25">
      <c r="D40" s="96"/>
      <c r="E40" s="96"/>
    </row>
    <row r="41" spans="2:12" x14ac:dyDescent="0.25">
      <c r="D41" s="96"/>
      <c r="E41" s="99"/>
      <c r="F41" s="99"/>
      <c r="G41" s="102"/>
    </row>
  </sheetData>
  <mergeCells count="2">
    <mergeCell ref="B1:H1"/>
    <mergeCell ref="B2:H2"/>
  </mergeCells>
  <phoneticPr fontId="0" type="noConversion"/>
  <hyperlinks>
    <hyperlink ref="A1" location="Portada!A24" display="INDICE"/>
  </hyperlinks>
  <pageMargins left="0.7" right="0.7" top="0.75" bottom="0.75" header="0.3" footer="0.3"/>
  <pageSetup paperSize="9" scale="92"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A96"/>
  <sheetViews>
    <sheetView showGridLines="0" tabSelected="1" workbookViewId="0">
      <selection activeCell="D48" sqref="D48"/>
    </sheetView>
  </sheetViews>
  <sheetFormatPr baseColWidth="10" defaultRowHeight="15" x14ac:dyDescent="0.25"/>
  <cols>
    <col min="2" max="2" width="37.42578125" customWidth="1"/>
    <col min="3" max="3" width="16.28515625" customWidth="1"/>
    <col min="4" max="7" width="15.42578125" customWidth="1"/>
    <col min="27" max="27" width="11.5703125" bestFit="1" customWidth="1"/>
  </cols>
  <sheetData>
    <row r="1" spans="1:9" ht="21" x14ac:dyDescent="0.25">
      <c r="A1" s="422" t="s">
        <v>240</v>
      </c>
      <c r="B1" s="622" t="str">
        <f>'Proyeccion costos'!B1:H1</f>
        <v>TORTILLERIA TIO FRANK</v>
      </c>
      <c r="C1" s="622"/>
      <c r="D1" s="622"/>
      <c r="E1" s="622"/>
      <c r="F1" s="622"/>
      <c r="G1" s="622"/>
      <c r="H1" s="410"/>
      <c r="I1" s="410"/>
    </row>
    <row r="2" spans="1:9" ht="7.5" customHeight="1" thickBot="1" x14ac:dyDescent="0.4">
      <c r="A2" s="621"/>
      <c r="B2" s="621"/>
      <c r="C2" s="621"/>
      <c r="D2" s="621"/>
      <c r="E2" s="621"/>
      <c r="F2" s="621"/>
      <c r="G2" s="621"/>
      <c r="H2" s="621"/>
    </row>
    <row r="3" spans="1:9" ht="16.5" thickBot="1" x14ac:dyDescent="0.3">
      <c r="B3" s="155" t="s">
        <v>13</v>
      </c>
      <c r="C3" s="163" t="s">
        <v>14</v>
      </c>
      <c r="D3" s="163" t="s">
        <v>15</v>
      </c>
      <c r="E3" s="163" t="s">
        <v>16</v>
      </c>
      <c r="F3" s="163" t="s">
        <v>17</v>
      </c>
      <c r="G3" s="164" t="s">
        <v>18</v>
      </c>
    </row>
    <row r="4" spans="1:9" x14ac:dyDescent="0.25">
      <c r="B4" s="491" t="str">
        <f>'Proyeccion costos'!B6</f>
        <v>Energía Eléctrica</v>
      </c>
      <c r="C4" s="494">
        <f>'Proyeccion costos'!D6</f>
        <v>6724.08</v>
      </c>
      <c r="D4" s="494">
        <f>'Proyeccion costos'!E6</f>
        <v>6724.08</v>
      </c>
      <c r="E4" s="494">
        <f>'Proyeccion costos'!F6</f>
        <v>6724.08</v>
      </c>
      <c r="F4" s="494">
        <f>'Proyeccion costos'!G6</f>
        <v>6724.08</v>
      </c>
      <c r="G4" s="497">
        <f>'Proyeccion costos'!H6</f>
        <v>6724.08</v>
      </c>
    </row>
    <row r="5" spans="1:9" x14ac:dyDescent="0.25">
      <c r="B5" s="492" t="str">
        <f>'Proyeccion costos'!B7</f>
        <v>Telefonos e Internet</v>
      </c>
      <c r="C5" s="495">
        <f>'Proyeccion costos'!D7</f>
        <v>6206.88</v>
      </c>
      <c r="D5" s="495">
        <f>'Proyeccion costos'!E7</f>
        <v>6206.88</v>
      </c>
      <c r="E5" s="495">
        <f>'Proyeccion costos'!F7</f>
        <v>6206.88</v>
      </c>
      <c r="F5" s="495">
        <f>'Proyeccion costos'!G7</f>
        <v>6206.88</v>
      </c>
      <c r="G5" s="498">
        <f>'Proyeccion costos'!H7</f>
        <v>6206.88</v>
      </c>
    </row>
    <row r="6" spans="1:9" x14ac:dyDescent="0.25">
      <c r="B6" s="492" t="str">
        <f>'Proyeccion costos'!B8</f>
        <v>Arrendamiento</v>
      </c>
      <c r="C6" s="495">
        <f>'Proyeccion costos'!D8</f>
        <v>20689.68</v>
      </c>
      <c r="D6" s="495">
        <f>'Proyeccion costos'!E8</f>
        <v>20689.68</v>
      </c>
      <c r="E6" s="495">
        <f>'Proyeccion costos'!F8</f>
        <v>20689.68</v>
      </c>
      <c r="F6" s="495">
        <f>'Proyeccion costos'!G8</f>
        <v>20689.68</v>
      </c>
      <c r="G6" s="498">
        <f>'Proyeccion costos'!H8</f>
        <v>20689.68</v>
      </c>
    </row>
    <row r="7" spans="1:9" x14ac:dyDescent="0.25">
      <c r="B7" s="492" t="str">
        <f>'Proyeccion costos'!B9</f>
        <v>Agua</v>
      </c>
      <c r="C7" s="495">
        <f>'Proyeccion costos'!D9</f>
        <v>5172.3599999999997</v>
      </c>
      <c r="D7" s="495">
        <f>'Proyeccion costos'!E9</f>
        <v>5172.3599999999997</v>
      </c>
      <c r="E7" s="495">
        <f>'Proyeccion costos'!F9</f>
        <v>5172.3599999999997</v>
      </c>
      <c r="F7" s="495">
        <f>'Proyeccion costos'!G9</f>
        <v>5172.3599999999997</v>
      </c>
      <c r="G7" s="498">
        <f>'Proyeccion costos'!H9</f>
        <v>5172.3599999999997</v>
      </c>
    </row>
    <row r="8" spans="1:9" x14ac:dyDescent="0.25">
      <c r="B8" s="492" t="str">
        <f>'Proyeccion costos'!B10</f>
        <v>Otros gastos menores</v>
      </c>
      <c r="C8" s="495">
        <f>'Proyeccion costos'!D10</f>
        <v>4003.44</v>
      </c>
      <c r="D8" s="495">
        <f>'Proyeccion costos'!E10</f>
        <v>4003.44</v>
      </c>
      <c r="E8" s="495">
        <f>'Proyeccion costos'!F10</f>
        <v>4003.44</v>
      </c>
      <c r="F8" s="495">
        <f>'Proyeccion costos'!G10</f>
        <v>4003.44</v>
      </c>
      <c r="G8" s="498">
        <f>'Proyeccion costos'!H10</f>
        <v>4003.44</v>
      </c>
    </row>
    <row r="9" spans="1:9" x14ac:dyDescent="0.25">
      <c r="B9" s="492" t="str">
        <f>'Proyeccion costos'!B11</f>
        <v>Departamento de Finanzas</v>
      </c>
      <c r="C9" s="495">
        <f>'Proyeccion costos'!D11</f>
        <v>96001.200000000012</v>
      </c>
      <c r="D9" s="495">
        <f>'Proyeccion costos'!E11</f>
        <v>96001.200000000012</v>
      </c>
      <c r="E9" s="495">
        <f>'Proyeccion costos'!F11</f>
        <v>96001.200000000012</v>
      </c>
      <c r="F9" s="495">
        <f>'Proyeccion costos'!G11</f>
        <v>96001.200000000012</v>
      </c>
      <c r="G9" s="498">
        <f>'Proyeccion costos'!H11</f>
        <v>96001.200000000012</v>
      </c>
    </row>
    <row r="10" spans="1:9" x14ac:dyDescent="0.25">
      <c r="B10" s="492" t="str">
        <f>'Proyeccion costos'!B12</f>
        <v>Departamento de Ventas</v>
      </c>
      <c r="C10" s="495">
        <f>'Proyeccion costos'!D12</f>
        <v>96001.200000000012</v>
      </c>
      <c r="D10" s="495">
        <f>'Proyeccion costos'!E12</f>
        <v>96001.200000000012</v>
      </c>
      <c r="E10" s="495">
        <f>'Proyeccion costos'!F12</f>
        <v>96001.200000000012</v>
      </c>
      <c r="F10" s="495">
        <f>'Proyeccion costos'!G12</f>
        <v>96001.200000000012</v>
      </c>
      <c r="G10" s="498">
        <f>'Proyeccion costos'!H12</f>
        <v>96001.200000000012</v>
      </c>
    </row>
    <row r="11" spans="1:9" x14ac:dyDescent="0.25">
      <c r="B11" s="492" t="str">
        <f>'Proyeccion costos'!B13</f>
        <v>Departamento de diseño</v>
      </c>
      <c r="C11" s="495">
        <f>'Proyeccion costos'!D13</f>
        <v>96001.200000000012</v>
      </c>
      <c r="D11" s="495">
        <f>'Proyeccion costos'!E13</f>
        <v>96001.200000000012</v>
      </c>
      <c r="E11" s="495">
        <f>'Proyeccion costos'!F13</f>
        <v>96001.200000000012</v>
      </c>
      <c r="F11" s="495">
        <f>'Proyeccion costos'!G13</f>
        <v>96001.200000000012</v>
      </c>
      <c r="G11" s="498">
        <f>'Proyeccion costos'!H13</f>
        <v>96001.200000000012</v>
      </c>
    </row>
    <row r="12" spans="1:9" x14ac:dyDescent="0.25">
      <c r="B12" s="492" t="str">
        <f>'Proyeccion costos'!B14</f>
        <v>Departamento de Informática</v>
      </c>
      <c r="C12" s="495">
        <f>'Proyeccion costos'!D14</f>
        <v>96001.200000000012</v>
      </c>
      <c r="D12" s="495">
        <f>'Proyeccion costos'!E14</f>
        <v>96001.200000000012</v>
      </c>
      <c r="E12" s="495">
        <f>'Proyeccion costos'!F14</f>
        <v>96001.200000000012</v>
      </c>
      <c r="F12" s="495">
        <f>'Proyeccion costos'!G14</f>
        <v>96001.200000000012</v>
      </c>
      <c r="G12" s="498">
        <f>'Proyeccion costos'!H14</f>
        <v>96001.200000000012</v>
      </c>
    </row>
    <row r="13" spans="1:9" x14ac:dyDescent="0.25">
      <c r="B13" s="492" t="str">
        <f>'Proyeccion costos'!B15</f>
        <v>Contador Público</v>
      </c>
      <c r="C13" s="495">
        <f>'Proyeccion costos'!D15</f>
        <v>96001.200000000012</v>
      </c>
      <c r="D13" s="495">
        <f>'Proyeccion costos'!E15</f>
        <v>96001.200000000012</v>
      </c>
      <c r="E13" s="495">
        <f>'Proyeccion costos'!F15</f>
        <v>96001.200000000012</v>
      </c>
      <c r="F13" s="495">
        <f>'Proyeccion costos'!G15</f>
        <v>96001.200000000012</v>
      </c>
      <c r="G13" s="498">
        <f>'Proyeccion costos'!H15</f>
        <v>96001.200000000012</v>
      </c>
    </row>
    <row r="14" spans="1:9" x14ac:dyDescent="0.25">
      <c r="B14" s="492" t="str">
        <f>'Proyeccion costos'!B16</f>
        <v>Papeleria y útiles</v>
      </c>
      <c r="C14" s="495">
        <f>'Proyeccion costos'!D16</f>
        <v>8275.92</v>
      </c>
      <c r="D14" s="495">
        <f>'Proyeccion costos'!E16</f>
        <v>8275.92</v>
      </c>
      <c r="E14" s="495">
        <f>'Proyeccion costos'!F16</f>
        <v>8275.92</v>
      </c>
      <c r="F14" s="495">
        <f>'Proyeccion costos'!G16</f>
        <v>8275.92</v>
      </c>
      <c r="G14" s="498">
        <f>'Proyeccion costos'!H16</f>
        <v>8275.92</v>
      </c>
    </row>
    <row r="15" spans="1:9" x14ac:dyDescent="0.25">
      <c r="B15" s="492">
        <f>'Proyeccion costos'!B17</f>
        <v>0</v>
      </c>
      <c r="C15" s="495">
        <f>'Proyeccion costos'!D17</f>
        <v>0</v>
      </c>
      <c r="D15" s="495">
        <f>'Proyeccion costos'!E17</f>
        <v>0</v>
      </c>
      <c r="E15" s="495">
        <f>'Proyeccion costos'!F17</f>
        <v>0</v>
      </c>
      <c r="F15" s="495">
        <f>'Proyeccion costos'!G17</f>
        <v>0</v>
      </c>
      <c r="G15" s="498">
        <f>'Proyeccion costos'!H17</f>
        <v>0</v>
      </c>
    </row>
    <row r="16" spans="1:9" x14ac:dyDescent="0.25">
      <c r="B16" s="492">
        <f>'Proyeccion costos'!B18</f>
        <v>0</v>
      </c>
      <c r="C16" s="495">
        <f>'Proyeccion costos'!D18</f>
        <v>0</v>
      </c>
      <c r="D16" s="495">
        <f>'Proyeccion costos'!E18</f>
        <v>0</v>
      </c>
      <c r="E16" s="495">
        <f>'Proyeccion costos'!F18</f>
        <v>0</v>
      </c>
      <c r="F16" s="495">
        <f>'Proyeccion costos'!G18</f>
        <v>0</v>
      </c>
      <c r="G16" s="498">
        <f>'Proyeccion costos'!H18</f>
        <v>0</v>
      </c>
    </row>
    <row r="17" spans="2:7" x14ac:dyDescent="0.25">
      <c r="B17" s="492">
        <f>'Proyeccion costos'!B19</f>
        <v>0</v>
      </c>
      <c r="C17" s="495">
        <f>'Proyeccion costos'!D19</f>
        <v>0</v>
      </c>
      <c r="D17" s="495">
        <f>'Proyeccion costos'!E19</f>
        <v>0</v>
      </c>
      <c r="E17" s="495">
        <f>'Proyeccion costos'!F19</f>
        <v>0</v>
      </c>
      <c r="F17" s="495">
        <f>'Proyeccion costos'!G19</f>
        <v>0</v>
      </c>
      <c r="G17" s="498">
        <f>'Proyeccion costos'!H19</f>
        <v>0</v>
      </c>
    </row>
    <row r="18" spans="2:7" ht="15.75" thickBot="1" x14ac:dyDescent="0.3">
      <c r="B18" s="493">
        <f>'Proyeccion costos'!B20</f>
        <v>0</v>
      </c>
      <c r="C18" s="496">
        <f>'Proyeccion costos'!D20</f>
        <v>0</v>
      </c>
      <c r="D18" s="496">
        <f>'Proyeccion costos'!E20</f>
        <v>0</v>
      </c>
      <c r="E18" s="496">
        <f>'Proyeccion costos'!F20</f>
        <v>0</v>
      </c>
      <c r="F18" s="496">
        <f>'Proyeccion costos'!G20</f>
        <v>0</v>
      </c>
      <c r="G18" s="499">
        <f>'Proyeccion costos'!H20</f>
        <v>0</v>
      </c>
    </row>
    <row r="19" spans="2:7" ht="16.5" thickBot="1" x14ac:dyDescent="0.3">
      <c r="B19" s="155" t="s">
        <v>5</v>
      </c>
      <c r="C19" s="156">
        <f>SUM(C4:C18)</f>
        <v>531078.3600000001</v>
      </c>
      <c r="D19" s="156">
        <f>SUM(D4:D18)</f>
        <v>531078.3600000001</v>
      </c>
      <c r="E19" s="156">
        <f>SUM(E4:E18)</f>
        <v>531078.3600000001</v>
      </c>
      <c r="F19" s="156">
        <f>SUM(F4:F18)</f>
        <v>531078.3600000001</v>
      </c>
      <c r="G19" s="156">
        <f>SUM(G4:G18)</f>
        <v>531078.3600000001</v>
      </c>
    </row>
    <row r="20" spans="2:7" ht="16.5" thickBot="1" x14ac:dyDescent="0.3">
      <c r="B20" s="166"/>
      <c r="C20" s="162"/>
      <c r="D20" s="162"/>
      <c r="E20" s="162"/>
      <c r="F20" s="162"/>
      <c r="G20" s="162"/>
    </row>
    <row r="21" spans="2:7" ht="18.75" customHeight="1" thickBot="1" x14ac:dyDescent="0.3">
      <c r="B21" s="155" t="s">
        <v>19</v>
      </c>
      <c r="C21" s="156" t="s">
        <v>14</v>
      </c>
      <c r="D21" s="156" t="s">
        <v>15</v>
      </c>
      <c r="E21" s="156" t="s">
        <v>16</v>
      </c>
      <c r="F21" s="156" t="s">
        <v>17</v>
      </c>
      <c r="G21" s="157" t="s">
        <v>18</v>
      </c>
    </row>
    <row r="22" spans="2:7" x14ac:dyDescent="0.25">
      <c r="B22" s="500" t="str">
        <f>'Proyeccion costos'!B22</f>
        <v>Blusa terminado</v>
      </c>
      <c r="C22" s="501">
        <f>'Proyeccion costos'!D22</f>
        <v>931032</v>
      </c>
      <c r="D22" s="501">
        <f>'Proyeccion costos'!E22</f>
        <v>931032</v>
      </c>
      <c r="E22" s="501">
        <f>'Proyeccion costos'!F22</f>
        <v>931032</v>
      </c>
      <c r="F22" s="501">
        <f>'Proyeccion costos'!G22</f>
        <v>931032</v>
      </c>
      <c r="G22" s="502">
        <f>'Proyeccion costos'!H22</f>
        <v>931032</v>
      </c>
    </row>
    <row r="23" spans="2:7" x14ac:dyDescent="0.25">
      <c r="B23" s="492">
        <f>'Proyeccion costos'!B23</f>
        <v>0</v>
      </c>
      <c r="C23" s="495">
        <f>'Proyeccion costos'!D23</f>
        <v>0</v>
      </c>
      <c r="D23" s="495">
        <f>'Proyeccion costos'!E23</f>
        <v>0</v>
      </c>
      <c r="E23" s="495">
        <f>'Proyeccion costos'!F23</f>
        <v>0</v>
      </c>
      <c r="F23" s="495">
        <f>'Proyeccion costos'!G23</f>
        <v>0</v>
      </c>
      <c r="G23" s="498">
        <f>'Proyeccion costos'!H23</f>
        <v>0</v>
      </c>
    </row>
    <row r="24" spans="2:7" x14ac:dyDescent="0.25">
      <c r="B24" s="492">
        <f>'Proyeccion costos'!B24</f>
        <v>0</v>
      </c>
      <c r="C24" s="495">
        <f>'Proyeccion costos'!D24</f>
        <v>0</v>
      </c>
      <c r="D24" s="495">
        <f>'Proyeccion costos'!E24</f>
        <v>0</v>
      </c>
      <c r="E24" s="495">
        <f>'Proyeccion costos'!F24</f>
        <v>0</v>
      </c>
      <c r="F24" s="495">
        <f>'Proyeccion costos'!G24</f>
        <v>0</v>
      </c>
      <c r="G24" s="498">
        <f>'Proyeccion costos'!H24</f>
        <v>0</v>
      </c>
    </row>
    <row r="25" spans="2:7" x14ac:dyDescent="0.25">
      <c r="B25" s="492">
        <f>'Proyeccion costos'!B25</f>
        <v>0</v>
      </c>
      <c r="C25" s="495">
        <f>'Proyeccion costos'!D25</f>
        <v>0</v>
      </c>
      <c r="D25" s="495">
        <f>'Proyeccion costos'!E25</f>
        <v>0</v>
      </c>
      <c r="E25" s="495">
        <f>'Proyeccion costos'!F25</f>
        <v>0</v>
      </c>
      <c r="F25" s="495">
        <f>'Proyeccion costos'!G25</f>
        <v>0</v>
      </c>
      <c r="G25" s="498">
        <f>'Proyeccion costos'!H25</f>
        <v>0</v>
      </c>
    </row>
    <row r="26" spans="2:7" x14ac:dyDescent="0.25">
      <c r="B26" s="492">
        <f>'Proyeccion costos'!B26</f>
        <v>0</v>
      </c>
      <c r="C26" s="495">
        <f>'Proyeccion costos'!D26</f>
        <v>0</v>
      </c>
      <c r="D26" s="495">
        <f>'Proyeccion costos'!E26</f>
        <v>0</v>
      </c>
      <c r="E26" s="495">
        <f>'Proyeccion costos'!F26</f>
        <v>0</v>
      </c>
      <c r="F26" s="495">
        <f>'Proyeccion costos'!G26</f>
        <v>0</v>
      </c>
      <c r="G26" s="498">
        <f>'Proyeccion costos'!H26</f>
        <v>0</v>
      </c>
    </row>
    <row r="27" spans="2:7" x14ac:dyDescent="0.25">
      <c r="B27" s="492">
        <f>'Proyeccion costos'!B27</f>
        <v>0</v>
      </c>
      <c r="C27" s="495">
        <f>'Proyeccion costos'!D27</f>
        <v>0</v>
      </c>
      <c r="D27" s="495">
        <f>'Proyeccion costos'!E27</f>
        <v>0</v>
      </c>
      <c r="E27" s="495">
        <f>'Proyeccion costos'!F27</f>
        <v>0</v>
      </c>
      <c r="F27" s="495">
        <f>'Proyeccion costos'!G27</f>
        <v>0</v>
      </c>
      <c r="G27" s="498">
        <f>'Proyeccion costos'!H27</f>
        <v>0</v>
      </c>
    </row>
    <row r="28" spans="2:7" x14ac:dyDescent="0.25">
      <c r="B28" s="492">
        <f>'Proyeccion costos'!B28</f>
        <v>0</v>
      </c>
      <c r="C28" s="495">
        <f>'Proyeccion costos'!D28</f>
        <v>0</v>
      </c>
      <c r="D28" s="495">
        <f>'Proyeccion costos'!E28</f>
        <v>0</v>
      </c>
      <c r="E28" s="495">
        <f>'Proyeccion costos'!F28</f>
        <v>0</v>
      </c>
      <c r="F28" s="495">
        <f>'Proyeccion costos'!G28</f>
        <v>0</v>
      </c>
      <c r="G28" s="498">
        <f>'Proyeccion costos'!H28</f>
        <v>0</v>
      </c>
    </row>
    <row r="29" spans="2:7" x14ac:dyDescent="0.25">
      <c r="B29" s="492">
        <f>'Proyeccion costos'!B29</f>
        <v>0</v>
      </c>
      <c r="C29" s="495">
        <f>'Proyeccion costos'!D29</f>
        <v>0</v>
      </c>
      <c r="D29" s="495">
        <f>'Proyeccion costos'!E29</f>
        <v>0</v>
      </c>
      <c r="E29" s="495">
        <f>'Proyeccion costos'!F29</f>
        <v>0</v>
      </c>
      <c r="F29" s="495">
        <f>'Proyeccion costos'!G29</f>
        <v>0</v>
      </c>
      <c r="G29" s="498">
        <f>'Proyeccion costos'!H29</f>
        <v>0</v>
      </c>
    </row>
    <row r="30" spans="2:7" x14ac:dyDescent="0.25">
      <c r="B30" s="492">
        <f>'Proyeccion costos'!B30</f>
        <v>0</v>
      </c>
      <c r="C30" s="495">
        <f>'Proyeccion costos'!D30</f>
        <v>0</v>
      </c>
      <c r="D30" s="495">
        <f>'Proyeccion costos'!E30</f>
        <v>0</v>
      </c>
      <c r="E30" s="495">
        <f>'Proyeccion costos'!F30</f>
        <v>0</v>
      </c>
      <c r="F30" s="495">
        <f>'Proyeccion costos'!G30</f>
        <v>0</v>
      </c>
      <c r="G30" s="498">
        <f>'Proyeccion costos'!H30</f>
        <v>0</v>
      </c>
    </row>
    <row r="31" spans="2:7" x14ac:dyDescent="0.25">
      <c r="B31" s="445">
        <f>'Proyeccion costos'!B31</f>
        <v>0</v>
      </c>
      <c r="C31" s="446">
        <f>'Proyeccion costos'!D31</f>
        <v>0</v>
      </c>
      <c r="D31" s="446">
        <f>'Proyeccion costos'!E31</f>
        <v>0</v>
      </c>
      <c r="E31" s="446">
        <f>'Proyeccion costos'!F31</f>
        <v>0</v>
      </c>
      <c r="F31" s="446">
        <f>'Proyeccion costos'!G31</f>
        <v>0</v>
      </c>
      <c r="G31" s="447">
        <f>'Proyeccion costos'!H31</f>
        <v>0</v>
      </c>
    </row>
    <row r="32" spans="2:7" x14ac:dyDescent="0.25">
      <c r="B32" s="445">
        <f>'Proyeccion costos'!B32</f>
        <v>0</v>
      </c>
      <c r="C32" s="446">
        <f>'Proyeccion costos'!D32</f>
        <v>0</v>
      </c>
      <c r="D32" s="446">
        <f>'Proyeccion costos'!E32</f>
        <v>0</v>
      </c>
      <c r="E32" s="446">
        <f>'Proyeccion costos'!F32</f>
        <v>0</v>
      </c>
      <c r="F32" s="446">
        <f>'Proyeccion costos'!G32</f>
        <v>0</v>
      </c>
      <c r="G32" s="447">
        <f>'Proyeccion costos'!H32</f>
        <v>0</v>
      </c>
    </row>
    <row r="33" spans="2:27" x14ac:dyDescent="0.25">
      <c r="B33" s="445">
        <f>'Proyeccion costos'!B33</f>
        <v>0</v>
      </c>
      <c r="C33" s="446">
        <f>'Proyeccion costos'!D33</f>
        <v>0</v>
      </c>
      <c r="D33" s="446">
        <f>'Proyeccion costos'!E33</f>
        <v>0</v>
      </c>
      <c r="E33" s="446">
        <f>'Proyeccion costos'!F33</f>
        <v>0</v>
      </c>
      <c r="F33" s="446">
        <f>'Proyeccion costos'!G33</f>
        <v>0</v>
      </c>
      <c r="G33" s="447">
        <f>'Proyeccion costos'!H33</f>
        <v>0</v>
      </c>
    </row>
    <row r="34" spans="2:27" x14ac:dyDescent="0.25">
      <c r="B34" s="445">
        <f>'Proyeccion costos'!B34</f>
        <v>0</v>
      </c>
      <c r="C34" s="446">
        <f>'Proyeccion costos'!D34</f>
        <v>0</v>
      </c>
      <c r="D34" s="446">
        <f>'Proyeccion costos'!E34</f>
        <v>0</v>
      </c>
      <c r="E34" s="446">
        <f>'Proyeccion costos'!F34</f>
        <v>0</v>
      </c>
      <c r="F34" s="446">
        <f>'Proyeccion costos'!G34</f>
        <v>0</v>
      </c>
      <c r="G34" s="447">
        <f>'Proyeccion costos'!H34</f>
        <v>0</v>
      </c>
    </row>
    <row r="35" spans="2:27" x14ac:dyDescent="0.25">
      <c r="B35" s="445">
        <f>'Proyeccion costos'!B35</f>
        <v>0</v>
      </c>
      <c r="C35" s="446">
        <f>'Proyeccion costos'!D35</f>
        <v>0</v>
      </c>
      <c r="D35" s="446">
        <f>'Proyeccion costos'!E35</f>
        <v>0</v>
      </c>
      <c r="E35" s="446">
        <f>'Proyeccion costos'!F35</f>
        <v>0</v>
      </c>
      <c r="F35" s="446">
        <f>'Proyeccion costos'!G35</f>
        <v>0</v>
      </c>
      <c r="G35" s="447">
        <f>'Proyeccion costos'!H35</f>
        <v>0</v>
      </c>
    </row>
    <row r="36" spans="2:27" ht="15.75" thickBot="1" x14ac:dyDescent="0.3">
      <c r="B36" s="448">
        <f>'Proyeccion costos'!B36</f>
        <v>0</v>
      </c>
      <c r="C36" s="449">
        <f>'Proyeccion costos'!D36</f>
        <v>0</v>
      </c>
      <c r="D36" s="449">
        <f>'Proyeccion costos'!E36</f>
        <v>0</v>
      </c>
      <c r="E36" s="449">
        <f>'Proyeccion costos'!F36</f>
        <v>0</v>
      </c>
      <c r="F36" s="449">
        <f>'Proyeccion costos'!G36</f>
        <v>0</v>
      </c>
      <c r="G36" s="450">
        <f>'Proyeccion costos'!H36</f>
        <v>0</v>
      </c>
    </row>
    <row r="37" spans="2:27" ht="16.5" thickBot="1" x14ac:dyDescent="0.3">
      <c r="B37" s="155" t="s">
        <v>5</v>
      </c>
      <c r="C37" s="156">
        <f>SUM(C22:C36)</f>
        <v>931032</v>
      </c>
      <c r="D37" s="156">
        <f>SUM(D22:D36)</f>
        <v>931032</v>
      </c>
      <c r="E37" s="156">
        <f>SUM(E22:E36)</f>
        <v>931032</v>
      </c>
      <c r="F37" s="156">
        <f>SUM(F22:F36)</f>
        <v>931032</v>
      </c>
      <c r="G37" s="156">
        <f>SUM(G22:G36)</f>
        <v>931032</v>
      </c>
    </row>
    <row r="38" spans="2:27" ht="16.5" thickBot="1" x14ac:dyDescent="0.3">
      <c r="B38" s="166"/>
      <c r="C38" s="166"/>
      <c r="D38" s="166"/>
      <c r="E38" s="166"/>
      <c r="F38" s="166"/>
      <c r="G38" s="166"/>
    </row>
    <row r="39" spans="2:27" ht="16.5" thickBot="1" x14ac:dyDescent="0.3">
      <c r="B39" s="165"/>
      <c r="C39" s="167" t="s">
        <v>14</v>
      </c>
      <c r="D39" s="163" t="s">
        <v>15</v>
      </c>
      <c r="E39" s="163" t="s">
        <v>16</v>
      </c>
      <c r="F39" s="163" t="s">
        <v>17</v>
      </c>
      <c r="G39" s="164" t="s">
        <v>18</v>
      </c>
    </row>
    <row r="40" spans="2:27" ht="16.5" thickBot="1" x14ac:dyDescent="0.3">
      <c r="B40" s="174" t="s">
        <v>20</v>
      </c>
      <c r="C40" s="503">
        <f>C19</f>
        <v>531078.3600000001</v>
      </c>
      <c r="D40" s="494">
        <f>SUM(D19)</f>
        <v>531078.3600000001</v>
      </c>
      <c r="E40" s="494">
        <f>SUM(E19)</f>
        <v>531078.3600000001</v>
      </c>
      <c r="F40" s="494">
        <f>SUM(F19)</f>
        <v>531078.3600000001</v>
      </c>
      <c r="G40" s="497">
        <f>SUM(G19)</f>
        <v>531078.3600000001</v>
      </c>
    </row>
    <row r="41" spans="2:27" ht="16.5" thickBot="1" x14ac:dyDescent="0.3">
      <c r="B41" s="174" t="s">
        <v>19</v>
      </c>
      <c r="C41" s="504">
        <f>C37</f>
        <v>931032</v>
      </c>
      <c r="D41" s="495">
        <f>D37</f>
        <v>931032</v>
      </c>
      <c r="E41" s="495">
        <f>E37</f>
        <v>931032</v>
      </c>
      <c r="F41" s="495">
        <f>F37</f>
        <v>931032</v>
      </c>
      <c r="G41" s="498">
        <f>G37</f>
        <v>931032</v>
      </c>
    </row>
    <row r="42" spans="2:27" ht="16.5" thickBot="1" x14ac:dyDescent="0.3">
      <c r="B42" s="174" t="s">
        <v>21</v>
      </c>
      <c r="C42" s="505">
        <f>+C40+C41</f>
        <v>1462110.36</v>
      </c>
      <c r="D42" s="506">
        <f>SUM(D40:D41)</f>
        <v>1462110.36</v>
      </c>
      <c r="E42" s="506">
        <f>SUM(E40:E41)</f>
        <v>1462110.36</v>
      </c>
      <c r="F42" s="506">
        <f>SUM(F40:F41)</f>
        <v>1462110.36</v>
      </c>
      <c r="G42" s="507">
        <f>SUM(G40:G41)</f>
        <v>1462110.36</v>
      </c>
    </row>
    <row r="43" spans="2:27" ht="16.5" thickBot="1" x14ac:dyDescent="0.3">
      <c r="B43" s="174" t="s">
        <v>115</v>
      </c>
      <c r="C43" s="508">
        <f>Memoria!O58</f>
        <v>7200</v>
      </c>
      <c r="D43" s="508">
        <f>Memoria!O58</f>
        <v>7200</v>
      </c>
      <c r="E43" s="508">
        <f>D43</f>
        <v>7200</v>
      </c>
      <c r="F43" s="508">
        <f>E43</f>
        <v>7200</v>
      </c>
      <c r="G43" s="508">
        <f>F43</f>
        <v>7200</v>
      </c>
    </row>
    <row r="44" spans="2:27" ht="16.5" thickBot="1" x14ac:dyDescent="0.3">
      <c r="B44" s="174" t="s">
        <v>100</v>
      </c>
      <c r="C44" s="509">
        <f>C42/C43</f>
        <v>203.07088333333334</v>
      </c>
      <c r="D44" s="509">
        <f>D42/D43</f>
        <v>203.07088333333334</v>
      </c>
      <c r="E44" s="509">
        <f>E42/E43</f>
        <v>203.07088333333334</v>
      </c>
      <c r="F44" s="509">
        <f>F42/F43</f>
        <v>203.07088333333334</v>
      </c>
      <c r="G44" s="509">
        <f>G42/G43</f>
        <v>203.07088333333334</v>
      </c>
    </row>
    <row r="45" spans="2:27" x14ac:dyDescent="0.25">
      <c r="C45" s="75"/>
    </row>
    <row r="46" spans="2:27" ht="15.75" x14ac:dyDescent="0.25">
      <c r="B46" s="207" t="s">
        <v>217</v>
      </c>
      <c r="F46" s="336"/>
      <c r="G46" s="336"/>
      <c r="H46" s="336"/>
    </row>
    <row r="47" spans="2:27" ht="15.75" x14ac:dyDescent="0.25">
      <c r="B47" s="201" t="s">
        <v>127</v>
      </c>
      <c r="C47" s="202">
        <v>15</v>
      </c>
      <c r="F47" s="336"/>
      <c r="G47" s="336"/>
      <c r="H47" s="336"/>
      <c r="AA47" s="399">
        <f>C40/3</f>
        <v>177026.12000000002</v>
      </c>
    </row>
    <row r="48" spans="2:27" ht="15.75" x14ac:dyDescent="0.25">
      <c r="B48" s="199" t="s">
        <v>128</v>
      </c>
      <c r="C48" s="200">
        <v>13</v>
      </c>
      <c r="F48" s="399"/>
      <c r="G48" s="400"/>
      <c r="H48" s="336"/>
      <c r="AA48" s="399">
        <f>C41/3</f>
        <v>310344</v>
      </c>
    </row>
    <row r="49" spans="2:27" ht="15.75" x14ac:dyDescent="0.25">
      <c r="B49" s="201" t="s">
        <v>131</v>
      </c>
      <c r="C49" s="202">
        <v>280</v>
      </c>
      <c r="E49" s="399"/>
      <c r="F49" s="399"/>
      <c r="G49" s="336"/>
      <c r="H49" s="336"/>
      <c r="AA49" s="399"/>
    </row>
    <row r="50" spans="2:27" ht="15.75" x14ac:dyDescent="0.25">
      <c r="B50" s="199" t="s">
        <v>129</v>
      </c>
      <c r="C50" s="402">
        <f>(C49-C44)/C49</f>
        <v>0.27474684523809523</v>
      </c>
      <c r="E50" s="399"/>
      <c r="F50" s="399"/>
      <c r="G50" s="336"/>
      <c r="H50" s="336"/>
    </row>
    <row r="51" spans="2:27" ht="16.5" thickBot="1" x14ac:dyDescent="0.3">
      <c r="B51" s="204" t="s">
        <v>130</v>
      </c>
      <c r="C51" s="198">
        <f>C44/(1-C50)</f>
        <v>280</v>
      </c>
      <c r="E51" s="336"/>
      <c r="F51" s="336"/>
      <c r="G51" s="336"/>
      <c r="H51" s="336"/>
    </row>
    <row r="52" spans="2:27" ht="16.5" thickBot="1" x14ac:dyDescent="0.3">
      <c r="D52" s="401">
        <v>1</v>
      </c>
    </row>
    <row r="53" spans="2:27" ht="16.5" thickBot="1" x14ac:dyDescent="0.3">
      <c r="B53" s="404" t="str">
        <f>Memoria!B52</f>
        <v>Blusa A</v>
      </c>
      <c r="C53" s="208" t="s">
        <v>14</v>
      </c>
      <c r="D53" s="209" t="s">
        <v>15</v>
      </c>
      <c r="E53" s="209" t="s">
        <v>16</v>
      </c>
      <c r="F53" s="209" t="s">
        <v>17</v>
      </c>
      <c r="G53" s="210" t="s">
        <v>18</v>
      </c>
    </row>
    <row r="54" spans="2:27" ht="16.5" thickBot="1" x14ac:dyDescent="0.3">
      <c r="B54" s="174" t="s">
        <v>20</v>
      </c>
      <c r="C54" s="511">
        <f>$AA$47*$D$52</f>
        <v>177026.12000000002</v>
      </c>
      <c r="D54" s="511">
        <f>$AA$47*$D$52</f>
        <v>177026.12000000002</v>
      </c>
      <c r="E54" s="511">
        <f t="shared" ref="E54:G54" si="0">$AA$47*$D$52</f>
        <v>177026.12000000002</v>
      </c>
      <c r="F54" s="511">
        <f t="shared" si="0"/>
        <v>177026.12000000002</v>
      </c>
      <c r="G54" s="511">
        <f t="shared" si="0"/>
        <v>177026.12000000002</v>
      </c>
    </row>
    <row r="55" spans="2:27" ht="16.5" thickBot="1" x14ac:dyDescent="0.3">
      <c r="B55" s="174" t="s">
        <v>19</v>
      </c>
      <c r="C55" s="512">
        <f>AA48*D52</f>
        <v>310344</v>
      </c>
      <c r="D55" s="506">
        <f>C55</f>
        <v>310344</v>
      </c>
      <c r="E55" s="506">
        <f t="shared" ref="E55:G55" si="1">D55</f>
        <v>310344</v>
      </c>
      <c r="F55" s="506">
        <f t="shared" si="1"/>
        <v>310344</v>
      </c>
      <c r="G55" s="506">
        <f t="shared" si="1"/>
        <v>310344</v>
      </c>
    </row>
    <row r="56" spans="2:27" ht="16.5" thickBot="1" x14ac:dyDescent="0.3">
      <c r="B56" s="174" t="s">
        <v>21</v>
      </c>
      <c r="C56" s="512">
        <f>+C54+C55</f>
        <v>487370.12</v>
      </c>
      <c r="D56" s="506">
        <f>SUM(D54:D55)</f>
        <v>487370.12</v>
      </c>
      <c r="E56" s="506">
        <f>SUM(E54:E55)</f>
        <v>487370.12</v>
      </c>
      <c r="F56" s="506">
        <f>SUM(F54:F55)</f>
        <v>487370.12</v>
      </c>
      <c r="G56" s="507">
        <f>SUM(G54:G55)</f>
        <v>487370.12</v>
      </c>
    </row>
    <row r="57" spans="2:27" ht="16.5" thickBot="1" x14ac:dyDescent="0.3">
      <c r="B57" s="174" t="s">
        <v>115</v>
      </c>
      <c r="C57" s="512">
        <f>Memoria!O52</f>
        <v>2400</v>
      </c>
      <c r="D57" s="506">
        <f>C57</f>
        <v>2400</v>
      </c>
      <c r="E57" s="506">
        <f>D57</f>
        <v>2400</v>
      </c>
      <c r="F57" s="506">
        <f>E57</f>
        <v>2400</v>
      </c>
      <c r="G57" s="507">
        <f>F57</f>
        <v>2400</v>
      </c>
    </row>
    <row r="58" spans="2:27" ht="16.5" thickBot="1" x14ac:dyDescent="0.3">
      <c r="B58" s="174" t="s">
        <v>100</v>
      </c>
      <c r="C58" s="513">
        <f>C56/C57</f>
        <v>203.07088333333334</v>
      </c>
      <c r="D58" s="519">
        <f>D56/D57</f>
        <v>203.07088333333334</v>
      </c>
      <c r="E58" s="519">
        <f>E56/E57</f>
        <v>203.07088333333334</v>
      </c>
      <c r="F58" s="519">
        <f>F56/F57</f>
        <v>203.07088333333334</v>
      </c>
      <c r="G58" s="520">
        <f>G56/G57</f>
        <v>203.07088333333334</v>
      </c>
    </row>
    <row r="59" spans="2:27" ht="15.75" thickBot="1" x14ac:dyDescent="0.3">
      <c r="C59" s="96"/>
    </row>
    <row r="60" spans="2:27" ht="16.5" thickBot="1" x14ac:dyDescent="0.3">
      <c r="B60" s="404" t="str">
        <f>Memoria!B52</f>
        <v>Blusa A</v>
      </c>
    </row>
    <row r="61" spans="2:27" ht="15.75" x14ac:dyDescent="0.25">
      <c r="B61" s="405" t="s">
        <v>127</v>
      </c>
      <c r="C61" s="202">
        <v>14</v>
      </c>
    </row>
    <row r="62" spans="2:27" ht="15.75" x14ac:dyDescent="0.25">
      <c r="B62" s="199" t="s">
        <v>128</v>
      </c>
      <c r="C62" s="200">
        <v>12.5</v>
      </c>
      <c r="D62" s="398"/>
      <c r="E62" s="398"/>
    </row>
    <row r="63" spans="2:27" ht="15.75" x14ac:dyDescent="0.25">
      <c r="B63" s="201" t="s">
        <v>131</v>
      </c>
      <c r="C63" s="202">
        <v>280</v>
      </c>
      <c r="E63" s="397"/>
    </row>
    <row r="64" spans="2:27" ht="15.75" x14ac:dyDescent="0.25">
      <c r="B64" s="199" t="s">
        <v>129</v>
      </c>
      <c r="C64" s="402">
        <f>(C63-C58)/C63</f>
        <v>0.27474684523809523</v>
      </c>
    </row>
    <row r="65" spans="2:7" ht="15.75" x14ac:dyDescent="0.25">
      <c r="B65" s="204" t="s">
        <v>130</v>
      </c>
      <c r="C65" s="198">
        <f>C58/(1-C64)</f>
        <v>280</v>
      </c>
    </row>
    <row r="66" spans="2:7" ht="15.75" thickBot="1" x14ac:dyDescent="0.3"/>
    <row r="67" spans="2:7" ht="16.5" thickBot="1" x14ac:dyDescent="0.3">
      <c r="D67" s="401">
        <v>1</v>
      </c>
    </row>
    <row r="68" spans="2:7" ht="16.5" thickBot="1" x14ac:dyDescent="0.3">
      <c r="B68" s="404" t="str">
        <f>Memoria!B54</f>
        <v>Blusa B</v>
      </c>
      <c r="C68" s="208" t="s">
        <v>14</v>
      </c>
      <c r="D68" s="209" t="s">
        <v>15</v>
      </c>
      <c r="E68" s="209" t="s">
        <v>16</v>
      </c>
      <c r="F68" s="209" t="s">
        <v>17</v>
      </c>
      <c r="G68" s="210" t="s">
        <v>18</v>
      </c>
    </row>
    <row r="69" spans="2:7" ht="16.5" thickBot="1" x14ac:dyDescent="0.3">
      <c r="B69" s="174" t="s">
        <v>20</v>
      </c>
      <c r="C69" s="521">
        <f>$AA$47*$D$67</f>
        <v>177026.12000000002</v>
      </c>
      <c r="D69" s="521">
        <f>$AA$47*$D$67</f>
        <v>177026.12000000002</v>
      </c>
      <c r="E69" s="521">
        <f t="shared" ref="E69:G69" si="2">$AA$47*$D$67</f>
        <v>177026.12000000002</v>
      </c>
      <c r="F69" s="521">
        <f t="shared" si="2"/>
        <v>177026.12000000002</v>
      </c>
      <c r="G69" s="521">
        <f t="shared" si="2"/>
        <v>177026.12000000002</v>
      </c>
    </row>
    <row r="70" spans="2:7" ht="16.5" thickBot="1" x14ac:dyDescent="0.3">
      <c r="B70" s="174" t="s">
        <v>19</v>
      </c>
      <c r="C70" s="505">
        <f>$AA$48*$D$67</f>
        <v>310344</v>
      </c>
      <c r="D70" s="505">
        <f>$AA$48*$D$67</f>
        <v>310344</v>
      </c>
      <c r="E70" s="505">
        <f t="shared" ref="E70:G70" si="3">$AA$48*$D$67</f>
        <v>310344</v>
      </c>
      <c r="F70" s="505">
        <f t="shared" si="3"/>
        <v>310344</v>
      </c>
      <c r="G70" s="505">
        <f t="shared" si="3"/>
        <v>310344</v>
      </c>
    </row>
    <row r="71" spans="2:7" ht="16.5" thickBot="1" x14ac:dyDescent="0.3">
      <c r="B71" s="174" t="s">
        <v>21</v>
      </c>
      <c r="C71" s="505">
        <f>+C69+C70</f>
        <v>487370.12</v>
      </c>
      <c r="D71" s="506">
        <f>SUM(D69:D70)</f>
        <v>487370.12</v>
      </c>
      <c r="E71" s="506">
        <f>SUM(E69:E70)</f>
        <v>487370.12</v>
      </c>
      <c r="F71" s="506">
        <f>SUM(F69:F70)</f>
        <v>487370.12</v>
      </c>
      <c r="G71" s="507">
        <f>SUM(G69:G70)</f>
        <v>487370.12</v>
      </c>
    </row>
    <row r="72" spans="2:7" ht="16.5" thickBot="1" x14ac:dyDescent="0.3">
      <c r="B72" s="174" t="s">
        <v>115</v>
      </c>
      <c r="C72" s="505">
        <f>Memoria!O54</f>
        <v>2400</v>
      </c>
      <c r="D72" s="506">
        <f>C72</f>
        <v>2400</v>
      </c>
      <c r="E72" s="506">
        <f>D72</f>
        <v>2400</v>
      </c>
      <c r="F72" s="506">
        <f>E72</f>
        <v>2400</v>
      </c>
      <c r="G72" s="507">
        <f>F72</f>
        <v>2400</v>
      </c>
    </row>
    <row r="73" spans="2:7" ht="16.5" thickBot="1" x14ac:dyDescent="0.3">
      <c r="B73" s="174" t="s">
        <v>100</v>
      </c>
      <c r="C73" s="509">
        <f>C71/C72</f>
        <v>203.07088333333334</v>
      </c>
      <c r="D73" s="517">
        <f>D71/D72</f>
        <v>203.07088333333334</v>
      </c>
      <c r="E73" s="517">
        <f>E71/E72</f>
        <v>203.07088333333334</v>
      </c>
      <c r="F73" s="517">
        <f>F71/F72</f>
        <v>203.07088333333334</v>
      </c>
      <c r="G73" s="518">
        <f>G71/G72</f>
        <v>203.07088333333334</v>
      </c>
    </row>
    <row r="74" spans="2:7" x14ac:dyDescent="0.25">
      <c r="C74" s="75"/>
    </row>
    <row r="75" spans="2:7" ht="15.75" x14ac:dyDescent="0.25">
      <c r="B75" s="207" t="str">
        <f>Memoria!B54</f>
        <v>Blusa B</v>
      </c>
    </row>
    <row r="76" spans="2:7" ht="15.75" x14ac:dyDescent="0.25">
      <c r="B76" s="201" t="s">
        <v>127</v>
      </c>
      <c r="C76" s="385">
        <v>21</v>
      </c>
    </row>
    <row r="77" spans="2:7" ht="15.75" x14ac:dyDescent="0.25">
      <c r="B77" s="199" t="s">
        <v>128</v>
      </c>
      <c r="C77" s="386">
        <v>19</v>
      </c>
    </row>
    <row r="78" spans="2:7" ht="15.75" x14ac:dyDescent="0.25">
      <c r="B78" s="201" t="s">
        <v>131</v>
      </c>
      <c r="C78" s="385">
        <v>280</v>
      </c>
    </row>
    <row r="79" spans="2:7" ht="15.75" x14ac:dyDescent="0.25">
      <c r="B79" s="199" t="s">
        <v>129</v>
      </c>
      <c r="C79" s="203">
        <f>(C78-C73)/C78</f>
        <v>0.27474684523809523</v>
      </c>
    </row>
    <row r="80" spans="2:7" ht="15.75" x14ac:dyDescent="0.25">
      <c r="B80" s="204" t="s">
        <v>130</v>
      </c>
      <c r="C80" s="403">
        <f>C73/(1-C79)</f>
        <v>280</v>
      </c>
    </row>
    <row r="82" spans="2:7" ht="15.75" thickBot="1" x14ac:dyDescent="0.3"/>
    <row r="83" spans="2:7" ht="16.5" thickBot="1" x14ac:dyDescent="0.3">
      <c r="D83" s="401">
        <v>1</v>
      </c>
    </row>
    <row r="84" spans="2:7" ht="16.5" thickBot="1" x14ac:dyDescent="0.3">
      <c r="B84" s="404" t="str">
        <f>Memoria!B56</f>
        <v>Blusa C</v>
      </c>
      <c r="C84" s="208" t="s">
        <v>14</v>
      </c>
      <c r="D84" s="209" t="s">
        <v>15</v>
      </c>
      <c r="E84" s="209" t="s">
        <v>16</v>
      </c>
      <c r="F84" s="209" t="s">
        <v>17</v>
      </c>
      <c r="G84" s="210" t="s">
        <v>18</v>
      </c>
    </row>
    <row r="85" spans="2:7" ht="16.5" thickBot="1" x14ac:dyDescent="0.3">
      <c r="B85" s="174" t="s">
        <v>20</v>
      </c>
      <c r="C85" s="521">
        <f>$AA$47*$D$83</f>
        <v>177026.12000000002</v>
      </c>
      <c r="D85" s="521">
        <f>$AA$47*$D$83</f>
        <v>177026.12000000002</v>
      </c>
      <c r="E85" s="521">
        <f t="shared" ref="E85:G85" si="4">$AA$47*$D$83</f>
        <v>177026.12000000002</v>
      </c>
      <c r="F85" s="521">
        <f t="shared" si="4"/>
        <v>177026.12000000002</v>
      </c>
      <c r="G85" s="521">
        <f t="shared" si="4"/>
        <v>177026.12000000002</v>
      </c>
    </row>
    <row r="86" spans="2:7" ht="16.5" thickBot="1" x14ac:dyDescent="0.3">
      <c r="B86" s="174" t="s">
        <v>19</v>
      </c>
      <c r="C86" s="505">
        <f>$AA$48*$D$83</f>
        <v>310344</v>
      </c>
      <c r="D86" s="505">
        <f t="shared" ref="D86:G86" si="5">$AA$48*$D$83</f>
        <v>310344</v>
      </c>
      <c r="E86" s="505">
        <f t="shared" si="5"/>
        <v>310344</v>
      </c>
      <c r="F86" s="505">
        <f t="shared" si="5"/>
        <v>310344</v>
      </c>
      <c r="G86" s="505">
        <f t="shared" si="5"/>
        <v>310344</v>
      </c>
    </row>
    <row r="87" spans="2:7" ht="16.5" thickBot="1" x14ac:dyDescent="0.3">
      <c r="B87" s="174" t="s">
        <v>21</v>
      </c>
      <c r="C87" s="505">
        <f>+C85+C86</f>
        <v>487370.12</v>
      </c>
      <c r="D87" s="506">
        <f>SUM(D85:D86)</f>
        <v>487370.12</v>
      </c>
      <c r="E87" s="506">
        <f>SUM(E85:E86)</f>
        <v>487370.12</v>
      </c>
      <c r="F87" s="506">
        <f>SUM(F85:F86)</f>
        <v>487370.12</v>
      </c>
      <c r="G87" s="507">
        <f>SUM(G85:G86)</f>
        <v>487370.12</v>
      </c>
    </row>
    <row r="88" spans="2:7" ht="16.5" thickBot="1" x14ac:dyDescent="0.3">
      <c r="B88" s="174" t="s">
        <v>115</v>
      </c>
      <c r="C88" s="505">
        <f>Memoria!O56</f>
        <v>2400</v>
      </c>
      <c r="D88" s="506">
        <f>C88</f>
        <v>2400</v>
      </c>
      <c r="E88" s="506">
        <f>D88</f>
        <v>2400</v>
      </c>
      <c r="F88" s="506">
        <f>E88</f>
        <v>2400</v>
      </c>
      <c r="G88" s="507">
        <f>F88</f>
        <v>2400</v>
      </c>
    </row>
    <row r="89" spans="2:7" ht="16.5" thickBot="1" x14ac:dyDescent="0.3">
      <c r="B89" s="174" t="s">
        <v>100</v>
      </c>
      <c r="C89" s="509">
        <f>C87/C88</f>
        <v>203.07088333333334</v>
      </c>
      <c r="D89" s="517">
        <f>D87/D88</f>
        <v>203.07088333333334</v>
      </c>
      <c r="E89" s="517">
        <f>E87/E88</f>
        <v>203.07088333333334</v>
      </c>
      <c r="F89" s="517">
        <f>F87/F88</f>
        <v>203.07088333333334</v>
      </c>
      <c r="G89" s="518">
        <f>G87/G88</f>
        <v>203.07088333333334</v>
      </c>
    </row>
    <row r="90" spans="2:7" x14ac:dyDescent="0.25">
      <c r="C90" s="75"/>
    </row>
    <row r="91" spans="2:7" ht="15.75" x14ac:dyDescent="0.25">
      <c r="B91" s="207" t="str">
        <f>Memoria!B56</f>
        <v>Blusa C</v>
      </c>
    </row>
    <row r="92" spans="2:7" ht="15.75" x14ac:dyDescent="0.25">
      <c r="B92" s="201" t="s">
        <v>127</v>
      </c>
      <c r="C92" s="385">
        <v>1E-13</v>
      </c>
    </row>
    <row r="93" spans="2:7" ht="15.75" x14ac:dyDescent="0.25">
      <c r="B93" s="199" t="s">
        <v>128</v>
      </c>
      <c r="C93" s="386">
        <v>9.9999999999999998E-17</v>
      </c>
    </row>
    <row r="94" spans="2:7" ht="15.75" x14ac:dyDescent="0.25">
      <c r="B94" s="201" t="s">
        <v>131</v>
      </c>
      <c r="C94" s="385">
        <v>280</v>
      </c>
    </row>
    <row r="95" spans="2:7" ht="15.75" x14ac:dyDescent="0.25">
      <c r="B95" s="199" t="s">
        <v>129</v>
      </c>
      <c r="C95" s="203">
        <f>(C94-C89)/C94</f>
        <v>0.27474684523809523</v>
      </c>
    </row>
    <row r="96" spans="2:7" ht="15.75" x14ac:dyDescent="0.25">
      <c r="B96" s="204" t="s">
        <v>130</v>
      </c>
      <c r="C96" s="403">
        <f>C89/(1-C95)</f>
        <v>280</v>
      </c>
    </row>
  </sheetData>
  <mergeCells count="2">
    <mergeCell ref="A2:H2"/>
    <mergeCell ref="B1:G1"/>
  </mergeCells>
  <phoneticPr fontId="0" type="noConversion"/>
  <hyperlinks>
    <hyperlink ref="A1" location="Portada!A25" display="INDICE"/>
  </hyperlinks>
  <pageMargins left="0.7" right="0.7" top="0.75" bottom="0.75" header="0.3" footer="0.3"/>
  <pageSetup paperSize="9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5"/>
  <sheetViews>
    <sheetView showGridLines="0" topLeftCell="B10" workbookViewId="0">
      <selection activeCell="N3" sqref="N3"/>
    </sheetView>
  </sheetViews>
  <sheetFormatPr baseColWidth="10" defaultRowHeight="15" x14ac:dyDescent="0.25"/>
  <cols>
    <col min="1" max="1" width="7.85546875" bestFit="1" customWidth="1"/>
    <col min="2" max="2" width="23" customWidth="1"/>
    <col min="3" max="8" width="12.7109375" bestFit="1" customWidth="1"/>
    <col min="9" max="9" width="13.7109375" customWidth="1"/>
    <col min="10" max="10" width="12.7109375" bestFit="1" customWidth="1"/>
    <col min="11" max="14" width="11.85546875" customWidth="1"/>
    <col min="15" max="15" width="13.85546875" customWidth="1"/>
    <col min="16" max="16" width="11.85546875" customWidth="1"/>
  </cols>
  <sheetData>
    <row r="1" spans="1:15" ht="21" customHeight="1" x14ac:dyDescent="0.35">
      <c r="A1" s="422" t="s">
        <v>240</v>
      </c>
      <c r="B1" s="620" t="str">
        <f>'Costos totales'!B1:I1</f>
        <v>TORTILLERIA TIO FRANK</v>
      </c>
      <c r="C1" s="620"/>
      <c r="D1" s="620"/>
      <c r="E1" s="620"/>
      <c r="F1" s="620"/>
      <c r="G1" s="620"/>
      <c r="H1" s="620"/>
      <c r="I1" s="620"/>
      <c r="J1" s="620"/>
    </row>
    <row r="2" spans="1:15" ht="21" customHeight="1" thickBot="1" x14ac:dyDescent="0.4">
      <c r="B2" s="621" t="s">
        <v>12</v>
      </c>
      <c r="C2" s="621"/>
      <c r="D2" s="621"/>
      <c r="E2" s="621"/>
      <c r="F2" s="621"/>
      <c r="G2" s="621"/>
      <c r="H2" s="621"/>
      <c r="I2" s="621"/>
      <c r="J2" s="621"/>
      <c r="L2" s="411" t="s">
        <v>219</v>
      </c>
      <c r="M2" s="411" t="s">
        <v>220</v>
      </c>
      <c r="N2" s="411" t="s">
        <v>221</v>
      </c>
    </row>
    <row r="3" spans="1:15" ht="16.5" thickBot="1" x14ac:dyDescent="0.3">
      <c r="I3" s="115" t="s">
        <v>132</v>
      </c>
      <c r="L3" s="233">
        <v>0</v>
      </c>
      <c r="M3" s="233">
        <v>0</v>
      </c>
      <c r="N3" s="233">
        <v>0</v>
      </c>
    </row>
    <row r="4" spans="1:15" s="3" customFormat="1" x14ac:dyDescent="0.25">
      <c r="B4" s="627" t="s">
        <v>10</v>
      </c>
      <c r="C4" s="629" t="s">
        <v>94</v>
      </c>
      <c r="D4" s="630"/>
      <c r="E4" s="630"/>
      <c r="F4" s="630"/>
      <c r="G4" s="630"/>
      <c r="H4" s="630"/>
      <c r="I4" s="630"/>
      <c r="J4" s="630"/>
      <c r="K4" s="630"/>
      <c r="L4" s="630"/>
      <c r="M4" s="630"/>
      <c r="N4" s="630"/>
      <c r="O4" s="631"/>
    </row>
    <row r="5" spans="1:15" s="3" customFormat="1" ht="15.75" thickBot="1" x14ac:dyDescent="0.3">
      <c r="B5" s="628"/>
      <c r="C5" s="196">
        <v>1</v>
      </c>
      <c r="D5" s="196">
        <v>2</v>
      </c>
      <c r="E5" s="196">
        <v>3</v>
      </c>
      <c r="F5" s="196">
        <v>4</v>
      </c>
      <c r="G5" s="196">
        <v>5</v>
      </c>
      <c r="H5" s="196">
        <v>6</v>
      </c>
      <c r="I5" s="196">
        <v>7</v>
      </c>
      <c r="J5" s="196">
        <v>8</v>
      </c>
      <c r="K5" s="196">
        <v>9</v>
      </c>
      <c r="L5" s="196">
        <v>10</v>
      </c>
      <c r="M5" s="196">
        <v>11</v>
      </c>
      <c r="N5" s="197">
        <v>12</v>
      </c>
      <c r="O5" s="197" t="s">
        <v>123</v>
      </c>
    </row>
    <row r="6" spans="1:15" ht="19.5" customHeight="1" x14ac:dyDescent="0.25">
      <c r="B6" s="189" t="str">
        <f>Memoria!B52</f>
        <v>Blusa A</v>
      </c>
      <c r="C6" s="524">
        <f>Memoria!C52</f>
        <v>200</v>
      </c>
      <c r="D6" s="524">
        <f>Memoria!D52+(Memoria!D52*$L$3)</f>
        <v>200</v>
      </c>
      <c r="E6" s="524">
        <f>Memoria!E52+(Memoria!E52*$L$3)</f>
        <v>200</v>
      </c>
      <c r="F6" s="524">
        <f>Memoria!F52+(Memoria!F52*$L$3)</f>
        <v>200</v>
      </c>
      <c r="G6" s="524">
        <f>Memoria!G52+(Memoria!G52*$L$3)</f>
        <v>200</v>
      </c>
      <c r="H6" s="524">
        <f>Memoria!H52+(Memoria!H52*$L$3)</f>
        <v>200</v>
      </c>
      <c r="I6" s="524">
        <f>Memoria!I52+(Memoria!I52*$L$3)</f>
        <v>200</v>
      </c>
      <c r="J6" s="524">
        <f>Memoria!J52+(Memoria!J52*$L$3)</f>
        <v>200</v>
      </c>
      <c r="K6" s="524">
        <f>Memoria!K52+(Memoria!K52*$L$3)</f>
        <v>200</v>
      </c>
      <c r="L6" s="524">
        <f>Memoria!L52+(Memoria!L52*$L$3)</f>
        <v>200</v>
      </c>
      <c r="M6" s="524">
        <f>Memoria!M52+(Memoria!M52*$L$3)</f>
        <v>200</v>
      </c>
      <c r="N6" s="524">
        <f>Memoria!N52+(Memoria!N52*$L$3)</f>
        <v>200</v>
      </c>
      <c r="O6" s="625">
        <f>SUM(C6:N6)*N7</f>
        <v>672000</v>
      </c>
    </row>
    <row r="7" spans="1:15" ht="19.5" customHeight="1" thickBot="1" x14ac:dyDescent="0.3">
      <c r="B7" s="190" t="s">
        <v>99</v>
      </c>
      <c r="C7" s="525">
        <f>Memoria!C53</f>
        <v>280</v>
      </c>
      <c r="D7" s="525">
        <f>Memoria!D53</f>
        <v>280</v>
      </c>
      <c r="E7" s="525">
        <f>Memoria!E53</f>
        <v>280</v>
      </c>
      <c r="F7" s="525">
        <f>Memoria!F53</f>
        <v>280</v>
      </c>
      <c r="G7" s="525">
        <f>Memoria!G53</f>
        <v>280</v>
      </c>
      <c r="H7" s="525">
        <f>Memoria!H53</f>
        <v>280</v>
      </c>
      <c r="I7" s="525">
        <f>Memoria!I53</f>
        <v>280</v>
      </c>
      <c r="J7" s="525">
        <f>Memoria!J53</f>
        <v>280</v>
      </c>
      <c r="K7" s="525">
        <f>Memoria!K53</f>
        <v>280</v>
      </c>
      <c r="L7" s="525">
        <f>Memoria!L53</f>
        <v>280</v>
      </c>
      <c r="M7" s="525">
        <f>Memoria!M53</f>
        <v>280</v>
      </c>
      <c r="N7" s="525">
        <f>Memoria!N53</f>
        <v>280</v>
      </c>
      <c r="O7" s="626"/>
    </row>
    <row r="8" spans="1:15" ht="19.5" customHeight="1" x14ac:dyDescent="0.25">
      <c r="B8" s="189" t="str">
        <f>Memoria!B54</f>
        <v>Blusa B</v>
      </c>
      <c r="C8" s="526">
        <f>Memoria!C54</f>
        <v>200</v>
      </c>
      <c r="D8" s="524">
        <f>Memoria!D54+(Memoria!D54*$M$3)</f>
        <v>200</v>
      </c>
      <c r="E8" s="524">
        <f>Memoria!E54+(Memoria!E54*$M$3)</f>
        <v>200</v>
      </c>
      <c r="F8" s="524">
        <f>Memoria!F54+(Memoria!F54*$M$3)</f>
        <v>200</v>
      </c>
      <c r="G8" s="524">
        <f>Memoria!G54+(Memoria!G54*$M$3)</f>
        <v>200</v>
      </c>
      <c r="H8" s="524">
        <f>Memoria!H54+(Memoria!H54*$M$3)</f>
        <v>200</v>
      </c>
      <c r="I8" s="524">
        <f>Memoria!I54+(Memoria!I54*$M$3)</f>
        <v>200</v>
      </c>
      <c r="J8" s="524">
        <f>Memoria!J54+(Memoria!J54*$M$3)</f>
        <v>200</v>
      </c>
      <c r="K8" s="524">
        <f>Memoria!K54+(Memoria!K54*$M$3)</f>
        <v>200</v>
      </c>
      <c r="L8" s="524">
        <f>Memoria!L54+(Memoria!L54*$M$3)</f>
        <v>200</v>
      </c>
      <c r="M8" s="524">
        <f>Memoria!M54+(Memoria!M54*$M$3)</f>
        <v>200</v>
      </c>
      <c r="N8" s="524">
        <f>Memoria!N54+(Memoria!N54*$M$3)</f>
        <v>200</v>
      </c>
      <c r="O8" s="625">
        <f>SUM(C8:N8)*N9</f>
        <v>672000</v>
      </c>
    </row>
    <row r="9" spans="1:15" ht="19.5" customHeight="1" thickBot="1" x14ac:dyDescent="0.3">
      <c r="B9" s="190" t="s">
        <v>99</v>
      </c>
      <c r="C9" s="527">
        <f>Memoria!C55</f>
        <v>280</v>
      </c>
      <c r="D9" s="527">
        <f>Memoria!D55</f>
        <v>280</v>
      </c>
      <c r="E9" s="527">
        <f>Memoria!E55</f>
        <v>280</v>
      </c>
      <c r="F9" s="527">
        <f>Memoria!F55</f>
        <v>280</v>
      </c>
      <c r="G9" s="527">
        <f>Memoria!G55</f>
        <v>280</v>
      </c>
      <c r="H9" s="527">
        <f>Memoria!H55</f>
        <v>280</v>
      </c>
      <c r="I9" s="527">
        <f>Memoria!I55</f>
        <v>280</v>
      </c>
      <c r="J9" s="527">
        <f>Memoria!J55</f>
        <v>280</v>
      </c>
      <c r="K9" s="527">
        <f>Memoria!K55</f>
        <v>280</v>
      </c>
      <c r="L9" s="527">
        <f>Memoria!L55</f>
        <v>280</v>
      </c>
      <c r="M9" s="527">
        <f>Memoria!M55</f>
        <v>280</v>
      </c>
      <c r="N9" s="527">
        <f>Memoria!N55</f>
        <v>280</v>
      </c>
      <c r="O9" s="626"/>
    </row>
    <row r="10" spans="1:15" ht="19.5" customHeight="1" x14ac:dyDescent="0.25">
      <c r="B10" s="189" t="str">
        <f>Memoria!B56</f>
        <v>Blusa C</v>
      </c>
      <c r="C10" s="528">
        <f>Memoria!C56</f>
        <v>200</v>
      </c>
      <c r="D10" s="524">
        <f>Memoria!D56+(Memoria!D56*$N$3)</f>
        <v>200</v>
      </c>
      <c r="E10" s="524">
        <f>Memoria!E56+(Memoria!E56*$N$3)</f>
        <v>200</v>
      </c>
      <c r="F10" s="524">
        <f>Memoria!F56+(Memoria!F56*$N$3)</f>
        <v>200</v>
      </c>
      <c r="G10" s="524">
        <f>Memoria!G56+(Memoria!G56*$N$3)</f>
        <v>200</v>
      </c>
      <c r="H10" s="524">
        <f>Memoria!H56+(Memoria!H56*$N$3)</f>
        <v>200</v>
      </c>
      <c r="I10" s="524">
        <f>Memoria!I56+(Memoria!I56*$N$3)</f>
        <v>200</v>
      </c>
      <c r="J10" s="524">
        <f>Memoria!J56+(Memoria!J56*$N$3)</f>
        <v>200</v>
      </c>
      <c r="K10" s="524">
        <f>Memoria!K56+(Memoria!K56*$N$3)</f>
        <v>200</v>
      </c>
      <c r="L10" s="524">
        <f>Memoria!L56+(Memoria!L56*$N$3)</f>
        <v>200</v>
      </c>
      <c r="M10" s="524">
        <f>Memoria!M56+(Memoria!M56*$N$3)</f>
        <v>200</v>
      </c>
      <c r="N10" s="524">
        <f>Memoria!N56+(Memoria!N56*$N$3)</f>
        <v>200</v>
      </c>
      <c r="O10" s="625">
        <f>SUM(C10:N10)*N11</f>
        <v>672000</v>
      </c>
    </row>
    <row r="11" spans="1:15" ht="19.5" customHeight="1" x14ac:dyDescent="0.25">
      <c r="B11" s="190" t="s">
        <v>99</v>
      </c>
      <c r="C11" s="528">
        <f>Memoria!C96</f>
        <v>0</v>
      </c>
      <c r="D11" s="528">
        <f>Memoria!D57</f>
        <v>280</v>
      </c>
      <c r="E11" s="528">
        <f>Memoria!E57</f>
        <v>280</v>
      </c>
      <c r="F11" s="528">
        <f>Memoria!F57</f>
        <v>280</v>
      </c>
      <c r="G11" s="528">
        <f>Memoria!G57</f>
        <v>280</v>
      </c>
      <c r="H11" s="528">
        <f>Memoria!H57</f>
        <v>280</v>
      </c>
      <c r="I11" s="528">
        <f>Memoria!I57</f>
        <v>280</v>
      </c>
      <c r="J11" s="528">
        <f>Memoria!J57</f>
        <v>280</v>
      </c>
      <c r="K11" s="528">
        <f>Memoria!K57</f>
        <v>280</v>
      </c>
      <c r="L11" s="528">
        <f>Memoria!L57</f>
        <v>280</v>
      </c>
      <c r="M11" s="528">
        <f>Memoria!M57</f>
        <v>280</v>
      </c>
      <c r="N11" s="528">
        <f>Memoria!N57</f>
        <v>280</v>
      </c>
      <c r="O11" s="626"/>
    </row>
    <row r="12" spans="1:15" ht="19.5" customHeight="1" x14ac:dyDescent="0.25">
      <c r="B12" s="231" t="s">
        <v>134</v>
      </c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29"/>
      <c r="N12" s="529"/>
      <c r="O12" s="530"/>
    </row>
    <row r="13" spans="1:15" x14ac:dyDescent="0.25">
      <c r="B13" s="231" t="s">
        <v>135</v>
      </c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29"/>
      <c r="O13" s="530"/>
    </row>
    <row r="14" spans="1:15" x14ac:dyDescent="0.25">
      <c r="B14" s="231" t="s">
        <v>136</v>
      </c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29"/>
      <c r="N14" s="529"/>
      <c r="O14" s="530"/>
    </row>
    <row r="15" spans="1:15" x14ac:dyDescent="0.25">
      <c r="B15" s="160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30"/>
    </row>
    <row r="16" spans="1:15" x14ac:dyDescent="0.25">
      <c r="B16" s="160"/>
      <c r="C16" s="529"/>
      <c r="D16" s="529"/>
      <c r="E16" s="529"/>
      <c r="F16" s="529"/>
      <c r="G16" s="529"/>
      <c r="H16" s="529"/>
      <c r="I16" s="529"/>
      <c r="J16" s="529"/>
      <c r="K16" s="529"/>
      <c r="L16" s="529"/>
      <c r="M16" s="529"/>
      <c r="N16" s="529"/>
      <c r="O16" s="530"/>
    </row>
    <row r="17" spans="2:16" ht="15.75" thickBot="1" x14ac:dyDescent="0.3">
      <c r="B17" s="232"/>
      <c r="C17" s="531"/>
      <c r="D17" s="531"/>
      <c r="E17" s="531"/>
      <c r="F17" s="531"/>
      <c r="G17" s="531"/>
      <c r="H17" s="531"/>
      <c r="I17" s="531"/>
      <c r="J17" s="531"/>
      <c r="K17" s="531"/>
      <c r="L17" s="531"/>
      <c r="M17" s="531"/>
      <c r="N17" s="531"/>
      <c r="O17" s="532"/>
    </row>
    <row r="18" spans="2:16" ht="15.75" thickBot="1" x14ac:dyDescent="0.3">
      <c r="B18" s="230" t="s">
        <v>5</v>
      </c>
      <c r="C18" s="533">
        <f>(C6*C7)+(C8*C9)+C10+C11+C12</f>
        <v>112200</v>
      </c>
      <c r="D18" s="533">
        <f>(D6*D7)+(D8*D9)+D10+D11+D12</f>
        <v>112480</v>
      </c>
      <c r="E18" s="533">
        <f t="shared" ref="E18:N18" si="0">(E6*E7)+(E8*E9)+E10+E11+E12</f>
        <v>112480</v>
      </c>
      <c r="F18" s="533">
        <f t="shared" si="0"/>
        <v>112480</v>
      </c>
      <c r="G18" s="533">
        <f t="shared" si="0"/>
        <v>112480</v>
      </c>
      <c r="H18" s="533">
        <f t="shared" si="0"/>
        <v>112480</v>
      </c>
      <c r="I18" s="533">
        <f t="shared" si="0"/>
        <v>112480</v>
      </c>
      <c r="J18" s="533">
        <f t="shared" si="0"/>
        <v>112480</v>
      </c>
      <c r="K18" s="533">
        <f t="shared" si="0"/>
        <v>112480</v>
      </c>
      <c r="L18" s="533">
        <f t="shared" si="0"/>
        <v>112480</v>
      </c>
      <c r="M18" s="533">
        <f t="shared" si="0"/>
        <v>112480</v>
      </c>
      <c r="N18" s="533">
        <f t="shared" si="0"/>
        <v>112480</v>
      </c>
      <c r="O18" s="534">
        <f>SUM(O6:O17)</f>
        <v>2016000</v>
      </c>
      <c r="P18" s="234"/>
    </row>
    <row r="19" spans="2:16" ht="15.75" thickBot="1" x14ac:dyDescent="0.3">
      <c r="E19" s="105"/>
      <c r="F19" s="107"/>
    </row>
    <row r="20" spans="2:16" x14ac:dyDescent="0.25">
      <c r="B20" s="225"/>
      <c r="C20" s="623" t="s">
        <v>152</v>
      </c>
      <c r="D20" s="623"/>
      <c r="E20" s="623"/>
      <c r="F20" s="623"/>
      <c r="G20" s="623"/>
      <c r="H20" s="623"/>
      <c r="I20" s="623"/>
      <c r="J20" s="624"/>
    </row>
    <row r="21" spans="2:16" ht="15.75" thickBot="1" x14ac:dyDescent="0.3">
      <c r="B21" s="226" t="s">
        <v>10</v>
      </c>
      <c r="C21" s="227" t="s">
        <v>14</v>
      </c>
      <c r="D21" s="227" t="s">
        <v>15</v>
      </c>
      <c r="E21" s="227" t="s">
        <v>16</v>
      </c>
      <c r="F21" s="227" t="s">
        <v>17</v>
      </c>
      <c r="G21" s="227" t="s">
        <v>18</v>
      </c>
      <c r="H21" s="227" t="s">
        <v>149</v>
      </c>
      <c r="I21" s="227" t="s">
        <v>150</v>
      </c>
      <c r="J21" s="228" t="s">
        <v>151</v>
      </c>
    </row>
    <row r="22" spans="2:16" ht="21.75" customHeight="1" x14ac:dyDescent="0.25">
      <c r="B22" s="205" t="str">
        <f>B6</f>
        <v>Blusa A</v>
      </c>
      <c r="C22" s="528">
        <f>O6</f>
        <v>672000</v>
      </c>
      <c r="D22" s="535">
        <f t="shared" ref="D22:J23" si="1">C22+(C22*$L$3)</f>
        <v>672000</v>
      </c>
      <c r="E22" s="535">
        <f t="shared" si="1"/>
        <v>672000</v>
      </c>
      <c r="F22" s="535">
        <f t="shared" si="1"/>
        <v>672000</v>
      </c>
      <c r="G22" s="535">
        <f t="shared" si="1"/>
        <v>672000</v>
      </c>
      <c r="H22" s="535">
        <f t="shared" si="1"/>
        <v>672000</v>
      </c>
      <c r="I22" s="535">
        <f t="shared" si="1"/>
        <v>672000</v>
      </c>
      <c r="J22" s="535">
        <f t="shared" si="1"/>
        <v>672000</v>
      </c>
    </row>
    <row r="23" spans="2:16" ht="21.75" customHeight="1" x14ac:dyDescent="0.25">
      <c r="B23" s="205" t="str">
        <f>B8</f>
        <v>Blusa B</v>
      </c>
      <c r="C23" s="528">
        <f>O8</f>
        <v>672000</v>
      </c>
      <c r="D23" s="535">
        <f t="shared" si="1"/>
        <v>672000</v>
      </c>
      <c r="E23" s="535">
        <f t="shared" si="1"/>
        <v>672000</v>
      </c>
      <c r="F23" s="535">
        <f t="shared" si="1"/>
        <v>672000</v>
      </c>
      <c r="G23" s="535">
        <f t="shared" si="1"/>
        <v>672000</v>
      </c>
      <c r="H23" s="535">
        <f t="shared" si="1"/>
        <v>672000</v>
      </c>
      <c r="I23" s="535">
        <f t="shared" si="1"/>
        <v>672000</v>
      </c>
      <c r="J23" s="535">
        <f t="shared" si="1"/>
        <v>672000</v>
      </c>
    </row>
    <row r="24" spans="2:16" ht="21.75" customHeight="1" x14ac:dyDescent="0.25">
      <c r="B24" s="205" t="str">
        <f>B10</f>
        <v>Blusa C</v>
      </c>
      <c r="C24" s="523">
        <f>O10</f>
        <v>672000</v>
      </c>
      <c r="D24" s="523">
        <f>C24</f>
        <v>672000</v>
      </c>
      <c r="E24" s="523">
        <f t="shared" ref="E24:J24" si="2">D24</f>
        <v>672000</v>
      </c>
      <c r="F24" s="523">
        <f t="shared" si="2"/>
        <v>672000</v>
      </c>
      <c r="G24" s="523">
        <f t="shared" si="2"/>
        <v>672000</v>
      </c>
      <c r="H24" s="523">
        <f t="shared" si="2"/>
        <v>672000</v>
      </c>
      <c r="I24" s="523">
        <f t="shared" si="2"/>
        <v>672000</v>
      </c>
      <c r="J24" s="523">
        <f t="shared" si="2"/>
        <v>672000</v>
      </c>
    </row>
    <row r="25" spans="2:16" ht="21.75" customHeight="1" x14ac:dyDescent="0.25">
      <c r="B25" s="205" t="s">
        <v>135</v>
      </c>
      <c r="C25" s="528"/>
      <c r="D25" s="528"/>
      <c r="E25" s="528"/>
      <c r="F25" s="528"/>
      <c r="G25" s="528"/>
      <c r="H25" s="528"/>
      <c r="I25" s="528"/>
      <c r="J25" s="528"/>
    </row>
    <row r="26" spans="2:16" ht="21.75" customHeight="1" x14ac:dyDescent="0.25">
      <c r="B26" s="205" t="s">
        <v>136</v>
      </c>
      <c r="C26" s="528"/>
      <c r="D26" s="528"/>
      <c r="E26" s="528"/>
      <c r="F26" s="528"/>
      <c r="G26" s="528"/>
      <c r="H26" s="528"/>
      <c r="I26" s="528"/>
      <c r="J26" s="528"/>
    </row>
    <row r="27" spans="2:16" ht="21.75" customHeight="1" x14ac:dyDescent="0.25">
      <c r="B27" s="2"/>
      <c r="C27" s="235"/>
      <c r="D27" s="235"/>
      <c r="E27" s="235"/>
      <c r="F27" s="235"/>
      <c r="G27" s="235"/>
      <c r="H27" s="235"/>
      <c r="I27" s="235"/>
      <c r="J27" s="235"/>
    </row>
    <row r="28" spans="2:16" x14ac:dyDescent="0.25">
      <c r="B28" s="2"/>
      <c r="C28" s="235"/>
      <c r="D28" s="235"/>
      <c r="E28" s="235"/>
      <c r="F28" s="235"/>
      <c r="G28" s="235"/>
      <c r="H28" s="235"/>
      <c r="I28" s="235"/>
      <c r="J28" s="235"/>
    </row>
    <row r="29" spans="2:16" x14ac:dyDescent="0.25">
      <c r="B29" s="2"/>
      <c r="C29" s="235"/>
      <c r="D29" s="235"/>
      <c r="E29" s="235"/>
      <c r="F29" s="235"/>
      <c r="G29" s="235"/>
      <c r="H29" s="235"/>
      <c r="I29" s="235"/>
      <c r="J29" s="235"/>
    </row>
    <row r="30" spans="2:16" x14ac:dyDescent="0.25">
      <c r="B30" s="2"/>
      <c r="C30" s="235"/>
      <c r="D30" s="235"/>
      <c r="E30" s="235"/>
      <c r="F30" s="235"/>
      <c r="G30" s="235"/>
      <c r="H30" s="235"/>
      <c r="I30" s="235"/>
      <c r="J30" s="235"/>
    </row>
    <row r="31" spans="2:16" x14ac:dyDescent="0.25">
      <c r="B31" s="2"/>
      <c r="C31" s="235"/>
      <c r="D31" s="235"/>
      <c r="E31" s="235"/>
      <c r="F31" s="235"/>
      <c r="G31" s="235"/>
      <c r="H31" s="235"/>
      <c r="I31" s="235"/>
      <c r="J31" s="235"/>
    </row>
    <row r="32" spans="2:16" x14ac:dyDescent="0.25">
      <c r="B32" s="2"/>
      <c r="C32" s="235"/>
      <c r="D32" s="235"/>
      <c r="E32" s="235"/>
      <c r="F32" s="235"/>
      <c r="G32" s="235"/>
      <c r="H32" s="235"/>
      <c r="I32" s="235"/>
      <c r="J32" s="235"/>
    </row>
    <row r="33" spans="2:10" x14ac:dyDescent="0.25">
      <c r="B33" s="2"/>
      <c r="C33" s="235"/>
      <c r="D33" s="235"/>
      <c r="E33" s="235"/>
      <c r="F33" s="235"/>
      <c r="G33" s="235"/>
      <c r="H33" s="235"/>
      <c r="I33" s="235"/>
      <c r="J33" s="235"/>
    </row>
    <row r="34" spans="2:10" ht="15.75" thickBot="1" x14ac:dyDescent="0.3">
      <c r="B34" s="229"/>
      <c r="C34" s="236"/>
      <c r="D34" s="236"/>
      <c r="E34" s="236"/>
      <c r="F34" s="236"/>
      <c r="G34" s="236"/>
      <c r="H34" s="236"/>
      <c r="I34" s="236"/>
      <c r="J34" s="236"/>
    </row>
    <row r="35" spans="2:10" ht="15.75" thickBot="1" x14ac:dyDescent="0.3">
      <c r="B35" s="230" t="s">
        <v>5</v>
      </c>
      <c r="C35" s="536">
        <f t="shared" ref="C35:J35" si="3">SUM(C22:C34)</f>
        <v>2016000</v>
      </c>
      <c r="D35" s="536">
        <f t="shared" si="3"/>
        <v>2016000</v>
      </c>
      <c r="E35" s="536">
        <f t="shared" si="3"/>
        <v>2016000</v>
      </c>
      <c r="F35" s="536">
        <f t="shared" si="3"/>
        <v>2016000</v>
      </c>
      <c r="G35" s="536">
        <f t="shared" si="3"/>
        <v>2016000</v>
      </c>
      <c r="H35" s="536">
        <f t="shared" si="3"/>
        <v>2016000</v>
      </c>
      <c r="I35" s="536">
        <f t="shared" si="3"/>
        <v>2016000</v>
      </c>
      <c r="J35" s="534">
        <f t="shared" si="3"/>
        <v>2016000</v>
      </c>
    </row>
  </sheetData>
  <mergeCells count="8">
    <mergeCell ref="C20:J20"/>
    <mergeCell ref="O6:O7"/>
    <mergeCell ref="O8:O9"/>
    <mergeCell ref="B1:J1"/>
    <mergeCell ref="B2:J2"/>
    <mergeCell ref="B4:B5"/>
    <mergeCell ref="C4:O4"/>
    <mergeCell ref="O10:O11"/>
  </mergeCells>
  <phoneticPr fontId="0" type="noConversion"/>
  <hyperlinks>
    <hyperlink ref="A1" location="Portada!A25" display="INDICE"/>
  </hyperlinks>
  <pageMargins left="0.7" right="0.7" top="0.75" bottom="0.75" header="0.3" footer="0.3"/>
  <pageSetup paperSize="9" scale="9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54"/>
  <sheetViews>
    <sheetView topLeftCell="A37" zoomScale="97" zoomScaleNormal="97" workbookViewId="0">
      <selection activeCell="H25" sqref="H25"/>
    </sheetView>
  </sheetViews>
  <sheetFormatPr baseColWidth="10" defaultRowHeight="15" x14ac:dyDescent="0.25"/>
  <cols>
    <col min="1" max="1" width="3.42578125" bestFit="1" customWidth="1"/>
    <col min="2" max="2" width="34.140625" bestFit="1" customWidth="1"/>
    <col min="3" max="3" width="13.7109375" bestFit="1" customWidth="1"/>
    <col min="4" max="8" width="11.28515625" bestFit="1" customWidth="1"/>
    <col min="9" max="9" width="11.85546875" bestFit="1" customWidth="1"/>
    <col min="10" max="15" width="12.28515625" bestFit="1" customWidth="1"/>
  </cols>
  <sheetData>
    <row r="1" spans="1:15" ht="18.75" thickBot="1" x14ac:dyDescent="0.3">
      <c r="A1" s="632" t="s">
        <v>153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4"/>
    </row>
    <row r="2" spans="1:15" ht="15.75" thickBot="1" x14ac:dyDescent="0.3">
      <c r="A2" s="422" t="s">
        <v>240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ht="15.75" thickTop="1" x14ac:dyDescent="0.25">
      <c r="A3" s="237"/>
      <c r="B3" s="238" t="s">
        <v>26</v>
      </c>
      <c r="C3" s="238" t="s">
        <v>72</v>
      </c>
      <c r="D3" s="238" t="s">
        <v>73</v>
      </c>
      <c r="E3" s="238" t="s">
        <v>74</v>
      </c>
      <c r="F3" s="238" t="s">
        <v>75</v>
      </c>
      <c r="G3" s="238" t="s">
        <v>76</v>
      </c>
      <c r="H3" s="238" t="s">
        <v>77</v>
      </c>
      <c r="I3" s="238" t="s">
        <v>78</v>
      </c>
      <c r="J3" s="238" t="s">
        <v>79</v>
      </c>
      <c r="K3" s="238" t="s">
        <v>80</v>
      </c>
      <c r="L3" s="238" t="s">
        <v>81</v>
      </c>
      <c r="M3" s="238" t="s">
        <v>82</v>
      </c>
      <c r="N3" s="238" t="s">
        <v>83</v>
      </c>
      <c r="O3" s="239" t="s">
        <v>5</v>
      </c>
    </row>
    <row r="4" spans="1:15" x14ac:dyDescent="0.25">
      <c r="A4" s="240">
        <v>1</v>
      </c>
      <c r="B4" s="241" t="s">
        <v>137</v>
      </c>
      <c r="C4" s="537">
        <f>+C5+C7+C9+C11</f>
        <v>56000</v>
      </c>
      <c r="D4" s="537">
        <f t="shared" ref="D4:I4" si="0">D5+D7</f>
        <v>112000</v>
      </c>
      <c r="E4" s="537">
        <f t="shared" si="0"/>
        <v>112000</v>
      </c>
      <c r="F4" s="537">
        <f t="shared" si="0"/>
        <v>112000</v>
      </c>
      <c r="G4" s="537">
        <f t="shared" si="0"/>
        <v>112000</v>
      </c>
      <c r="H4" s="537">
        <f t="shared" si="0"/>
        <v>112000</v>
      </c>
      <c r="I4" s="537">
        <f t="shared" si="0"/>
        <v>112000</v>
      </c>
      <c r="J4" s="537">
        <f t="shared" ref="J4:N4" si="1">J5+J7</f>
        <v>112000</v>
      </c>
      <c r="K4" s="537">
        <f t="shared" si="1"/>
        <v>112000</v>
      </c>
      <c r="L4" s="537">
        <f t="shared" si="1"/>
        <v>112000</v>
      </c>
      <c r="M4" s="537">
        <f t="shared" si="1"/>
        <v>112000</v>
      </c>
      <c r="N4" s="537">
        <f t="shared" si="1"/>
        <v>112000</v>
      </c>
      <c r="O4" s="538">
        <f>SUM(C4:N4)</f>
        <v>1288000</v>
      </c>
    </row>
    <row r="5" spans="1:15" x14ac:dyDescent="0.25">
      <c r="A5" s="213" t="s">
        <v>138</v>
      </c>
      <c r="B5" s="214" t="str">
        <f>Ingresos!B6</f>
        <v>Blusa A</v>
      </c>
      <c r="C5" s="539">
        <f>Ingresos!C6*Ingresos!C7/2</f>
        <v>28000</v>
      </c>
      <c r="D5" s="539">
        <f>Ingresos!D6*Ingresos!D7</f>
        <v>56000</v>
      </c>
      <c r="E5" s="539">
        <f>Ingresos!E6*Ingresos!E7</f>
        <v>56000</v>
      </c>
      <c r="F5" s="539">
        <f>Ingresos!F6*Ingresos!F7</f>
        <v>56000</v>
      </c>
      <c r="G5" s="539">
        <f>Ingresos!G6*Ingresos!G7</f>
        <v>56000</v>
      </c>
      <c r="H5" s="539">
        <f>Ingresos!H6*Ingresos!H7</f>
        <v>56000</v>
      </c>
      <c r="I5" s="539">
        <f>Ingresos!I6*Ingresos!I7</f>
        <v>56000</v>
      </c>
      <c r="J5" s="539">
        <f>Ingresos!J6*Ingresos!J7</f>
        <v>56000</v>
      </c>
      <c r="K5" s="539">
        <f>Ingresos!K6*Ingresos!K7</f>
        <v>56000</v>
      </c>
      <c r="L5" s="539">
        <f>Ingresos!L6*Ingresos!L7</f>
        <v>56000</v>
      </c>
      <c r="M5" s="539">
        <f>Ingresos!M6*Ingresos!M7</f>
        <v>56000</v>
      </c>
      <c r="N5" s="539">
        <f>Ingresos!N6*Ingresos!N7</f>
        <v>56000</v>
      </c>
      <c r="O5" s="540">
        <f>SUM(C5:N5)</f>
        <v>644000</v>
      </c>
    </row>
    <row r="6" spans="1:15" x14ac:dyDescent="0.25">
      <c r="A6" s="215"/>
      <c r="B6" s="216"/>
      <c r="C6" s="539"/>
      <c r="D6" s="539"/>
      <c r="E6" s="539"/>
      <c r="F6" s="539"/>
      <c r="G6" s="539"/>
      <c r="H6" s="539"/>
      <c r="I6" s="541"/>
      <c r="J6" s="541"/>
      <c r="K6" s="541"/>
      <c r="L6" s="541"/>
      <c r="M6" s="541"/>
      <c r="N6" s="541"/>
      <c r="O6" s="542"/>
    </row>
    <row r="7" spans="1:15" x14ac:dyDescent="0.25">
      <c r="A7" s="213" t="s">
        <v>139</v>
      </c>
      <c r="B7" s="214" t="str">
        <f>Ingresos!B8</f>
        <v>Blusa B</v>
      </c>
      <c r="C7" s="539">
        <f>Ingresos!C8*Ingresos!C9/2</f>
        <v>28000</v>
      </c>
      <c r="D7" s="539">
        <f>Ingresos!D8*Ingresos!D9</f>
        <v>56000</v>
      </c>
      <c r="E7" s="539">
        <f>Ingresos!E8*Ingresos!E9</f>
        <v>56000</v>
      </c>
      <c r="F7" s="539">
        <f>Ingresos!F8*Ingresos!F9</f>
        <v>56000</v>
      </c>
      <c r="G7" s="539">
        <f>Ingresos!G8*Ingresos!G9</f>
        <v>56000</v>
      </c>
      <c r="H7" s="539">
        <f>Ingresos!H8*Ingresos!H9</f>
        <v>56000</v>
      </c>
      <c r="I7" s="539">
        <f>Ingresos!I8*Ingresos!I9</f>
        <v>56000</v>
      </c>
      <c r="J7" s="539">
        <f>Ingresos!J8*Ingresos!J9</f>
        <v>56000</v>
      </c>
      <c r="K7" s="539">
        <f>Ingresos!K8*Ingresos!K9</f>
        <v>56000</v>
      </c>
      <c r="L7" s="539">
        <f>Ingresos!L8*Ingresos!L9</f>
        <v>56000</v>
      </c>
      <c r="M7" s="539">
        <f>Ingresos!M8*Ingresos!M9</f>
        <v>56000</v>
      </c>
      <c r="N7" s="539">
        <f>Ingresos!N8*Ingresos!N9</f>
        <v>56000</v>
      </c>
      <c r="O7" s="540">
        <f>SUM(C7:N7)</f>
        <v>644000</v>
      </c>
    </row>
    <row r="8" spans="1:15" x14ac:dyDescent="0.25">
      <c r="A8" s="215"/>
      <c r="B8" s="216"/>
      <c r="C8" s="539"/>
      <c r="D8" s="539"/>
      <c r="E8" s="539"/>
      <c r="F8" s="539"/>
      <c r="G8" s="539"/>
      <c r="H8" s="539"/>
      <c r="I8" s="541"/>
      <c r="J8" s="541"/>
      <c r="K8" s="541"/>
      <c r="L8" s="541"/>
      <c r="M8" s="541"/>
      <c r="N8" s="541"/>
      <c r="O8" s="542"/>
    </row>
    <row r="9" spans="1:15" x14ac:dyDescent="0.25">
      <c r="A9" s="213" t="s">
        <v>140</v>
      </c>
      <c r="B9" s="217" t="s">
        <v>119</v>
      </c>
      <c r="C9" s="557">
        <f>Ingresos!C10*Ingresos!C11</f>
        <v>0</v>
      </c>
      <c r="D9" s="557">
        <f>Ingresos!D10*Ingresos!D11</f>
        <v>56000</v>
      </c>
      <c r="E9" s="557">
        <f>Ingresos!E10*Ingresos!E11</f>
        <v>56000</v>
      </c>
      <c r="F9" s="557">
        <f>Ingresos!F10*Ingresos!F11</f>
        <v>56000</v>
      </c>
      <c r="G9" s="557">
        <f>Ingresos!G10*Ingresos!G11</f>
        <v>56000</v>
      </c>
      <c r="H9" s="557">
        <f>Ingresos!H10*Ingresos!H11</f>
        <v>56000</v>
      </c>
      <c r="I9" s="557">
        <f>Ingresos!I10*Ingresos!I11</f>
        <v>56000</v>
      </c>
      <c r="J9" s="557">
        <f>Ingresos!J10*Ingresos!J11</f>
        <v>56000</v>
      </c>
      <c r="K9" s="557">
        <f>Ingresos!K10*Ingresos!K11</f>
        <v>56000</v>
      </c>
      <c r="L9" s="557">
        <f>Ingresos!L10*Ingresos!L11</f>
        <v>56000</v>
      </c>
      <c r="M9" s="557">
        <f>Ingresos!M10*Ingresos!M11</f>
        <v>56000</v>
      </c>
      <c r="N9" s="557">
        <f>Ingresos!N10*Ingresos!N11</f>
        <v>56000</v>
      </c>
      <c r="O9" s="558">
        <f>SUM(C9:N9)</f>
        <v>616000</v>
      </c>
    </row>
    <row r="10" spans="1:15" x14ac:dyDescent="0.25">
      <c r="A10" s="213"/>
      <c r="B10" s="217"/>
      <c r="C10" s="557"/>
      <c r="D10" s="557"/>
      <c r="E10" s="557"/>
      <c r="F10" s="557"/>
      <c r="G10" s="557"/>
      <c r="H10" s="557"/>
      <c r="I10" s="562"/>
      <c r="J10" s="562"/>
      <c r="K10" s="562"/>
      <c r="L10" s="562"/>
      <c r="M10" s="562"/>
      <c r="N10" s="562"/>
      <c r="O10" s="558"/>
    </row>
    <row r="11" spans="1:15" x14ac:dyDescent="0.25">
      <c r="A11" s="213" t="s">
        <v>147</v>
      </c>
      <c r="B11" s="217" t="s">
        <v>148</v>
      </c>
      <c r="C11" s="557">
        <f>Ingresos!C12</f>
        <v>0</v>
      </c>
      <c r="D11" s="557">
        <f>Ingresos!D12</f>
        <v>0</v>
      </c>
      <c r="E11" s="557">
        <f>Ingresos!E12</f>
        <v>0</v>
      </c>
      <c r="F11" s="557">
        <f>Ingresos!F12</f>
        <v>0</v>
      </c>
      <c r="G11" s="557">
        <f>Ingresos!G12</f>
        <v>0</v>
      </c>
      <c r="H11" s="557">
        <f>Ingresos!H12</f>
        <v>0</v>
      </c>
      <c r="I11" s="557">
        <f>Ingresos!I12</f>
        <v>0</v>
      </c>
      <c r="J11" s="557">
        <f>Ingresos!J12</f>
        <v>0</v>
      </c>
      <c r="K11" s="557">
        <f>Ingresos!K12</f>
        <v>0</v>
      </c>
      <c r="L11" s="557">
        <f>Ingresos!L12</f>
        <v>0</v>
      </c>
      <c r="M11" s="557">
        <f>Ingresos!M12</f>
        <v>0</v>
      </c>
      <c r="N11" s="557">
        <f>Ingresos!N12</f>
        <v>0</v>
      </c>
      <c r="O11" s="558">
        <f>SUM(C11:N11)</f>
        <v>0</v>
      </c>
    </row>
    <row r="12" spans="1:15" x14ac:dyDescent="0.25">
      <c r="A12" s="213"/>
      <c r="B12" s="214"/>
      <c r="C12" s="539"/>
      <c r="D12" s="539"/>
      <c r="E12" s="539"/>
      <c r="F12" s="539"/>
      <c r="G12" s="539"/>
      <c r="H12" s="539"/>
      <c r="I12" s="541"/>
      <c r="J12" s="541"/>
      <c r="K12" s="541"/>
      <c r="L12" s="541"/>
      <c r="M12" s="541"/>
      <c r="N12" s="541"/>
      <c r="O12" s="542"/>
    </row>
    <row r="13" spans="1:15" ht="15.75" thickBot="1" x14ac:dyDescent="0.3">
      <c r="A13" s="240">
        <v>2</v>
      </c>
      <c r="B13" s="241" t="s">
        <v>141</v>
      </c>
      <c r="C13" s="537">
        <f>C14+C31</f>
        <v>121842.53</v>
      </c>
      <c r="D13" s="537">
        <f t="shared" ref="D13:N13" si="2">D14+D31</f>
        <v>121842.53</v>
      </c>
      <c r="E13" s="537">
        <f t="shared" si="2"/>
        <v>121842.53</v>
      </c>
      <c r="F13" s="537">
        <f t="shared" si="2"/>
        <v>121842.53</v>
      </c>
      <c r="G13" s="537">
        <f t="shared" si="2"/>
        <v>121842.53</v>
      </c>
      <c r="H13" s="537">
        <f t="shared" si="2"/>
        <v>121842.53</v>
      </c>
      <c r="I13" s="537">
        <f t="shared" si="2"/>
        <v>121842.53</v>
      </c>
      <c r="J13" s="537">
        <f t="shared" si="2"/>
        <v>121842.53</v>
      </c>
      <c r="K13" s="537">
        <f t="shared" si="2"/>
        <v>121842.53</v>
      </c>
      <c r="L13" s="537">
        <f t="shared" si="2"/>
        <v>121842.53</v>
      </c>
      <c r="M13" s="537">
        <f t="shared" si="2"/>
        <v>121842.53</v>
      </c>
      <c r="N13" s="537">
        <f t="shared" si="2"/>
        <v>121842.53</v>
      </c>
      <c r="O13" s="538">
        <f>SUM(C13:N13)</f>
        <v>1462110.36</v>
      </c>
    </row>
    <row r="14" spans="1:15" x14ac:dyDescent="0.25">
      <c r="A14" s="244"/>
      <c r="B14" s="246" t="s">
        <v>142</v>
      </c>
      <c r="C14" s="543">
        <f>SUM(C15:C30)</f>
        <v>77586</v>
      </c>
      <c r="D14" s="543">
        <f t="shared" ref="D14:N14" si="3">SUM(D15:D30)</f>
        <v>77586</v>
      </c>
      <c r="E14" s="543">
        <f t="shared" si="3"/>
        <v>77586</v>
      </c>
      <c r="F14" s="543">
        <f t="shared" si="3"/>
        <v>77586</v>
      </c>
      <c r="G14" s="543">
        <f t="shared" si="3"/>
        <v>77586</v>
      </c>
      <c r="H14" s="543">
        <f t="shared" si="3"/>
        <v>77586</v>
      </c>
      <c r="I14" s="543">
        <f t="shared" si="3"/>
        <v>77586</v>
      </c>
      <c r="J14" s="543">
        <f t="shared" si="3"/>
        <v>77586</v>
      </c>
      <c r="K14" s="543">
        <f t="shared" si="3"/>
        <v>77586</v>
      </c>
      <c r="L14" s="543">
        <f t="shared" si="3"/>
        <v>77586</v>
      </c>
      <c r="M14" s="543">
        <f t="shared" si="3"/>
        <v>77586</v>
      </c>
      <c r="N14" s="543">
        <f t="shared" si="3"/>
        <v>77586</v>
      </c>
      <c r="O14" s="544">
        <f>SUM(C14:N14)</f>
        <v>931032</v>
      </c>
    </row>
    <row r="15" spans="1:15" x14ac:dyDescent="0.25">
      <c r="A15" s="212"/>
      <c r="B15" s="218" t="str">
        <f>'Proyeccion costos'!B22</f>
        <v>Blusa terminado</v>
      </c>
      <c r="C15" s="545">
        <f>'Proyeccion costos'!C22</f>
        <v>77586</v>
      </c>
      <c r="D15" s="546">
        <f>C15</f>
        <v>77586</v>
      </c>
      <c r="E15" s="546">
        <f t="shared" ref="E15:N15" si="4">D15</f>
        <v>77586</v>
      </c>
      <c r="F15" s="546">
        <f t="shared" si="4"/>
        <v>77586</v>
      </c>
      <c r="G15" s="546">
        <f t="shared" si="4"/>
        <v>77586</v>
      </c>
      <c r="H15" s="546">
        <f t="shared" si="4"/>
        <v>77586</v>
      </c>
      <c r="I15" s="546">
        <f t="shared" si="4"/>
        <v>77586</v>
      </c>
      <c r="J15" s="546">
        <f t="shared" si="4"/>
        <v>77586</v>
      </c>
      <c r="K15" s="546">
        <f t="shared" si="4"/>
        <v>77586</v>
      </c>
      <c r="L15" s="546">
        <f t="shared" si="4"/>
        <v>77586</v>
      </c>
      <c r="M15" s="546">
        <f t="shared" si="4"/>
        <v>77586</v>
      </c>
      <c r="N15" s="546">
        <f t="shared" si="4"/>
        <v>77586</v>
      </c>
      <c r="O15" s="542">
        <f>SUM(C15:N15)</f>
        <v>931032</v>
      </c>
    </row>
    <row r="16" spans="1:15" x14ac:dyDescent="0.25">
      <c r="A16" s="212"/>
      <c r="B16" s="218">
        <f>'Proyeccion costos'!B23</f>
        <v>0</v>
      </c>
      <c r="C16" s="545">
        <f>'Proyeccion costos'!C23</f>
        <v>0</v>
      </c>
      <c r="D16" s="546">
        <f t="shared" ref="D16:N16" si="5">C16</f>
        <v>0</v>
      </c>
      <c r="E16" s="546">
        <f t="shared" si="5"/>
        <v>0</v>
      </c>
      <c r="F16" s="546">
        <f t="shared" si="5"/>
        <v>0</v>
      </c>
      <c r="G16" s="546">
        <f t="shared" si="5"/>
        <v>0</v>
      </c>
      <c r="H16" s="546">
        <f t="shared" si="5"/>
        <v>0</v>
      </c>
      <c r="I16" s="546">
        <f t="shared" si="5"/>
        <v>0</v>
      </c>
      <c r="J16" s="546">
        <f t="shared" si="5"/>
        <v>0</v>
      </c>
      <c r="K16" s="546">
        <f t="shared" si="5"/>
        <v>0</v>
      </c>
      <c r="L16" s="546">
        <f t="shared" si="5"/>
        <v>0</v>
      </c>
      <c r="M16" s="546">
        <f t="shared" si="5"/>
        <v>0</v>
      </c>
      <c r="N16" s="546">
        <f t="shared" si="5"/>
        <v>0</v>
      </c>
      <c r="O16" s="542">
        <f t="shared" ref="O16:O29" si="6">SUM(C16:N16)</f>
        <v>0</v>
      </c>
    </row>
    <row r="17" spans="1:15" x14ac:dyDescent="0.25">
      <c r="A17" s="212"/>
      <c r="B17" s="218">
        <f>'Proyeccion costos'!B24</f>
        <v>0</v>
      </c>
      <c r="C17" s="545">
        <f>'Proyeccion costos'!C24</f>
        <v>0</v>
      </c>
      <c r="D17" s="546">
        <f t="shared" ref="D17:N17" si="7">C17</f>
        <v>0</v>
      </c>
      <c r="E17" s="546">
        <f t="shared" si="7"/>
        <v>0</v>
      </c>
      <c r="F17" s="546">
        <f t="shared" si="7"/>
        <v>0</v>
      </c>
      <c r="G17" s="546">
        <f t="shared" si="7"/>
        <v>0</v>
      </c>
      <c r="H17" s="546">
        <f t="shared" si="7"/>
        <v>0</v>
      </c>
      <c r="I17" s="546">
        <f t="shared" si="7"/>
        <v>0</v>
      </c>
      <c r="J17" s="546">
        <f t="shared" si="7"/>
        <v>0</v>
      </c>
      <c r="K17" s="546">
        <f t="shared" si="7"/>
        <v>0</v>
      </c>
      <c r="L17" s="546">
        <f t="shared" si="7"/>
        <v>0</v>
      </c>
      <c r="M17" s="546">
        <f t="shared" si="7"/>
        <v>0</v>
      </c>
      <c r="N17" s="546">
        <f t="shared" si="7"/>
        <v>0</v>
      </c>
      <c r="O17" s="542">
        <f t="shared" si="6"/>
        <v>0</v>
      </c>
    </row>
    <row r="18" spans="1:15" x14ac:dyDescent="0.25">
      <c r="A18" s="212"/>
      <c r="B18" s="218">
        <f>'Proyeccion costos'!B25</f>
        <v>0</v>
      </c>
      <c r="C18" s="545">
        <f>'Proyeccion costos'!C25</f>
        <v>0</v>
      </c>
      <c r="D18" s="546">
        <f t="shared" ref="D18:N18" si="8">C18</f>
        <v>0</v>
      </c>
      <c r="E18" s="546">
        <f t="shared" si="8"/>
        <v>0</v>
      </c>
      <c r="F18" s="546">
        <f t="shared" si="8"/>
        <v>0</v>
      </c>
      <c r="G18" s="546">
        <f t="shared" si="8"/>
        <v>0</v>
      </c>
      <c r="H18" s="546">
        <f t="shared" si="8"/>
        <v>0</v>
      </c>
      <c r="I18" s="546">
        <f t="shared" si="8"/>
        <v>0</v>
      </c>
      <c r="J18" s="546">
        <f t="shared" si="8"/>
        <v>0</v>
      </c>
      <c r="K18" s="546">
        <f t="shared" si="8"/>
        <v>0</v>
      </c>
      <c r="L18" s="546">
        <f t="shared" si="8"/>
        <v>0</v>
      </c>
      <c r="M18" s="546">
        <f t="shared" si="8"/>
        <v>0</v>
      </c>
      <c r="N18" s="546">
        <f t="shared" si="8"/>
        <v>0</v>
      </c>
      <c r="O18" s="542">
        <f t="shared" si="6"/>
        <v>0</v>
      </c>
    </row>
    <row r="19" spans="1:15" x14ac:dyDescent="0.25">
      <c r="A19" s="212"/>
      <c r="B19" s="218">
        <f>'Proyeccion costos'!B26</f>
        <v>0</v>
      </c>
      <c r="C19" s="545">
        <f>'Proyeccion costos'!C26</f>
        <v>0</v>
      </c>
      <c r="D19" s="546">
        <f t="shared" ref="D19:N19" si="9">C19</f>
        <v>0</v>
      </c>
      <c r="E19" s="546">
        <f t="shared" si="9"/>
        <v>0</v>
      </c>
      <c r="F19" s="546">
        <f t="shared" si="9"/>
        <v>0</v>
      </c>
      <c r="G19" s="546">
        <f t="shared" si="9"/>
        <v>0</v>
      </c>
      <c r="H19" s="546">
        <f t="shared" si="9"/>
        <v>0</v>
      </c>
      <c r="I19" s="546">
        <f t="shared" si="9"/>
        <v>0</v>
      </c>
      <c r="J19" s="546">
        <f t="shared" si="9"/>
        <v>0</v>
      </c>
      <c r="K19" s="546">
        <f t="shared" si="9"/>
        <v>0</v>
      </c>
      <c r="L19" s="546">
        <f t="shared" si="9"/>
        <v>0</v>
      </c>
      <c r="M19" s="546">
        <f t="shared" si="9"/>
        <v>0</v>
      </c>
      <c r="N19" s="546">
        <f t="shared" si="9"/>
        <v>0</v>
      </c>
      <c r="O19" s="542">
        <f t="shared" si="6"/>
        <v>0</v>
      </c>
    </row>
    <row r="20" spans="1:15" x14ac:dyDescent="0.25">
      <c r="A20" s="212"/>
      <c r="B20" s="218">
        <f>'Proyeccion costos'!B27</f>
        <v>0</v>
      </c>
      <c r="C20" s="545">
        <f>'Proyeccion costos'!C27</f>
        <v>0</v>
      </c>
      <c r="D20" s="546">
        <f t="shared" ref="D20:N20" si="10">C20</f>
        <v>0</v>
      </c>
      <c r="E20" s="546">
        <f t="shared" si="10"/>
        <v>0</v>
      </c>
      <c r="F20" s="546">
        <f t="shared" si="10"/>
        <v>0</v>
      </c>
      <c r="G20" s="546">
        <f t="shared" si="10"/>
        <v>0</v>
      </c>
      <c r="H20" s="546">
        <f t="shared" si="10"/>
        <v>0</v>
      </c>
      <c r="I20" s="546">
        <f t="shared" si="10"/>
        <v>0</v>
      </c>
      <c r="J20" s="546">
        <f t="shared" si="10"/>
        <v>0</v>
      </c>
      <c r="K20" s="546">
        <f t="shared" si="10"/>
        <v>0</v>
      </c>
      <c r="L20" s="546">
        <f t="shared" si="10"/>
        <v>0</v>
      </c>
      <c r="M20" s="546">
        <f t="shared" si="10"/>
        <v>0</v>
      </c>
      <c r="N20" s="546">
        <f t="shared" si="10"/>
        <v>0</v>
      </c>
      <c r="O20" s="542">
        <f t="shared" si="6"/>
        <v>0</v>
      </c>
    </row>
    <row r="21" spans="1:15" x14ac:dyDescent="0.25">
      <c r="A21" s="212"/>
      <c r="B21" s="218">
        <f>'Proyeccion costos'!B28</f>
        <v>0</v>
      </c>
      <c r="C21" s="545">
        <f>'Proyeccion costos'!C28</f>
        <v>0</v>
      </c>
      <c r="D21" s="546">
        <f t="shared" ref="D21:N21" si="11">C21</f>
        <v>0</v>
      </c>
      <c r="E21" s="546">
        <f t="shared" si="11"/>
        <v>0</v>
      </c>
      <c r="F21" s="546">
        <f t="shared" si="11"/>
        <v>0</v>
      </c>
      <c r="G21" s="546">
        <f t="shared" si="11"/>
        <v>0</v>
      </c>
      <c r="H21" s="546">
        <f t="shared" si="11"/>
        <v>0</v>
      </c>
      <c r="I21" s="546">
        <f t="shared" si="11"/>
        <v>0</v>
      </c>
      <c r="J21" s="546">
        <f t="shared" si="11"/>
        <v>0</v>
      </c>
      <c r="K21" s="546">
        <f t="shared" si="11"/>
        <v>0</v>
      </c>
      <c r="L21" s="546">
        <f t="shared" si="11"/>
        <v>0</v>
      </c>
      <c r="M21" s="546">
        <f t="shared" si="11"/>
        <v>0</v>
      </c>
      <c r="N21" s="546">
        <f t="shared" si="11"/>
        <v>0</v>
      </c>
      <c r="O21" s="542">
        <f t="shared" si="6"/>
        <v>0</v>
      </c>
    </row>
    <row r="22" spans="1:15" x14ac:dyDescent="0.25">
      <c r="A22" s="212"/>
      <c r="B22" s="218">
        <f>'Proyeccion costos'!B29</f>
        <v>0</v>
      </c>
      <c r="C22" s="545">
        <f>'Proyeccion costos'!C29</f>
        <v>0</v>
      </c>
      <c r="D22" s="546">
        <f t="shared" ref="D22:N22" si="12">C22</f>
        <v>0</v>
      </c>
      <c r="E22" s="546">
        <f t="shared" si="12"/>
        <v>0</v>
      </c>
      <c r="F22" s="546">
        <f t="shared" si="12"/>
        <v>0</v>
      </c>
      <c r="G22" s="546">
        <f t="shared" si="12"/>
        <v>0</v>
      </c>
      <c r="H22" s="546">
        <f t="shared" si="12"/>
        <v>0</v>
      </c>
      <c r="I22" s="546">
        <f t="shared" si="12"/>
        <v>0</v>
      </c>
      <c r="J22" s="546">
        <f t="shared" si="12"/>
        <v>0</v>
      </c>
      <c r="K22" s="546">
        <f t="shared" si="12"/>
        <v>0</v>
      </c>
      <c r="L22" s="546">
        <f t="shared" si="12"/>
        <v>0</v>
      </c>
      <c r="M22" s="546">
        <f t="shared" si="12"/>
        <v>0</v>
      </c>
      <c r="N22" s="546">
        <f t="shared" si="12"/>
        <v>0</v>
      </c>
      <c r="O22" s="542">
        <f t="shared" si="6"/>
        <v>0</v>
      </c>
    </row>
    <row r="23" spans="1:15" x14ac:dyDescent="0.25">
      <c r="A23" s="212"/>
      <c r="B23" s="218">
        <f>'Proyeccion costos'!B30</f>
        <v>0</v>
      </c>
      <c r="C23" s="545">
        <f>'Proyeccion costos'!C30</f>
        <v>0</v>
      </c>
      <c r="D23" s="546">
        <f t="shared" ref="D23:N23" si="13">C23</f>
        <v>0</v>
      </c>
      <c r="E23" s="546">
        <f t="shared" si="13"/>
        <v>0</v>
      </c>
      <c r="F23" s="546">
        <f t="shared" si="13"/>
        <v>0</v>
      </c>
      <c r="G23" s="546">
        <f t="shared" si="13"/>
        <v>0</v>
      </c>
      <c r="H23" s="546">
        <f t="shared" si="13"/>
        <v>0</v>
      </c>
      <c r="I23" s="546">
        <f t="shared" si="13"/>
        <v>0</v>
      </c>
      <c r="J23" s="546">
        <f t="shared" si="13"/>
        <v>0</v>
      </c>
      <c r="K23" s="546">
        <f t="shared" si="13"/>
        <v>0</v>
      </c>
      <c r="L23" s="546">
        <f t="shared" si="13"/>
        <v>0</v>
      </c>
      <c r="M23" s="546">
        <f t="shared" si="13"/>
        <v>0</v>
      </c>
      <c r="N23" s="546">
        <f t="shared" si="13"/>
        <v>0</v>
      </c>
      <c r="O23" s="542">
        <f t="shared" si="6"/>
        <v>0</v>
      </c>
    </row>
    <row r="24" spans="1:15" x14ac:dyDescent="0.25">
      <c r="A24" s="212"/>
      <c r="B24" s="559">
        <f>'Proyeccion costos'!B31</f>
        <v>0</v>
      </c>
      <c r="C24" s="560">
        <f>'Proyeccion costos'!C31</f>
        <v>0</v>
      </c>
      <c r="D24" s="561">
        <f t="shared" ref="D24:N24" si="14">C24</f>
        <v>0</v>
      </c>
      <c r="E24" s="561">
        <f t="shared" si="14"/>
        <v>0</v>
      </c>
      <c r="F24" s="561">
        <f t="shared" si="14"/>
        <v>0</v>
      </c>
      <c r="G24" s="561">
        <f t="shared" si="14"/>
        <v>0</v>
      </c>
      <c r="H24" s="561">
        <f t="shared" si="14"/>
        <v>0</v>
      </c>
      <c r="I24" s="561">
        <f t="shared" si="14"/>
        <v>0</v>
      </c>
      <c r="J24" s="561">
        <f t="shared" si="14"/>
        <v>0</v>
      </c>
      <c r="K24" s="561">
        <f t="shared" si="14"/>
        <v>0</v>
      </c>
      <c r="L24" s="561">
        <f t="shared" si="14"/>
        <v>0</v>
      </c>
      <c r="M24" s="561">
        <f t="shared" si="14"/>
        <v>0</v>
      </c>
      <c r="N24" s="561">
        <f t="shared" si="14"/>
        <v>0</v>
      </c>
      <c r="O24" s="558">
        <f t="shared" si="6"/>
        <v>0</v>
      </c>
    </row>
    <row r="25" spans="1:15" x14ac:dyDescent="0.25">
      <c r="A25" s="212"/>
      <c r="B25" s="559">
        <f>'Proyeccion costos'!B32</f>
        <v>0</v>
      </c>
      <c r="C25" s="560">
        <f>'Proyeccion costos'!C32</f>
        <v>0</v>
      </c>
      <c r="D25" s="561">
        <f t="shared" ref="D25:N25" si="15">C25</f>
        <v>0</v>
      </c>
      <c r="E25" s="561">
        <f t="shared" si="15"/>
        <v>0</v>
      </c>
      <c r="F25" s="561">
        <f t="shared" si="15"/>
        <v>0</v>
      </c>
      <c r="G25" s="561">
        <f t="shared" si="15"/>
        <v>0</v>
      </c>
      <c r="H25" s="561">
        <f t="shared" si="15"/>
        <v>0</v>
      </c>
      <c r="I25" s="561">
        <f t="shared" si="15"/>
        <v>0</v>
      </c>
      <c r="J25" s="561">
        <f t="shared" si="15"/>
        <v>0</v>
      </c>
      <c r="K25" s="561">
        <f t="shared" si="15"/>
        <v>0</v>
      </c>
      <c r="L25" s="561">
        <f t="shared" si="15"/>
        <v>0</v>
      </c>
      <c r="M25" s="561">
        <f t="shared" si="15"/>
        <v>0</v>
      </c>
      <c r="N25" s="561">
        <f t="shared" si="15"/>
        <v>0</v>
      </c>
      <c r="O25" s="558">
        <f t="shared" si="6"/>
        <v>0</v>
      </c>
    </row>
    <row r="26" spans="1:15" x14ac:dyDescent="0.25">
      <c r="A26" s="212"/>
      <c r="B26" s="559">
        <f>'Proyeccion costos'!B33</f>
        <v>0</v>
      </c>
      <c r="C26" s="560">
        <f>'Proyeccion costos'!C33</f>
        <v>0</v>
      </c>
      <c r="D26" s="561">
        <f t="shared" ref="D26:N26" si="16">C26</f>
        <v>0</v>
      </c>
      <c r="E26" s="561">
        <f t="shared" si="16"/>
        <v>0</v>
      </c>
      <c r="F26" s="561">
        <f t="shared" si="16"/>
        <v>0</v>
      </c>
      <c r="G26" s="561">
        <f t="shared" si="16"/>
        <v>0</v>
      </c>
      <c r="H26" s="561">
        <f t="shared" si="16"/>
        <v>0</v>
      </c>
      <c r="I26" s="561">
        <f t="shared" si="16"/>
        <v>0</v>
      </c>
      <c r="J26" s="561">
        <f t="shared" si="16"/>
        <v>0</v>
      </c>
      <c r="K26" s="561">
        <f t="shared" si="16"/>
        <v>0</v>
      </c>
      <c r="L26" s="561">
        <f t="shared" si="16"/>
        <v>0</v>
      </c>
      <c r="M26" s="561">
        <f t="shared" si="16"/>
        <v>0</v>
      </c>
      <c r="N26" s="561">
        <f t="shared" si="16"/>
        <v>0</v>
      </c>
      <c r="O26" s="558">
        <f t="shared" si="6"/>
        <v>0</v>
      </c>
    </row>
    <row r="27" spans="1:15" x14ac:dyDescent="0.25">
      <c r="A27" s="212"/>
      <c r="B27" s="559">
        <f>'Proyeccion costos'!B34</f>
        <v>0</v>
      </c>
      <c r="C27" s="560">
        <f>'Proyeccion costos'!C34</f>
        <v>0</v>
      </c>
      <c r="D27" s="561">
        <f t="shared" ref="D27:N27" si="17">C27</f>
        <v>0</v>
      </c>
      <c r="E27" s="561">
        <f t="shared" si="17"/>
        <v>0</v>
      </c>
      <c r="F27" s="561">
        <f t="shared" si="17"/>
        <v>0</v>
      </c>
      <c r="G27" s="561">
        <f t="shared" si="17"/>
        <v>0</v>
      </c>
      <c r="H27" s="561">
        <f t="shared" si="17"/>
        <v>0</v>
      </c>
      <c r="I27" s="561">
        <f t="shared" si="17"/>
        <v>0</v>
      </c>
      <c r="J27" s="561">
        <f t="shared" si="17"/>
        <v>0</v>
      </c>
      <c r="K27" s="561">
        <f t="shared" si="17"/>
        <v>0</v>
      </c>
      <c r="L27" s="561">
        <f t="shared" si="17"/>
        <v>0</v>
      </c>
      <c r="M27" s="561">
        <f t="shared" si="17"/>
        <v>0</v>
      </c>
      <c r="N27" s="561">
        <f t="shared" si="17"/>
        <v>0</v>
      </c>
      <c r="O27" s="558">
        <f t="shared" si="6"/>
        <v>0</v>
      </c>
    </row>
    <row r="28" spans="1:15" x14ac:dyDescent="0.25">
      <c r="A28" s="212"/>
      <c r="B28" s="559">
        <f>'Proyeccion costos'!B35</f>
        <v>0</v>
      </c>
      <c r="C28" s="560">
        <f>'Proyeccion costos'!C35</f>
        <v>0</v>
      </c>
      <c r="D28" s="561">
        <f t="shared" ref="D28:N28" si="18">C28</f>
        <v>0</v>
      </c>
      <c r="E28" s="561">
        <f t="shared" si="18"/>
        <v>0</v>
      </c>
      <c r="F28" s="561">
        <f t="shared" si="18"/>
        <v>0</v>
      </c>
      <c r="G28" s="561">
        <f t="shared" si="18"/>
        <v>0</v>
      </c>
      <c r="H28" s="561">
        <f t="shared" si="18"/>
        <v>0</v>
      </c>
      <c r="I28" s="561">
        <f t="shared" si="18"/>
        <v>0</v>
      </c>
      <c r="J28" s="561">
        <f t="shared" si="18"/>
        <v>0</v>
      </c>
      <c r="K28" s="561">
        <f t="shared" si="18"/>
        <v>0</v>
      </c>
      <c r="L28" s="561">
        <f t="shared" si="18"/>
        <v>0</v>
      </c>
      <c r="M28" s="561">
        <f t="shared" si="18"/>
        <v>0</v>
      </c>
      <c r="N28" s="561">
        <f t="shared" si="18"/>
        <v>0</v>
      </c>
      <c r="O28" s="558">
        <f t="shared" si="6"/>
        <v>0</v>
      </c>
    </row>
    <row r="29" spans="1:15" x14ac:dyDescent="0.25">
      <c r="A29" s="212"/>
      <c r="B29" s="559">
        <f>'Proyeccion costos'!B36</f>
        <v>0</v>
      </c>
      <c r="C29" s="560">
        <f>'Proyeccion costos'!C36</f>
        <v>0</v>
      </c>
      <c r="D29" s="561">
        <f t="shared" ref="D29:N29" si="19">C29</f>
        <v>0</v>
      </c>
      <c r="E29" s="561">
        <f t="shared" si="19"/>
        <v>0</v>
      </c>
      <c r="F29" s="561">
        <f t="shared" si="19"/>
        <v>0</v>
      </c>
      <c r="G29" s="561">
        <f t="shared" si="19"/>
        <v>0</v>
      </c>
      <c r="H29" s="561">
        <f t="shared" si="19"/>
        <v>0</v>
      </c>
      <c r="I29" s="561">
        <f t="shared" si="19"/>
        <v>0</v>
      </c>
      <c r="J29" s="561">
        <f t="shared" si="19"/>
        <v>0</v>
      </c>
      <c r="K29" s="561">
        <f t="shared" si="19"/>
        <v>0</v>
      </c>
      <c r="L29" s="561">
        <f t="shared" si="19"/>
        <v>0</v>
      </c>
      <c r="M29" s="561">
        <f t="shared" si="19"/>
        <v>0</v>
      </c>
      <c r="N29" s="561">
        <f t="shared" si="19"/>
        <v>0</v>
      </c>
      <c r="O29" s="558">
        <f t="shared" si="6"/>
        <v>0</v>
      </c>
    </row>
    <row r="30" spans="1:15" ht="15.75" thickBot="1" x14ac:dyDescent="0.3">
      <c r="A30" s="212"/>
      <c r="B30" s="218"/>
      <c r="C30" s="546"/>
      <c r="D30" s="546"/>
      <c r="E30" s="546"/>
      <c r="F30" s="546"/>
      <c r="G30" s="546"/>
      <c r="H30" s="546"/>
      <c r="I30" s="547"/>
      <c r="J30" s="547"/>
      <c r="K30" s="547"/>
      <c r="L30" s="547"/>
      <c r="M30" s="547"/>
      <c r="N30" s="547"/>
      <c r="O30" s="542"/>
    </row>
    <row r="31" spans="1:15" x14ac:dyDescent="0.25">
      <c r="A31" s="245"/>
      <c r="B31" s="246" t="s">
        <v>143</v>
      </c>
      <c r="C31" s="543">
        <f>SUM(C32:C46)</f>
        <v>44256.53</v>
      </c>
      <c r="D31" s="543">
        <f t="shared" ref="D31:N31" si="20">SUM(D32:D46)</f>
        <v>44256.53</v>
      </c>
      <c r="E31" s="543">
        <f t="shared" si="20"/>
        <v>44256.53</v>
      </c>
      <c r="F31" s="543">
        <f t="shared" si="20"/>
        <v>44256.53</v>
      </c>
      <c r="G31" s="543">
        <f t="shared" si="20"/>
        <v>44256.53</v>
      </c>
      <c r="H31" s="543">
        <f t="shared" si="20"/>
        <v>44256.53</v>
      </c>
      <c r="I31" s="543">
        <f t="shared" si="20"/>
        <v>44256.53</v>
      </c>
      <c r="J31" s="543">
        <f t="shared" si="20"/>
        <v>44256.53</v>
      </c>
      <c r="K31" s="543">
        <f t="shared" si="20"/>
        <v>44256.53</v>
      </c>
      <c r="L31" s="543">
        <f t="shared" si="20"/>
        <v>44256.53</v>
      </c>
      <c r="M31" s="543">
        <f t="shared" si="20"/>
        <v>44256.53</v>
      </c>
      <c r="N31" s="543">
        <f t="shared" si="20"/>
        <v>44256.53</v>
      </c>
      <c r="O31" s="544">
        <f>SUM(C31:N31)</f>
        <v>531078.3600000001</v>
      </c>
    </row>
    <row r="32" spans="1:15" x14ac:dyDescent="0.25">
      <c r="A32" s="212"/>
      <c r="B32" s="219" t="str">
        <f>'Proyeccion costos'!B6</f>
        <v>Energía Eléctrica</v>
      </c>
      <c r="C32" s="548">
        <f>'Proyeccion costos'!C6</f>
        <v>560.34</v>
      </c>
      <c r="D32" s="539">
        <f>C32</f>
        <v>560.34</v>
      </c>
      <c r="E32" s="539">
        <f t="shared" ref="E32:N32" si="21">D32</f>
        <v>560.34</v>
      </c>
      <c r="F32" s="539">
        <f t="shared" si="21"/>
        <v>560.34</v>
      </c>
      <c r="G32" s="539">
        <f t="shared" si="21"/>
        <v>560.34</v>
      </c>
      <c r="H32" s="539">
        <f t="shared" si="21"/>
        <v>560.34</v>
      </c>
      <c r="I32" s="539">
        <f t="shared" si="21"/>
        <v>560.34</v>
      </c>
      <c r="J32" s="539">
        <f t="shared" si="21"/>
        <v>560.34</v>
      </c>
      <c r="K32" s="539">
        <f t="shared" si="21"/>
        <v>560.34</v>
      </c>
      <c r="L32" s="539">
        <f t="shared" si="21"/>
        <v>560.34</v>
      </c>
      <c r="M32" s="539">
        <f t="shared" si="21"/>
        <v>560.34</v>
      </c>
      <c r="N32" s="539">
        <f t="shared" si="21"/>
        <v>560.34</v>
      </c>
      <c r="O32" s="542">
        <f>SUM(C32:N32)</f>
        <v>6724.0800000000008</v>
      </c>
    </row>
    <row r="33" spans="1:15" x14ac:dyDescent="0.25">
      <c r="A33" s="212"/>
      <c r="B33" s="219" t="str">
        <f>'Proyeccion costos'!B7</f>
        <v>Telefonos e Internet</v>
      </c>
      <c r="C33" s="548">
        <f>'Proyeccion costos'!C7</f>
        <v>517.24</v>
      </c>
      <c r="D33" s="539">
        <f t="shared" ref="D33:N33" si="22">C33</f>
        <v>517.24</v>
      </c>
      <c r="E33" s="539">
        <f t="shared" si="22"/>
        <v>517.24</v>
      </c>
      <c r="F33" s="539">
        <f t="shared" si="22"/>
        <v>517.24</v>
      </c>
      <c r="G33" s="539">
        <f t="shared" si="22"/>
        <v>517.24</v>
      </c>
      <c r="H33" s="539">
        <f t="shared" si="22"/>
        <v>517.24</v>
      </c>
      <c r="I33" s="539">
        <f t="shared" si="22"/>
        <v>517.24</v>
      </c>
      <c r="J33" s="539">
        <f t="shared" si="22"/>
        <v>517.24</v>
      </c>
      <c r="K33" s="539">
        <f t="shared" si="22"/>
        <v>517.24</v>
      </c>
      <c r="L33" s="539">
        <f t="shared" si="22"/>
        <v>517.24</v>
      </c>
      <c r="M33" s="539">
        <f t="shared" si="22"/>
        <v>517.24</v>
      </c>
      <c r="N33" s="539">
        <f t="shared" si="22"/>
        <v>517.24</v>
      </c>
      <c r="O33" s="542">
        <f t="shared" ref="O33:O46" si="23">SUM(C33:N33)</f>
        <v>6206.8799999999983</v>
      </c>
    </row>
    <row r="34" spans="1:15" x14ac:dyDescent="0.25">
      <c r="A34" s="212"/>
      <c r="B34" s="219" t="str">
        <f>'Proyeccion costos'!B8</f>
        <v>Arrendamiento</v>
      </c>
      <c r="C34" s="548">
        <f>'Proyeccion costos'!C8</f>
        <v>1724.14</v>
      </c>
      <c r="D34" s="539">
        <f t="shared" ref="D34:N34" si="24">C34</f>
        <v>1724.14</v>
      </c>
      <c r="E34" s="539">
        <f t="shared" si="24"/>
        <v>1724.14</v>
      </c>
      <c r="F34" s="539">
        <f t="shared" si="24"/>
        <v>1724.14</v>
      </c>
      <c r="G34" s="539">
        <f t="shared" si="24"/>
        <v>1724.14</v>
      </c>
      <c r="H34" s="539">
        <f t="shared" si="24"/>
        <v>1724.14</v>
      </c>
      <c r="I34" s="539">
        <f t="shared" si="24"/>
        <v>1724.14</v>
      </c>
      <c r="J34" s="539">
        <f t="shared" si="24"/>
        <v>1724.14</v>
      </c>
      <c r="K34" s="539">
        <f t="shared" si="24"/>
        <v>1724.14</v>
      </c>
      <c r="L34" s="539">
        <f t="shared" si="24"/>
        <v>1724.14</v>
      </c>
      <c r="M34" s="539">
        <f t="shared" si="24"/>
        <v>1724.14</v>
      </c>
      <c r="N34" s="539">
        <f t="shared" si="24"/>
        <v>1724.14</v>
      </c>
      <c r="O34" s="542">
        <f t="shared" si="23"/>
        <v>20689.679999999997</v>
      </c>
    </row>
    <row r="35" spans="1:15" x14ac:dyDescent="0.25">
      <c r="A35" s="212"/>
      <c r="B35" s="219" t="str">
        <f>'Proyeccion costos'!B9</f>
        <v>Agua</v>
      </c>
      <c r="C35" s="548">
        <f>'Proyeccion costos'!C9</f>
        <v>431.03</v>
      </c>
      <c r="D35" s="539">
        <f t="shared" ref="D35:N35" si="25">C35</f>
        <v>431.03</v>
      </c>
      <c r="E35" s="539">
        <f t="shared" si="25"/>
        <v>431.03</v>
      </c>
      <c r="F35" s="539">
        <f t="shared" si="25"/>
        <v>431.03</v>
      </c>
      <c r="G35" s="539">
        <f t="shared" si="25"/>
        <v>431.03</v>
      </c>
      <c r="H35" s="539">
        <f t="shared" si="25"/>
        <v>431.03</v>
      </c>
      <c r="I35" s="539">
        <f t="shared" si="25"/>
        <v>431.03</v>
      </c>
      <c r="J35" s="539">
        <f t="shared" si="25"/>
        <v>431.03</v>
      </c>
      <c r="K35" s="539">
        <f t="shared" si="25"/>
        <v>431.03</v>
      </c>
      <c r="L35" s="539">
        <f t="shared" si="25"/>
        <v>431.03</v>
      </c>
      <c r="M35" s="539">
        <f t="shared" si="25"/>
        <v>431.03</v>
      </c>
      <c r="N35" s="539">
        <f t="shared" si="25"/>
        <v>431.03</v>
      </c>
      <c r="O35" s="542">
        <f t="shared" si="23"/>
        <v>5172.3599999999979</v>
      </c>
    </row>
    <row r="36" spans="1:15" x14ac:dyDescent="0.25">
      <c r="A36" s="212"/>
      <c r="B36" s="219" t="str">
        <f>'Proyeccion costos'!B10</f>
        <v>Otros gastos menores</v>
      </c>
      <c r="C36" s="548">
        <f>'Proyeccion costos'!C10</f>
        <v>333.62</v>
      </c>
      <c r="D36" s="539">
        <f t="shared" ref="D36:N36" si="26">C36</f>
        <v>333.62</v>
      </c>
      <c r="E36" s="539">
        <f t="shared" si="26"/>
        <v>333.62</v>
      </c>
      <c r="F36" s="539">
        <f t="shared" si="26"/>
        <v>333.62</v>
      </c>
      <c r="G36" s="539">
        <f t="shared" si="26"/>
        <v>333.62</v>
      </c>
      <c r="H36" s="539">
        <f t="shared" si="26"/>
        <v>333.62</v>
      </c>
      <c r="I36" s="539">
        <f t="shared" si="26"/>
        <v>333.62</v>
      </c>
      <c r="J36" s="539">
        <f t="shared" si="26"/>
        <v>333.62</v>
      </c>
      <c r="K36" s="539">
        <f t="shared" si="26"/>
        <v>333.62</v>
      </c>
      <c r="L36" s="539">
        <f t="shared" si="26"/>
        <v>333.62</v>
      </c>
      <c r="M36" s="539">
        <f t="shared" si="26"/>
        <v>333.62</v>
      </c>
      <c r="N36" s="539">
        <f t="shared" si="26"/>
        <v>333.62</v>
      </c>
      <c r="O36" s="542">
        <f t="shared" si="23"/>
        <v>4003.4399999999991</v>
      </c>
    </row>
    <row r="37" spans="1:15" x14ac:dyDescent="0.25">
      <c r="A37" s="212"/>
      <c r="B37" s="219" t="str">
        <f>'Proyeccion costos'!B11</f>
        <v>Departamento de Finanzas</v>
      </c>
      <c r="C37" s="548">
        <f>'Proyeccion costos'!C11</f>
        <v>8000.1</v>
      </c>
      <c r="D37" s="539">
        <f t="shared" ref="D37:N37" si="27">C37</f>
        <v>8000.1</v>
      </c>
      <c r="E37" s="539">
        <f t="shared" si="27"/>
        <v>8000.1</v>
      </c>
      <c r="F37" s="539">
        <f t="shared" si="27"/>
        <v>8000.1</v>
      </c>
      <c r="G37" s="539">
        <f t="shared" si="27"/>
        <v>8000.1</v>
      </c>
      <c r="H37" s="539">
        <f t="shared" si="27"/>
        <v>8000.1</v>
      </c>
      <c r="I37" s="539">
        <f t="shared" si="27"/>
        <v>8000.1</v>
      </c>
      <c r="J37" s="539">
        <f t="shared" si="27"/>
        <v>8000.1</v>
      </c>
      <c r="K37" s="539">
        <f t="shared" si="27"/>
        <v>8000.1</v>
      </c>
      <c r="L37" s="539">
        <f t="shared" si="27"/>
        <v>8000.1</v>
      </c>
      <c r="M37" s="539">
        <f t="shared" si="27"/>
        <v>8000.1</v>
      </c>
      <c r="N37" s="539">
        <f t="shared" si="27"/>
        <v>8000.1</v>
      </c>
      <c r="O37" s="542">
        <f t="shared" si="23"/>
        <v>96001.200000000012</v>
      </c>
    </row>
    <row r="38" spans="1:15" x14ac:dyDescent="0.25">
      <c r="A38" s="212"/>
      <c r="B38" s="219" t="str">
        <f>'Proyeccion costos'!B12</f>
        <v>Departamento de Ventas</v>
      </c>
      <c r="C38" s="548">
        <f>'Proyeccion costos'!C12</f>
        <v>8000.1</v>
      </c>
      <c r="D38" s="539">
        <f t="shared" ref="D38:N38" si="28">C38</f>
        <v>8000.1</v>
      </c>
      <c r="E38" s="539">
        <f t="shared" si="28"/>
        <v>8000.1</v>
      </c>
      <c r="F38" s="539">
        <f t="shared" si="28"/>
        <v>8000.1</v>
      </c>
      <c r="G38" s="539">
        <f t="shared" si="28"/>
        <v>8000.1</v>
      </c>
      <c r="H38" s="539">
        <f t="shared" si="28"/>
        <v>8000.1</v>
      </c>
      <c r="I38" s="539">
        <f t="shared" si="28"/>
        <v>8000.1</v>
      </c>
      <c r="J38" s="539">
        <f t="shared" si="28"/>
        <v>8000.1</v>
      </c>
      <c r="K38" s="539">
        <f t="shared" si="28"/>
        <v>8000.1</v>
      </c>
      <c r="L38" s="539">
        <f t="shared" si="28"/>
        <v>8000.1</v>
      </c>
      <c r="M38" s="539">
        <f t="shared" si="28"/>
        <v>8000.1</v>
      </c>
      <c r="N38" s="539">
        <f t="shared" si="28"/>
        <v>8000.1</v>
      </c>
      <c r="O38" s="542">
        <f t="shared" si="23"/>
        <v>96001.200000000012</v>
      </c>
    </row>
    <row r="39" spans="1:15" x14ac:dyDescent="0.25">
      <c r="A39" s="212"/>
      <c r="B39" s="219" t="str">
        <f>'Proyeccion costos'!B13</f>
        <v>Departamento de diseño</v>
      </c>
      <c r="C39" s="548">
        <f>'Proyeccion costos'!C13</f>
        <v>8000.1</v>
      </c>
      <c r="D39" s="539">
        <f t="shared" ref="D39:N39" si="29">C39</f>
        <v>8000.1</v>
      </c>
      <c r="E39" s="539">
        <f t="shared" si="29"/>
        <v>8000.1</v>
      </c>
      <c r="F39" s="539">
        <f t="shared" si="29"/>
        <v>8000.1</v>
      </c>
      <c r="G39" s="539">
        <f t="shared" si="29"/>
        <v>8000.1</v>
      </c>
      <c r="H39" s="539">
        <f t="shared" si="29"/>
        <v>8000.1</v>
      </c>
      <c r="I39" s="539">
        <f t="shared" si="29"/>
        <v>8000.1</v>
      </c>
      <c r="J39" s="539">
        <f t="shared" si="29"/>
        <v>8000.1</v>
      </c>
      <c r="K39" s="539">
        <f t="shared" si="29"/>
        <v>8000.1</v>
      </c>
      <c r="L39" s="539">
        <f t="shared" si="29"/>
        <v>8000.1</v>
      </c>
      <c r="M39" s="539">
        <f t="shared" si="29"/>
        <v>8000.1</v>
      </c>
      <c r="N39" s="539">
        <f t="shared" si="29"/>
        <v>8000.1</v>
      </c>
      <c r="O39" s="542">
        <f t="shared" si="23"/>
        <v>96001.200000000012</v>
      </c>
    </row>
    <row r="40" spans="1:15" x14ac:dyDescent="0.25">
      <c r="A40" s="212"/>
      <c r="B40" s="219" t="str">
        <f>'Proyeccion costos'!B14</f>
        <v>Departamento de Informática</v>
      </c>
      <c r="C40" s="548">
        <f>'Proyeccion costos'!C14</f>
        <v>8000.1</v>
      </c>
      <c r="D40" s="539">
        <f t="shared" ref="D40:N40" si="30">C40</f>
        <v>8000.1</v>
      </c>
      <c r="E40" s="539">
        <f t="shared" si="30"/>
        <v>8000.1</v>
      </c>
      <c r="F40" s="539">
        <f t="shared" si="30"/>
        <v>8000.1</v>
      </c>
      <c r="G40" s="539">
        <f t="shared" si="30"/>
        <v>8000.1</v>
      </c>
      <c r="H40" s="539">
        <f t="shared" si="30"/>
        <v>8000.1</v>
      </c>
      <c r="I40" s="539">
        <f t="shared" si="30"/>
        <v>8000.1</v>
      </c>
      <c r="J40" s="539">
        <f t="shared" si="30"/>
        <v>8000.1</v>
      </c>
      <c r="K40" s="539">
        <f t="shared" si="30"/>
        <v>8000.1</v>
      </c>
      <c r="L40" s="539">
        <f t="shared" si="30"/>
        <v>8000.1</v>
      </c>
      <c r="M40" s="539">
        <f t="shared" si="30"/>
        <v>8000.1</v>
      </c>
      <c r="N40" s="539">
        <f t="shared" si="30"/>
        <v>8000.1</v>
      </c>
      <c r="O40" s="542">
        <f t="shared" si="23"/>
        <v>96001.200000000012</v>
      </c>
    </row>
    <row r="41" spans="1:15" x14ac:dyDescent="0.25">
      <c r="A41" s="212"/>
      <c r="B41" s="219" t="str">
        <f>'Proyeccion costos'!B15</f>
        <v>Contador Público</v>
      </c>
      <c r="C41" s="548">
        <f>'Proyeccion costos'!C15</f>
        <v>8000.1</v>
      </c>
      <c r="D41" s="539">
        <f t="shared" ref="D41:N41" si="31">C41</f>
        <v>8000.1</v>
      </c>
      <c r="E41" s="539">
        <f t="shared" si="31"/>
        <v>8000.1</v>
      </c>
      <c r="F41" s="539">
        <f t="shared" si="31"/>
        <v>8000.1</v>
      </c>
      <c r="G41" s="539">
        <f t="shared" si="31"/>
        <v>8000.1</v>
      </c>
      <c r="H41" s="539">
        <f t="shared" si="31"/>
        <v>8000.1</v>
      </c>
      <c r="I41" s="539">
        <f t="shared" si="31"/>
        <v>8000.1</v>
      </c>
      <c r="J41" s="539">
        <f t="shared" si="31"/>
        <v>8000.1</v>
      </c>
      <c r="K41" s="539">
        <f t="shared" si="31"/>
        <v>8000.1</v>
      </c>
      <c r="L41" s="539">
        <f t="shared" si="31"/>
        <v>8000.1</v>
      </c>
      <c r="M41" s="539">
        <f t="shared" si="31"/>
        <v>8000.1</v>
      </c>
      <c r="N41" s="539">
        <f t="shared" si="31"/>
        <v>8000.1</v>
      </c>
      <c r="O41" s="542">
        <f t="shared" si="23"/>
        <v>96001.200000000012</v>
      </c>
    </row>
    <row r="42" spans="1:15" x14ac:dyDescent="0.25">
      <c r="A42" s="212"/>
      <c r="B42" s="219" t="str">
        <f>'Proyeccion costos'!B16</f>
        <v>Papeleria y útiles</v>
      </c>
      <c r="C42" s="548">
        <f>'Proyeccion costos'!C16</f>
        <v>689.66</v>
      </c>
      <c r="D42" s="539">
        <f t="shared" ref="D42:N42" si="32">C42</f>
        <v>689.66</v>
      </c>
      <c r="E42" s="539">
        <f t="shared" si="32"/>
        <v>689.66</v>
      </c>
      <c r="F42" s="539">
        <f t="shared" si="32"/>
        <v>689.66</v>
      </c>
      <c r="G42" s="539">
        <f t="shared" si="32"/>
        <v>689.66</v>
      </c>
      <c r="H42" s="539">
        <f t="shared" si="32"/>
        <v>689.66</v>
      </c>
      <c r="I42" s="539">
        <f t="shared" si="32"/>
        <v>689.66</v>
      </c>
      <c r="J42" s="539">
        <f t="shared" si="32"/>
        <v>689.66</v>
      </c>
      <c r="K42" s="539">
        <f t="shared" si="32"/>
        <v>689.66</v>
      </c>
      <c r="L42" s="539">
        <f t="shared" si="32"/>
        <v>689.66</v>
      </c>
      <c r="M42" s="539">
        <f t="shared" si="32"/>
        <v>689.66</v>
      </c>
      <c r="N42" s="539">
        <f t="shared" si="32"/>
        <v>689.66</v>
      </c>
      <c r="O42" s="542">
        <f t="shared" si="23"/>
        <v>8275.92</v>
      </c>
    </row>
    <row r="43" spans="1:15" x14ac:dyDescent="0.25">
      <c r="A43" s="212"/>
      <c r="B43" s="219">
        <f>'Proyeccion costos'!B17</f>
        <v>0</v>
      </c>
      <c r="C43" s="548">
        <f>'Proyeccion costos'!C17</f>
        <v>0</v>
      </c>
      <c r="D43" s="539">
        <f t="shared" ref="D43:N43" si="33">C43</f>
        <v>0</v>
      </c>
      <c r="E43" s="539">
        <f t="shared" si="33"/>
        <v>0</v>
      </c>
      <c r="F43" s="539">
        <f t="shared" si="33"/>
        <v>0</v>
      </c>
      <c r="G43" s="539">
        <f t="shared" si="33"/>
        <v>0</v>
      </c>
      <c r="H43" s="539">
        <f t="shared" si="33"/>
        <v>0</v>
      </c>
      <c r="I43" s="539">
        <f t="shared" si="33"/>
        <v>0</v>
      </c>
      <c r="J43" s="539">
        <f t="shared" si="33"/>
        <v>0</v>
      </c>
      <c r="K43" s="539">
        <f t="shared" si="33"/>
        <v>0</v>
      </c>
      <c r="L43" s="539">
        <f t="shared" si="33"/>
        <v>0</v>
      </c>
      <c r="M43" s="539">
        <f t="shared" si="33"/>
        <v>0</v>
      </c>
      <c r="N43" s="539">
        <f t="shared" si="33"/>
        <v>0</v>
      </c>
      <c r="O43" s="542">
        <f t="shared" si="23"/>
        <v>0</v>
      </c>
    </row>
    <row r="44" spans="1:15" x14ac:dyDescent="0.25">
      <c r="A44" s="212"/>
      <c r="B44" s="219">
        <f>'Proyeccion costos'!B18</f>
        <v>0</v>
      </c>
      <c r="C44" s="548">
        <f>'Proyeccion costos'!C18</f>
        <v>0</v>
      </c>
      <c r="D44" s="539">
        <f t="shared" ref="D44:N44" si="34">C44</f>
        <v>0</v>
      </c>
      <c r="E44" s="539">
        <f t="shared" si="34"/>
        <v>0</v>
      </c>
      <c r="F44" s="539">
        <f t="shared" si="34"/>
        <v>0</v>
      </c>
      <c r="G44" s="539">
        <f t="shared" si="34"/>
        <v>0</v>
      </c>
      <c r="H44" s="539">
        <f t="shared" si="34"/>
        <v>0</v>
      </c>
      <c r="I44" s="539">
        <f t="shared" si="34"/>
        <v>0</v>
      </c>
      <c r="J44" s="539">
        <f t="shared" si="34"/>
        <v>0</v>
      </c>
      <c r="K44" s="539">
        <f t="shared" si="34"/>
        <v>0</v>
      </c>
      <c r="L44" s="539">
        <f t="shared" si="34"/>
        <v>0</v>
      </c>
      <c r="M44" s="539">
        <f t="shared" si="34"/>
        <v>0</v>
      </c>
      <c r="N44" s="539">
        <f t="shared" si="34"/>
        <v>0</v>
      </c>
      <c r="O44" s="542">
        <f t="shared" si="23"/>
        <v>0</v>
      </c>
    </row>
    <row r="45" spans="1:15" x14ac:dyDescent="0.25">
      <c r="A45" s="212"/>
      <c r="B45" s="219">
        <f>'Proyeccion costos'!B19</f>
        <v>0</v>
      </c>
      <c r="C45" s="548">
        <f>'Proyeccion costos'!C19</f>
        <v>0</v>
      </c>
      <c r="D45" s="539">
        <f t="shared" ref="D45:N45" si="35">C45</f>
        <v>0</v>
      </c>
      <c r="E45" s="539">
        <f t="shared" si="35"/>
        <v>0</v>
      </c>
      <c r="F45" s="539">
        <f t="shared" si="35"/>
        <v>0</v>
      </c>
      <c r="G45" s="539">
        <f t="shared" si="35"/>
        <v>0</v>
      </c>
      <c r="H45" s="539">
        <f t="shared" si="35"/>
        <v>0</v>
      </c>
      <c r="I45" s="539">
        <f t="shared" si="35"/>
        <v>0</v>
      </c>
      <c r="J45" s="539">
        <f t="shared" si="35"/>
        <v>0</v>
      </c>
      <c r="K45" s="539">
        <f t="shared" si="35"/>
        <v>0</v>
      </c>
      <c r="L45" s="539">
        <f t="shared" si="35"/>
        <v>0</v>
      </c>
      <c r="M45" s="539">
        <f t="shared" si="35"/>
        <v>0</v>
      </c>
      <c r="N45" s="539">
        <f t="shared" si="35"/>
        <v>0</v>
      </c>
      <c r="O45" s="542">
        <f t="shared" si="23"/>
        <v>0</v>
      </c>
    </row>
    <row r="46" spans="1:15" x14ac:dyDescent="0.25">
      <c r="A46" s="212"/>
      <c r="B46" s="219">
        <f>'Proyeccion costos'!B20</f>
        <v>0</v>
      </c>
      <c r="C46" s="548">
        <f>'Proyeccion costos'!C20</f>
        <v>0</v>
      </c>
      <c r="D46" s="539">
        <f t="shared" ref="D46:N46" si="36">C46</f>
        <v>0</v>
      </c>
      <c r="E46" s="539">
        <f t="shared" si="36"/>
        <v>0</v>
      </c>
      <c r="F46" s="539">
        <f t="shared" si="36"/>
        <v>0</v>
      </c>
      <c r="G46" s="539">
        <f t="shared" si="36"/>
        <v>0</v>
      </c>
      <c r="H46" s="539">
        <f t="shared" si="36"/>
        <v>0</v>
      </c>
      <c r="I46" s="539">
        <f t="shared" si="36"/>
        <v>0</v>
      </c>
      <c r="J46" s="539">
        <f t="shared" si="36"/>
        <v>0</v>
      </c>
      <c r="K46" s="539">
        <f t="shared" si="36"/>
        <v>0</v>
      </c>
      <c r="L46" s="539">
        <f t="shared" si="36"/>
        <v>0</v>
      </c>
      <c r="M46" s="539">
        <f t="shared" si="36"/>
        <v>0</v>
      </c>
      <c r="N46" s="539">
        <f t="shared" si="36"/>
        <v>0</v>
      </c>
      <c r="O46" s="542">
        <f t="shared" si="23"/>
        <v>0</v>
      </c>
    </row>
    <row r="47" spans="1:15" ht="15.75" thickBot="1" x14ac:dyDescent="0.3">
      <c r="A47" s="220"/>
      <c r="B47" s="221"/>
      <c r="C47" s="549"/>
      <c r="D47" s="549"/>
      <c r="E47" s="549"/>
      <c r="F47" s="549"/>
      <c r="G47" s="549"/>
      <c r="H47" s="549"/>
      <c r="I47" s="550"/>
      <c r="J47" s="550"/>
      <c r="K47" s="550"/>
      <c r="L47" s="550"/>
      <c r="M47" s="550"/>
      <c r="N47" s="550"/>
      <c r="O47" s="551"/>
    </row>
    <row r="48" spans="1:15" ht="15.75" thickBot="1" x14ac:dyDescent="0.3">
      <c r="A48" s="247">
        <v>3</v>
      </c>
      <c r="B48" s="248" t="s">
        <v>144</v>
      </c>
      <c r="C48" s="552">
        <f>C4-C13</f>
        <v>-65842.53</v>
      </c>
      <c r="D48" s="552">
        <f t="shared" ref="D48:N48" si="37">D4-D13</f>
        <v>-9842.5299999999988</v>
      </c>
      <c r="E48" s="552">
        <f t="shared" si="37"/>
        <v>-9842.5299999999988</v>
      </c>
      <c r="F48" s="552">
        <f t="shared" si="37"/>
        <v>-9842.5299999999988</v>
      </c>
      <c r="G48" s="552">
        <f t="shared" si="37"/>
        <v>-9842.5299999999988</v>
      </c>
      <c r="H48" s="552">
        <f t="shared" si="37"/>
        <v>-9842.5299999999988</v>
      </c>
      <c r="I48" s="552">
        <f t="shared" si="37"/>
        <v>-9842.5299999999988</v>
      </c>
      <c r="J48" s="552">
        <f t="shared" si="37"/>
        <v>-9842.5299999999988</v>
      </c>
      <c r="K48" s="552">
        <f t="shared" si="37"/>
        <v>-9842.5299999999988</v>
      </c>
      <c r="L48" s="552">
        <f t="shared" si="37"/>
        <v>-9842.5299999999988</v>
      </c>
      <c r="M48" s="552">
        <f t="shared" si="37"/>
        <v>-9842.5299999999988</v>
      </c>
      <c r="N48" s="552">
        <f t="shared" si="37"/>
        <v>-9842.5299999999988</v>
      </c>
      <c r="O48" s="553">
        <f>SUM(C48:N48)</f>
        <v>-174110.36</v>
      </c>
    </row>
    <row r="49" spans="1:15" ht="15.75" thickBot="1" x14ac:dyDescent="0.3">
      <c r="A49" s="249">
        <v>4</v>
      </c>
      <c r="B49" s="250" t="s">
        <v>145</v>
      </c>
      <c r="C49" s="554">
        <f>C48</f>
        <v>-65842.53</v>
      </c>
      <c r="D49" s="554">
        <f>C49+D48</f>
        <v>-75685.06</v>
      </c>
      <c r="E49" s="554">
        <f>D49+E48</f>
        <v>-85527.59</v>
      </c>
      <c r="F49" s="554">
        <f>E49+F48</f>
        <v>-95370.12</v>
      </c>
      <c r="G49" s="554">
        <f>F49+G48</f>
        <v>-105212.65</v>
      </c>
      <c r="H49" s="554">
        <f>G49+H48</f>
        <v>-115055.18</v>
      </c>
      <c r="I49" s="554">
        <f t="shared" ref="I49:N49" si="38">H49+I48</f>
        <v>-124897.70999999999</v>
      </c>
      <c r="J49" s="554">
        <f t="shared" si="38"/>
        <v>-134740.24</v>
      </c>
      <c r="K49" s="554">
        <f t="shared" si="38"/>
        <v>-144582.76999999999</v>
      </c>
      <c r="L49" s="554">
        <f t="shared" si="38"/>
        <v>-154425.29999999999</v>
      </c>
      <c r="M49" s="554">
        <f t="shared" si="38"/>
        <v>-164267.82999999999</v>
      </c>
      <c r="N49" s="554">
        <f t="shared" si="38"/>
        <v>-174110.36</v>
      </c>
      <c r="O49" s="555"/>
    </row>
    <row r="50" spans="1:15" ht="15.75" thickBot="1" x14ac:dyDescent="0.3">
      <c r="A50" s="242"/>
      <c r="B50" s="24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</row>
    <row r="51" spans="1:15" ht="15.75" thickBot="1" x14ac:dyDescent="0.3">
      <c r="A51" s="222"/>
      <c r="B51" s="223" t="s">
        <v>146</v>
      </c>
      <c r="C51" s="556">
        <f>MIN(C49:N49)</f>
        <v>-174110.36</v>
      </c>
      <c r="D51" s="563"/>
      <c r="E51" s="564"/>
      <c r="F51" s="564"/>
      <c r="G51" s="564"/>
      <c r="H51" s="564"/>
      <c r="I51" s="563"/>
      <c r="J51" s="563"/>
      <c r="K51" s="563"/>
      <c r="L51" s="563"/>
      <c r="M51" s="563"/>
      <c r="N51" s="563"/>
      <c r="O51" s="563"/>
    </row>
    <row r="53" spans="1:15" x14ac:dyDescent="0.25">
      <c r="D53" s="224"/>
      <c r="E53" s="224"/>
      <c r="F53" s="224"/>
      <c r="G53" s="224"/>
    </row>
    <row r="54" spans="1:15" x14ac:dyDescent="0.25">
      <c r="B54" s="422" t="s">
        <v>240</v>
      </c>
    </row>
  </sheetData>
  <mergeCells count="1">
    <mergeCell ref="A1:O1"/>
  </mergeCells>
  <hyperlinks>
    <hyperlink ref="A2" location="Portada!A28" display="INDICE"/>
    <hyperlink ref="B54" location="Portada!A21" display="INDICE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J122"/>
  <sheetViews>
    <sheetView showGridLines="0" topLeftCell="A109" zoomScale="90" zoomScaleNormal="90" workbookViewId="0">
      <selection activeCell="E105" sqref="E105"/>
    </sheetView>
  </sheetViews>
  <sheetFormatPr baseColWidth="10" defaultRowHeight="15" x14ac:dyDescent="0.25"/>
  <cols>
    <col min="1" max="1" width="7.85546875" bestFit="1" customWidth="1"/>
    <col min="2" max="2" width="23" customWidth="1"/>
    <col min="3" max="3" width="11.5703125" customWidth="1"/>
    <col min="4" max="4" width="14.7109375" customWidth="1"/>
    <col min="5" max="5" width="13.85546875" customWidth="1"/>
    <col min="6" max="7" width="17" customWidth="1"/>
    <col min="8" max="8" width="13" customWidth="1"/>
    <col min="9" max="9" width="11.42578125" customWidth="1"/>
    <col min="10" max="10" width="14" customWidth="1"/>
  </cols>
  <sheetData>
    <row r="1" spans="1:10" ht="21" x14ac:dyDescent="0.35">
      <c r="A1" s="422" t="s">
        <v>240</v>
      </c>
      <c r="B1" s="620" t="str">
        <f>Ingresos!B1</f>
        <v>TORTILLERIA TIO FRANK</v>
      </c>
      <c r="C1" s="620"/>
      <c r="D1" s="620"/>
      <c r="E1" s="620"/>
      <c r="F1" s="620"/>
      <c r="G1" s="620"/>
      <c r="H1" s="620"/>
    </row>
    <row r="2" spans="1:10" ht="21" x14ac:dyDescent="0.35">
      <c r="B2" s="1"/>
      <c r="C2" s="1"/>
      <c r="D2" s="1"/>
      <c r="E2" s="1"/>
      <c r="F2" s="1"/>
      <c r="G2" s="1"/>
      <c r="H2" s="1"/>
    </row>
    <row r="3" spans="1:10" ht="23.25" x14ac:dyDescent="0.35">
      <c r="B3" s="638" t="s">
        <v>222</v>
      </c>
      <c r="C3" s="638"/>
      <c r="D3" s="638"/>
      <c r="E3" s="638"/>
      <c r="F3" s="638"/>
      <c r="G3" s="638"/>
      <c r="H3" s="638"/>
    </row>
    <row r="4" spans="1:10" ht="15.75" thickBot="1" x14ac:dyDescent="0.3"/>
    <row r="5" spans="1:10" ht="22.5" customHeight="1" thickBot="1" x14ac:dyDescent="0.35">
      <c r="B5" s="270" t="s">
        <v>22</v>
      </c>
      <c r="C5" s="271" t="s">
        <v>14</v>
      </c>
      <c r="D5" s="271" t="s">
        <v>15</v>
      </c>
      <c r="E5" s="271" t="s">
        <v>16</v>
      </c>
      <c r="F5" s="271" t="s">
        <v>17</v>
      </c>
      <c r="G5" s="272" t="s">
        <v>18</v>
      </c>
    </row>
    <row r="6" spans="1:10" x14ac:dyDescent="0.25">
      <c r="B6" s="267" t="s">
        <v>9</v>
      </c>
      <c r="C6" s="158">
        <f>Ingresos!C35</f>
        <v>2016000</v>
      </c>
      <c r="D6" s="158">
        <f>Ingresos!D35</f>
        <v>2016000</v>
      </c>
      <c r="E6" s="158">
        <f>Ingresos!E35</f>
        <v>2016000</v>
      </c>
      <c r="F6" s="158">
        <f>Ingresos!F35</f>
        <v>2016000</v>
      </c>
      <c r="G6" s="161">
        <f>Ingresos!G35</f>
        <v>2016000</v>
      </c>
    </row>
    <row r="7" spans="1:10" x14ac:dyDescent="0.25">
      <c r="B7" s="268" t="s">
        <v>13</v>
      </c>
      <c r="C7" s="83">
        <f>'Costos totales'!C19</f>
        <v>531078.3600000001</v>
      </c>
      <c r="D7" s="83">
        <f>'Costos totales'!D19</f>
        <v>531078.3600000001</v>
      </c>
      <c r="E7" s="83">
        <f>'Costos totales'!E19</f>
        <v>531078.3600000001</v>
      </c>
      <c r="F7" s="83">
        <f>'Costos totales'!F19</f>
        <v>531078.3600000001</v>
      </c>
      <c r="G7" s="159">
        <f>'Costos totales'!G19</f>
        <v>531078.3600000001</v>
      </c>
    </row>
    <row r="8" spans="1:10" x14ac:dyDescent="0.25">
      <c r="B8" s="268" t="s">
        <v>19</v>
      </c>
      <c r="C8" s="83">
        <f>'Costos totales'!C37</f>
        <v>931032</v>
      </c>
      <c r="D8" s="83">
        <f>'Costos totales'!D37</f>
        <v>931032</v>
      </c>
      <c r="E8" s="83">
        <f>'Costos totales'!E37</f>
        <v>931032</v>
      </c>
      <c r="F8" s="83">
        <f>'Costos totales'!F37</f>
        <v>931032</v>
      </c>
      <c r="G8" s="159">
        <f>'Costos totales'!G37</f>
        <v>931032</v>
      </c>
    </row>
    <row r="9" spans="1:10" x14ac:dyDescent="0.25">
      <c r="B9" s="268" t="s">
        <v>21</v>
      </c>
      <c r="C9" s="83">
        <f>SUM(C7:C8)</f>
        <v>1462110.36</v>
      </c>
      <c r="D9" s="83">
        <f t="shared" ref="D9:G9" si="0">SUM(D7:D8)</f>
        <v>1462110.36</v>
      </c>
      <c r="E9" s="83">
        <f t="shared" si="0"/>
        <v>1462110.36</v>
      </c>
      <c r="F9" s="83">
        <f t="shared" si="0"/>
        <v>1462110.36</v>
      </c>
      <c r="G9" s="159">
        <f t="shared" si="0"/>
        <v>1462110.36</v>
      </c>
    </row>
    <row r="10" spans="1:10" x14ac:dyDescent="0.25">
      <c r="B10" s="268" t="s">
        <v>23</v>
      </c>
      <c r="C10" s="85">
        <f>(C7/(1-C8/C6))</f>
        <v>986806.95998407353</v>
      </c>
      <c r="D10" s="85">
        <f t="shared" ref="D10:G10" si="1">(D7/(1-D8/D6))</f>
        <v>986806.95998407353</v>
      </c>
      <c r="E10" s="85">
        <f t="shared" si="1"/>
        <v>986806.95998407353</v>
      </c>
      <c r="F10" s="85">
        <f t="shared" si="1"/>
        <v>986806.95998407353</v>
      </c>
      <c r="G10" s="266">
        <f t="shared" si="1"/>
        <v>986806.95998407353</v>
      </c>
    </row>
    <row r="11" spans="1:10" ht="15.75" thickBot="1" x14ac:dyDescent="0.3">
      <c r="B11" s="269" t="s">
        <v>24</v>
      </c>
      <c r="C11" s="281">
        <f>C10/C6</f>
        <v>0.48948757935717935</v>
      </c>
      <c r="D11" s="281">
        <f t="shared" ref="D11:G11" si="2">D10/D6</f>
        <v>0.48948757935717935</v>
      </c>
      <c r="E11" s="281">
        <f t="shared" si="2"/>
        <v>0.48948757935717935</v>
      </c>
      <c r="F11" s="281">
        <f t="shared" si="2"/>
        <v>0.48948757935717935</v>
      </c>
      <c r="G11" s="282">
        <f t="shared" si="2"/>
        <v>0.48948757935717935</v>
      </c>
    </row>
    <row r="13" spans="1:10" x14ac:dyDescent="0.25">
      <c r="B13" s="280" t="s">
        <v>167</v>
      </c>
    </row>
    <row r="14" spans="1:10" x14ac:dyDescent="0.25">
      <c r="B14" s="280" t="s">
        <v>154</v>
      </c>
    </row>
    <row r="16" spans="1:10" x14ac:dyDescent="0.25">
      <c r="B16" s="277"/>
      <c r="C16" s="275"/>
      <c r="D16" s="275"/>
      <c r="E16" s="275"/>
      <c r="F16" s="275"/>
      <c r="G16" s="275"/>
      <c r="H16" s="275"/>
      <c r="I16" s="275"/>
      <c r="J16" s="276"/>
    </row>
    <row r="17" spans="2:10" ht="16.5" thickBot="1" x14ac:dyDescent="0.3">
      <c r="B17" s="275"/>
      <c r="C17" s="275"/>
      <c r="D17" s="275"/>
      <c r="E17" s="275"/>
      <c r="F17" s="278" t="s">
        <v>155</v>
      </c>
      <c r="G17" s="275"/>
      <c r="H17" s="275"/>
      <c r="I17" s="275"/>
      <c r="J17" s="406">
        <v>0.25</v>
      </c>
    </row>
    <row r="18" spans="2:10" x14ac:dyDescent="0.25">
      <c r="B18" s="275"/>
      <c r="C18" s="275"/>
      <c r="D18" s="275"/>
      <c r="E18" s="275"/>
      <c r="F18" s="359" t="s">
        <v>166</v>
      </c>
      <c r="G18" s="377">
        <v>0</v>
      </c>
      <c r="H18" s="377">
        <f>+I18/2</f>
        <v>3451.7383210128296</v>
      </c>
      <c r="I18" s="373">
        <f>+C23</f>
        <v>6903.4766420256592</v>
      </c>
      <c r="J18" s="380">
        <f>I18+(I18*J17)</f>
        <v>8629.3458025320742</v>
      </c>
    </row>
    <row r="19" spans="2:10" ht="15.75" thickBot="1" x14ac:dyDescent="0.3">
      <c r="B19" s="278" t="s">
        <v>160</v>
      </c>
      <c r="C19" s="275"/>
      <c r="D19" s="275"/>
      <c r="E19" s="275"/>
      <c r="F19" s="360" t="s">
        <v>156</v>
      </c>
      <c r="G19" s="378">
        <f>+G18*$C$20</f>
        <v>0</v>
      </c>
      <c r="H19" s="378">
        <f>+H18*$C$20</f>
        <v>966486.72988359234</v>
      </c>
      <c r="I19" s="374">
        <f>+I18*$C$20</f>
        <v>1932973.4597671847</v>
      </c>
      <c r="J19" s="381">
        <f>+J18*C20</f>
        <v>2416216.824708981</v>
      </c>
    </row>
    <row r="20" spans="2:10" x14ac:dyDescent="0.25">
      <c r="B20" s="365" t="s">
        <v>161</v>
      </c>
      <c r="C20" s="366">
        <f>'Costos totales'!C51</f>
        <v>280</v>
      </c>
      <c r="D20" s="279"/>
      <c r="E20" s="275"/>
      <c r="F20" s="360" t="s">
        <v>157</v>
      </c>
      <c r="G20" s="378">
        <f>+G18*$C$21</f>
        <v>0</v>
      </c>
      <c r="H20" s="378">
        <f>+H18*$C$21</f>
        <v>700947.54988359218</v>
      </c>
      <c r="I20" s="383">
        <f>+I18*C21</f>
        <v>1401895.0997671844</v>
      </c>
      <c r="J20" s="381">
        <f>+J18*C21</f>
        <v>1752368.8747089806</v>
      </c>
    </row>
    <row r="21" spans="2:10" x14ac:dyDescent="0.25">
      <c r="B21" s="367" t="s">
        <v>165</v>
      </c>
      <c r="C21" s="368">
        <f>'Costos totales'!C44</f>
        <v>203.07088333333334</v>
      </c>
      <c r="D21" s="279"/>
      <c r="E21" s="275"/>
      <c r="F21" s="360" t="s">
        <v>158</v>
      </c>
      <c r="G21" s="378">
        <f>+$C$22</f>
        <v>531078.3600000001</v>
      </c>
      <c r="H21" s="378">
        <f>+$C$22</f>
        <v>531078.3600000001</v>
      </c>
      <c r="I21" s="383">
        <f>C22</f>
        <v>531078.3600000001</v>
      </c>
      <c r="J21" s="381">
        <f>C22</f>
        <v>531078.3600000001</v>
      </c>
    </row>
    <row r="22" spans="2:10" ht="15.75" thickBot="1" x14ac:dyDescent="0.3">
      <c r="B22" s="367" t="s">
        <v>162</v>
      </c>
      <c r="C22" s="368">
        <f>'Costos totales'!C40</f>
        <v>531078.3600000001</v>
      </c>
      <c r="D22" s="279"/>
      <c r="E22" s="275"/>
      <c r="F22" s="361" t="s">
        <v>159</v>
      </c>
      <c r="G22" s="379">
        <f>+G20+G21</f>
        <v>531078.3600000001</v>
      </c>
      <c r="H22" s="379">
        <f>+H20+H21</f>
        <v>1232025.9098835923</v>
      </c>
      <c r="I22" s="375">
        <f>+I20+I21</f>
        <v>1932973.4597671845</v>
      </c>
      <c r="J22" s="382">
        <f>+J20+J21</f>
        <v>2283447.2347089807</v>
      </c>
    </row>
    <row r="23" spans="2:10" ht="15.75" thickBot="1" x14ac:dyDescent="0.3">
      <c r="B23" s="369" t="s">
        <v>210</v>
      </c>
      <c r="C23" s="370">
        <f>+C22/(C20-C21)</f>
        <v>6903.4766420256592</v>
      </c>
      <c r="D23" s="275"/>
      <c r="E23" s="275"/>
      <c r="F23" s="362" t="s">
        <v>164</v>
      </c>
      <c r="G23" s="363">
        <f>+G19-G22</f>
        <v>-531078.3600000001</v>
      </c>
      <c r="H23" s="363">
        <f>+H19-H22</f>
        <v>-265539.17999999993</v>
      </c>
      <c r="I23" s="376">
        <f>+I19-I22</f>
        <v>0</v>
      </c>
      <c r="J23" s="364">
        <f>+J19-J22</f>
        <v>132769.59000000032</v>
      </c>
    </row>
    <row r="24" spans="2:10" ht="15.75" thickBot="1" x14ac:dyDescent="0.3">
      <c r="B24" s="371" t="s">
        <v>163</v>
      </c>
      <c r="C24" s="372">
        <f>C23*C20</f>
        <v>1932973.4597671847</v>
      </c>
      <c r="D24" s="275"/>
      <c r="E24" s="280"/>
      <c r="F24" s="635" t="str">
        <f>IF(C23&lt;0,"Nunca alcanzarás el punto de equilibrio con esos datos!","Para alcanzar el punto de equilibrio debes vender "&amp;TEXT(C23,"#.##0")&amp;" unidades mes")</f>
        <v>Para alcanzar el punto de equilibrio debes vender 6903.477 unidades mes</v>
      </c>
      <c r="G24" s="636"/>
      <c r="H24" s="636"/>
      <c r="I24" s="636"/>
      <c r="J24" s="637"/>
    </row>
    <row r="25" spans="2:10" x14ac:dyDescent="0.25">
      <c r="B25" s="280"/>
      <c r="C25" s="280"/>
      <c r="D25" s="280"/>
      <c r="E25" s="280"/>
      <c r="F25" s="280"/>
      <c r="G25" s="280"/>
      <c r="H25" s="280"/>
      <c r="I25" s="280"/>
      <c r="J25" s="280"/>
    </row>
    <row r="26" spans="2:10" x14ac:dyDescent="0.25">
      <c r="B26" s="280"/>
      <c r="C26" s="280"/>
      <c r="D26" s="280"/>
      <c r="E26" s="280"/>
      <c r="F26" s="280"/>
      <c r="G26" s="280"/>
      <c r="H26" s="280"/>
      <c r="I26" s="280"/>
      <c r="J26" s="280"/>
    </row>
    <row r="27" spans="2:10" x14ac:dyDescent="0.25">
      <c r="B27" s="280"/>
      <c r="C27" s="280"/>
      <c r="D27" s="280"/>
      <c r="E27" s="280"/>
      <c r="F27" s="280"/>
      <c r="G27" s="280"/>
      <c r="H27" s="280"/>
      <c r="I27" s="280"/>
      <c r="J27" s="280"/>
    </row>
    <row r="28" spans="2:10" x14ac:dyDescent="0.25">
      <c r="B28" s="280"/>
      <c r="C28" s="280"/>
      <c r="D28" s="280"/>
      <c r="E28" s="280"/>
      <c r="F28" s="280"/>
      <c r="G28" s="280"/>
      <c r="H28" s="280"/>
      <c r="I28" s="280"/>
      <c r="J28" s="280"/>
    </row>
    <row r="29" spans="2:10" x14ac:dyDescent="0.25">
      <c r="B29" s="280"/>
      <c r="C29" s="280"/>
      <c r="D29" s="280"/>
      <c r="E29" s="280"/>
      <c r="F29" s="280"/>
      <c r="G29" s="280"/>
      <c r="H29" s="280"/>
      <c r="I29" s="280"/>
      <c r="J29" s="280"/>
    </row>
    <row r="30" spans="2:10" x14ac:dyDescent="0.25">
      <c r="B30" s="280"/>
      <c r="C30" s="280"/>
      <c r="D30" s="280"/>
      <c r="E30" s="280"/>
      <c r="F30" s="280"/>
      <c r="G30" s="280"/>
      <c r="H30" s="280"/>
      <c r="I30" s="280"/>
      <c r="J30" s="280"/>
    </row>
    <row r="31" spans="2:10" x14ac:dyDescent="0.25">
      <c r="B31" s="280"/>
      <c r="C31" s="280"/>
      <c r="D31" s="280"/>
      <c r="E31" s="280"/>
      <c r="F31" s="280"/>
      <c r="G31" s="280"/>
      <c r="H31" s="280"/>
      <c r="I31" s="280"/>
      <c r="J31" s="280"/>
    </row>
    <row r="32" spans="2:10" x14ac:dyDescent="0.25">
      <c r="B32" s="280"/>
      <c r="C32" s="280"/>
      <c r="D32" s="280"/>
      <c r="E32" s="280"/>
      <c r="F32" s="280"/>
      <c r="G32" s="280"/>
      <c r="H32" s="280"/>
      <c r="I32" s="280"/>
      <c r="J32" s="280"/>
    </row>
    <row r="33" spans="2:10" x14ac:dyDescent="0.25">
      <c r="B33" s="280"/>
      <c r="C33" s="280"/>
      <c r="D33" s="280"/>
      <c r="E33" s="280"/>
      <c r="F33" s="280"/>
      <c r="G33" s="280"/>
      <c r="H33" s="280"/>
      <c r="I33" s="280"/>
      <c r="J33" s="280"/>
    </row>
    <row r="34" spans="2:10" x14ac:dyDescent="0.25">
      <c r="B34" s="280"/>
      <c r="C34" s="280"/>
      <c r="D34" s="280"/>
      <c r="E34" s="280"/>
      <c r="F34" s="280"/>
      <c r="G34" s="280"/>
      <c r="H34" s="280"/>
      <c r="I34" s="280"/>
      <c r="J34" s="280"/>
    </row>
    <row r="35" spans="2:10" x14ac:dyDescent="0.25">
      <c r="B35" s="280"/>
      <c r="C35" s="280"/>
      <c r="D35" s="280"/>
      <c r="E35" s="280"/>
      <c r="F35" s="280"/>
      <c r="G35" s="280"/>
      <c r="H35" s="280"/>
      <c r="I35" s="280"/>
      <c r="J35" s="280"/>
    </row>
    <row r="36" spans="2:10" x14ac:dyDescent="0.25">
      <c r="B36" s="280"/>
      <c r="C36" s="280"/>
      <c r="D36" s="280"/>
      <c r="E36" s="280"/>
      <c r="F36" s="280"/>
      <c r="G36" s="280"/>
      <c r="H36" s="280"/>
      <c r="I36" s="280"/>
      <c r="J36" s="280"/>
    </row>
    <row r="37" spans="2:10" x14ac:dyDescent="0.25">
      <c r="B37" s="280"/>
      <c r="C37" s="280"/>
      <c r="D37" s="280"/>
      <c r="E37" s="280"/>
      <c r="F37" s="280"/>
      <c r="G37" s="280"/>
      <c r="H37" s="280"/>
      <c r="I37" s="280"/>
      <c r="J37" s="280"/>
    </row>
    <row r="38" spans="2:10" x14ac:dyDescent="0.25">
      <c r="B38" s="280"/>
      <c r="C38" s="280"/>
      <c r="D38" s="280"/>
      <c r="E38" s="280"/>
      <c r="F38" s="280"/>
      <c r="G38" s="280"/>
      <c r="H38" s="280"/>
      <c r="I38" s="280"/>
      <c r="J38" s="280"/>
    </row>
    <row r="39" spans="2:10" x14ac:dyDescent="0.25">
      <c r="B39" s="280"/>
      <c r="C39" s="280"/>
      <c r="D39" s="280"/>
      <c r="E39" s="280"/>
      <c r="F39" s="280"/>
      <c r="G39" s="280"/>
      <c r="H39" s="280"/>
      <c r="I39" s="280"/>
      <c r="J39" s="280"/>
    </row>
    <row r="40" spans="2:10" x14ac:dyDescent="0.25">
      <c r="B40" s="280"/>
      <c r="C40" s="280"/>
      <c r="D40" s="280"/>
      <c r="E40" s="280"/>
      <c r="F40" s="280"/>
      <c r="G40" s="280"/>
      <c r="H40" s="280"/>
      <c r="I40" s="280"/>
      <c r="J40" s="280"/>
    </row>
    <row r="56" spans="2:10" x14ac:dyDescent="0.25">
      <c r="B56" s="277"/>
      <c r="C56" s="275"/>
      <c r="D56" s="275"/>
      <c r="E56" s="275"/>
      <c r="F56" s="275"/>
      <c r="G56" s="275"/>
      <c r="H56" s="275"/>
      <c r="I56" s="275"/>
      <c r="J56" s="276"/>
    </row>
    <row r="57" spans="2:10" ht="16.5" thickBot="1" x14ac:dyDescent="0.3">
      <c r="B57" s="275"/>
      <c r="C57" s="275"/>
      <c r="D57" s="275"/>
      <c r="E57" s="275"/>
      <c r="F57" s="278" t="s">
        <v>155</v>
      </c>
      <c r="G57" s="275"/>
      <c r="H57" s="275"/>
      <c r="I57" s="275"/>
      <c r="J57" s="406">
        <v>0.25</v>
      </c>
    </row>
    <row r="58" spans="2:10" x14ac:dyDescent="0.25">
      <c r="B58" s="275"/>
      <c r="C58" s="275"/>
      <c r="D58" s="275"/>
      <c r="E58" s="275"/>
      <c r="F58" s="359" t="s">
        <v>166</v>
      </c>
      <c r="G58" s="377">
        <v>0</v>
      </c>
      <c r="H58" s="377">
        <f>+I58/2</f>
        <v>1150.5794403376099</v>
      </c>
      <c r="I58" s="373">
        <f>+C63</f>
        <v>2301.1588806752197</v>
      </c>
      <c r="J58" s="380">
        <f>I58+(I58*J57)</f>
        <v>2876.4486008440244</v>
      </c>
    </row>
    <row r="59" spans="2:10" ht="15.75" thickBot="1" x14ac:dyDescent="0.3">
      <c r="B59" s="278" t="s">
        <v>160</v>
      </c>
      <c r="C59" s="275"/>
      <c r="D59" s="275"/>
      <c r="E59" s="275"/>
      <c r="F59" s="360" t="s">
        <v>156</v>
      </c>
      <c r="G59" s="378">
        <f>+G58*$C$20</f>
        <v>0</v>
      </c>
      <c r="H59" s="378">
        <f>+H58*$C$60</f>
        <v>322162.24329453078</v>
      </c>
      <c r="I59" s="374">
        <f>+I58*$C$60</f>
        <v>644324.48658906156</v>
      </c>
      <c r="J59" s="381">
        <f>+J58*C60</f>
        <v>805405.60823632684</v>
      </c>
    </row>
    <row r="60" spans="2:10" x14ac:dyDescent="0.25">
      <c r="B60" s="365" t="s">
        <v>161</v>
      </c>
      <c r="C60" s="366">
        <f>'Costos totales'!C65</f>
        <v>280</v>
      </c>
      <c r="D60" s="279"/>
      <c r="E60" s="275"/>
      <c r="F60" s="360" t="s">
        <v>157</v>
      </c>
      <c r="G60" s="378">
        <f>+G58*$C$21</f>
        <v>0</v>
      </c>
      <c r="H60" s="378">
        <f>+H58*$C$61</f>
        <v>233649.18329453075</v>
      </c>
      <c r="I60" s="383">
        <f>+I58*C61</f>
        <v>467298.36658906151</v>
      </c>
      <c r="J60" s="381">
        <f>+J58*C61</f>
        <v>584122.95823632681</v>
      </c>
    </row>
    <row r="61" spans="2:10" x14ac:dyDescent="0.25">
      <c r="B61" s="367" t="s">
        <v>165</v>
      </c>
      <c r="C61" s="368">
        <f>'Costos totales'!C58</f>
        <v>203.07088333333334</v>
      </c>
      <c r="D61" s="279"/>
      <c r="E61" s="275"/>
      <c r="F61" s="360" t="s">
        <v>158</v>
      </c>
      <c r="G61" s="378">
        <f>+$C$22</f>
        <v>531078.3600000001</v>
      </c>
      <c r="H61" s="378">
        <f>C62</f>
        <v>177026.12000000002</v>
      </c>
      <c r="I61" s="383">
        <f>C62</f>
        <v>177026.12000000002</v>
      </c>
      <c r="J61" s="381">
        <f>C62</f>
        <v>177026.12000000002</v>
      </c>
    </row>
    <row r="62" spans="2:10" ht="15.75" thickBot="1" x14ac:dyDescent="0.3">
      <c r="B62" s="367" t="s">
        <v>162</v>
      </c>
      <c r="C62" s="368">
        <f>'Costos totales'!C54</f>
        <v>177026.12000000002</v>
      </c>
      <c r="D62" s="279"/>
      <c r="E62" s="275"/>
      <c r="F62" s="361" t="s">
        <v>159</v>
      </c>
      <c r="G62" s="379">
        <f>+G60+G61</f>
        <v>531078.3600000001</v>
      </c>
      <c r="H62" s="379">
        <f>+H60+H61</f>
        <v>410675.30329453078</v>
      </c>
      <c r="I62" s="375">
        <f>+I60+I61</f>
        <v>644324.48658906156</v>
      </c>
      <c r="J62" s="382">
        <f>+J60+J61</f>
        <v>761149.07823632681</v>
      </c>
    </row>
    <row r="63" spans="2:10" ht="15.75" thickBot="1" x14ac:dyDescent="0.3">
      <c r="B63" s="369" t="s">
        <v>210</v>
      </c>
      <c r="C63" s="370">
        <f>+C62/(C60-C61)</f>
        <v>2301.1588806752197</v>
      </c>
      <c r="D63" s="275"/>
      <c r="E63" s="275"/>
      <c r="F63" s="362" t="s">
        <v>164</v>
      </c>
      <c r="G63" s="363">
        <f>+G59-G62</f>
        <v>-531078.3600000001</v>
      </c>
      <c r="H63" s="363">
        <f>+H59-H62</f>
        <v>-88513.06</v>
      </c>
      <c r="I63" s="376">
        <f>+I59-I62</f>
        <v>0</v>
      </c>
      <c r="J63" s="364">
        <f>+J59-J62</f>
        <v>44256.530000000028</v>
      </c>
    </row>
    <row r="64" spans="2:10" ht="15.75" thickBot="1" x14ac:dyDescent="0.3">
      <c r="B64" s="371" t="s">
        <v>163</v>
      </c>
      <c r="C64" s="372">
        <f>C63*C60</f>
        <v>644324.48658906156</v>
      </c>
      <c r="D64" s="275"/>
      <c r="E64" s="280"/>
      <c r="F64" s="635" t="str">
        <f>IF(C63&lt;0,"Nunca alcanzarás el punto de equilibrio con esos datos!","Para alcanzar el punto de equilibrio debes vender "&amp;TEXT(C63,"#.##0")&amp;" unidades mes")</f>
        <v>Para alcanzar el punto de equilibrio debes vender 2301.159 unidades mes</v>
      </c>
      <c r="G64" s="636"/>
      <c r="H64" s="636"/>
      <c r="I64" s="636"/>
      <c r="J64" s="637"/>
    </row>
    <row r="65" spans="2:10" x14ac:dyDescent="0.25">
      <c r="B65" s="280"/>
      <c r="C65" s="280"/>
      <c r="D65" s="280"/>
      <c r="E65" s="280"/>
      <c r="F65" s="280"/>
      <c r="G65" s="280"/>
      <c r="H65" s="280"/>
      <c r="I65" s="280"/>
      <c r="J65" s="280"/>
    </row>
    <row r="66" spans="2:10" x14ac:dyDescent="0.25">
      <c r="B66" s="280"/>
      <c r="C66" s="280"/>
      <c r="D66" s="280"/>
      <c r="E66" s="280"/>
      <c r="F66" s="280"/>
      <c r="G66" s="280"/>
      <c r="H66" s="280"/>
      <c r="I66" s="280"/>
      <c r="J66" s="280"/>
    </row>
    <row r="67" spans="2:10" x14ac:dyDescent="0.25">
      <c r="B67" s="280"/>
      <c r="C67" s="280"/>
      <c r="D67" s="280"/>
      <c r="E67" s="280"/>
      <c r="F67" s="280"/>
      <c r="G67" s="280"/>
      <c r="H67" s="280"/>
      <c r="I67" s="280"/>
      <c r="J67" s="280"/>
    </row>
    <row r="68" spans="2:10" x14ac:dyDescent="0.25">
      <c r="B68" s="280"/>
      <c r="C68" s="280"/>
      <c r="D68" s="280"/>
      <c r="E68" s="280"/>
      <c r="F68" s="280"/>
      <c r="G68" s="280"/>
      <c r="H68" s="280"/>
      <c r="I68" s="280"/>
      <c r="J68" s="280"/>
    </row>
    <row r="69" spans="2:10" x14ac:dyDescent="0.25">
      <c r="B69" s="280"/>
      <c r="C69" s="280"/>
      <c r="D69" s="280"/>
      <c r="E69" s="280"/>
      <c r="F69" s="280"/>
      <c r="G69" s="280"/>
      <c r="H69" s="280"/>
      <c r="I69" s="280"/>
      <c r="J69" s="280"/>
    </row>
    <row r="70" spans="2:10" x14ac:dyDescent="0.25">
      <c r="B70" s="280"/>
      <c r="C70" s="280"/>
      <c r="D70" s="280"/>
      <c r="E70" s="280"/>
      <c r="F70" s="280"/>
      <c r="G70" s="280"/>
      <c r="H70" s="280"/>
      <c r="I70" s="280"/>
      <c r="J70" s="280"/>
    </row>
    <row r="71" spans="2:10" x14ac:dyDescent="0.25">
      <c r="B71" s="280"/>
      <c r="C71" s="280"/>
      <c r="D71" s="280"/>
      <c r="E71" s="280"/>
      <c r="F71" s="280"/>
      <c r="G71" s="280"/>
      <c r="H71" s="280"/>
      <c r="I71" s="280"/>
      <c r="J71" s="280"/>
    </row>
    <row r="72" spans="2:10" x14ac:dyDescent="0.25">
      <c r="B72" s="280"/>
      <c r="C72" s="280"/>
      <c r="D72" s="280"/>
      <c r="E72" s="280"/>
      <c r="F72" s="280"/>
      <c r="G72" s="280"/>
      <c r="H72" s="280"/>
      <c r="I72" s="280"/>
      <c r="J72" s="280"/>
    </row>
    <row r="73" spans="2:10" x14ac:dyDescent="0.25">
      <c r="B73" s="280"/>
      <c r="C73" s="280"/>
      <c r="D73" s="280"/>
      <c r="E73" s="280"/>
      <c r="F73" s="280"/>
      <c r="G73" s="280"/>
      <c r="H73" s="280"/>
      <c r="I73" s="280"/>
      <c r="J73" s="280"/>
    </row>
    <row r="74" spans="2:10" x14ac:dyDescent="0.25">
      <c r="B74" s="280"/>
      <c r="C74" s="280"/>
      <c r="D74" s="280"/>
      <c r="E74" s="280"/>
      <c r="F74" s="280"/>
      <c r="G74" s="280"/>
      <c r="H74" s="280"/>
      <c r="I74" s="280"/>
      <c r="J74" s="280"/>
    </row>
    <row r="75" spans="2:10" x14ac:dyDescent="0.25">
      <c r="B75" s="280"/>
      <c r="C75" s="280"/>
      <c r="D75" s="280"/>
      <c r="E75" s="280"/>
      <c r="F75" s="280"/>
      <c r="G75" s="280"/>
      <c r="H75" s="280"/>
      <c r="I75" s="280"/>
      <c r="J75" s="280"/>
    </row>
    <row r="76" spans="2:10" x14ac:dyDescent="0.25">
      <c r="B76" s="280"/>
      <c r="C76" s="280"/>
      <c r="D76" s="280"/>
      <c r="E76" s="280"/>
      <c r="F76" s="280"/>
      <c r="G76" s="280"/>
      <c r="H76" s="280"/>
      <c r="I76" s="280"/>
      <c r="J76" s="280"/>
    </row>
    <row r="77" spans="2:10" x14ac:dyDescent="0.25">
      <c r="B77" s="280"/>
      <c r="C77" s="280"/>
      <c r="D77" s="280"/>
      <c r="E77" s="280"/>
      <c r="F77" s="280"/>
      <c r="G77" s="280"/>
      <c r="H77" s="280"/>
      <c r="I77" s="280"/>
      <c r="J77" s="280"/>
    </row>
    <row r="78" spans="2:10" x14ac:dyDescent="0.25">
      <c r="B78" s="280"/>
      <c r="C78" s="280"/>
      <c r="D78" s="280"/>
      <c r="E78" s="280"/>
      <c r="F78" s="280"/>
      <c r="G78" s="280"/>
      <c r="H78" s="280"/>
      <c r="I78" s="280"/>
      <c r="J78" s="280"/>
    </row>
    <row r="79" spans="2:10" x14ac:dyDescent="0.25">
      <c r="B79" s="280"/>
      <c r="C79" s="280"/>
      <c r="D79" s="280"/>
      <c r="E79" s="280"/>
      <c r="F79" s="280"/>
      <c r="G79" s="280"/>
      <c r="H79" s="280"/>
      <c r="I79" s="280"/>
      <c r="J79" s="280"/>
    </row>
    <row r="80" spans="2:10" x14ac:dyDescent="0.25">
      <c r="B80" s="280"/>
      <c r="C80" s="280"/>
      <c r="D80" s="280"/>
      <c r="E80" s="280"/>
      <c r="F80" s="280"/>
      <c r="G80" s="280"/>
      <c r="H80" s="280"/>
      <c r="I80" s="280"/>
      <c r="J80" s="280"/>
    </row>
    <row r="98" spans="2:10" x14ac:dyDescent="0.25">
      <c r="B98" s="277"/>
      <c r="C98" s="275"/>
      <c r="D98" s="275"/>
      <c r="E98" s="275"/>
      <c r="F98" s="275"/>
      <c r="G98" s="275"/>
      <c r="H98" s="275"/>
      <c r="I98" s="275"/>
      <c r="J98" s="276"/>
    </row>
    <row r="99" spans="2:10" ht="16.5" thickBot="1" x14ac:dyDescent="0.3">
      <c r="B99" s="275"/>
      <c r="C99" s="275"/>
      <c r="D99" s="275"/>
      <c r="E99" s="275"/>
      <c r="F99" s="278" t="s">
        <v>155</v>
      </c>
      <c r="G99" s="275"/>
      <c r="H99" s="275"/>
      <c r="I99" s="275"/>
      <c r="J99" s="406">
        <v>0.25</v>
      </c>
    </row>
    <row r="100" spans="2:10" x14ac:dyDescent="0.25">
      <c r="B100" s="275"/>
      <c r="C100" s="275"/>
      <c r="D100" s="275"/>
      <c r="E100" s="275"/>
      <c r="F100" s="359" t="s">
        <v>166</v>
      </c>
      <c r="G100" s="377">
        <v>0</v>
      </c>
      <c r="H100" s="377">
        <f>+I100/2</f>
        <v>1150.5794403376099</v>
      </c>
      <c r="I100" s="373">
        <f>+C105</f>
        <v>2301.1588806752197</v>
      </c>
      <c r="J100" s="380">
        <f>I100+(I100*J99)</f>
        <v>2876.4486008440244</v>
      </c>
    </row>
    <row r="101" spans="2:10" ht="15.75" thickBot="1" x14ac:dyDescent="0.3">
      <c r="B101" s="278" t="s">
        <v>160</v>
      </c>
      <c r="C101" s="275"/>
      <c r="D101" s="275"/>
      <c r="E101" s="275"/>
      <c r="F101" s="360" t="s">
        <v>156</v>
      </c>
      <c r="G101" s="378">
        <f>+G100*$C$20</f>
        <v>0</v>
      </c>
      <c r="H101" s="378">
        <f>+H100*$C$20</f>
        <v>322162.24329453078</v>
      </c>
      <c r="I101" s="374">
        <f>+I100*$C$102</f>
        <v>644324.48658906156</v>
      </c>
      <c r="J101" s="381">
        <f>+J100*C102</f>
        <v>805405.60823632684</v>
      </c>
    </row>
    <row r="102" spans="2:10" x14ac:dyDescent="0.25">
      <c r="B102" s="365" t="s">
        <v>161</v>
      </c>
      <c r="C102" s="366">
        <f>'Costos totales'!C80</f>
        <v>280</v>
      </c>
      <c r="D102" s="279"/>
      <c r="E102" s="275"/>
      <c r="F102" s="360" t="s">
        <v>157</v>
      </c>
      <c r="G102" s="378">
        <f>+G100*$C$21</f>
        <v>0</v>
      </c>
      <c r="H102" s="378">
        <f>+H100*$C$21</f>
        <v>233649.18329453075</v>
      </c>
      <c r="I102" s="383">
        <f>+I100*C103</f>
        <v>467298.36658906151</v>
      </c>
      <c r="J102" s="381">
        <f>+J100*C103</f>
        <v>584122.95823632681</v>
      </c>
    </row>
    <row r="103" spans="2:10" x14ac:dyDescent="0.25">
      <c r="B103" s="367" t="s">
        <v>165</v>
      </c>
      <c r="C103" s="368">
        <f>'Costos totales'!C73</f>
        <v>203.07088333333334</v>
      </c>
      <c r="D103" s="279"/>
      <c r="E103" s="275"/>
      <c r="F103" s="360" t="s">
        <v>158</v>
      </c>
      <c r="G103" s="378">
        <f>+$C$22</f>
        <v>531078.3600000001</v>
      </c>
      <c r="H103" s="378">
        <f>+$C$22</f>
        <v>531078.3600000001</v>
      </c>
      <c r="I103" s="383">
        <f>C104</f>
        <v>177026.12000000002</v>
      </c>
      <c r="J103" s="381">
        <f>C104</f>
        <v>177026.12000000002</v>
      </c>
    </row>
    <row r="104" spans="2:10" ht="15.75" thickBot="1" x14ac:dyDescent="0.3">
      <c r="B104" s="367" t="s">
        <v>162</v>
      </c>
      <c r="C104" s="368">
        <f>'Costos totales'!C69</f>
        <v>177026.12000000002</v>
      </c>
      <c r="D104" s="279"/>
      <c r="E104" s="275"/>
      <c r="F104" s="361" t="s">
        <v>159</v>
      </c>
      <c r="G104" s="379">
        <f>+G102+G103</f>
        <v>531078.3600000001</v>
      </c>
      <c r="H104" s="379">
        <f>+H102+H103</f>
        <v>764727.54329453083</v>
      </c>
      <c r="I104" s="375">
        <f>+I102+I103</f>
        <v>644324.48658906156</v>
      </c>
      <c r="J104" s="382">
        <f>+J102+J103</f>
        <v>761149.07823632681</v>
      </c>
    </row>
    <row r="105" spans="2:10" ht="15.75" thickBot="1" x14ac:dyDescent="0.3">
      <c r="B105" s="369" t="s">
        <v>210</v>
      </c>
      <c r="C105" s="370">
        <f>+C104/(C102-C103)</f>
        <v>2301.1588806752197</v>
      </c>
      <c r="D105" s="275"/>
      <c r="E105" s="275"/>
      <c r="F105" s="362" t="s">
        <v>164</v>
      </c>
      <c r="G105" s="363">
        <f>+G101-G104</f>
        <v>-531078.3600000001</v>
      </c>
      <c r="H105" s="363">
        <f>+H101-H104</f>
        <v>-442565.30000000005</v>
      </c>
      <c r="I105" s="376">
        <f>+I101-I104</f>
        <v>0</v>
      </c>
      <c r="J105" s="364">
        <f>+J101-J104</f>
        <v>44256.530000000028</v>
      </c>
    </row>
    <row r="106" spans="2:10" ht="15.75" thickBot="1" x14ac:dyDescent="0.3">
      <c r="B106" s="371" t="s">
        <v>163</v>
      </c>
      <c r="C106" s="372">
        <f>C105*C102</f>
        <v>644324.48658906156</v>
      </c>
      <c r="D106" s="275"/>
      <c r="E106" s="280"/>
      <c r="F106" s="635" t="str">
        <f>IF(C105&lt;0,"Nunca alcanzarás el punto de equilibrio con esos datos!","Para alcanzar el punto de equilibrio debes vender "&amp;TEXT(C105,"#.##0")&amp;" unidades mes")</f>
        <v>Para alcanzar el punto de equilibrio debes vender 2301.159 unidades mes</v>
      </c>
      <c r="G106" s="636"/>
      <c r="H106" s="636"/>
      <c r="I106" s="636"/>
      <c r="J106" s="637"/>
    </row>
    <row r="107" spans="2:10" x14ac:dyDescent="0.25">
      <c r="B107" s="280"/>
      <c r="C107" s="280"/>
      <c r="D107" s="280"/>
      <c r="E107" s="280"/>
      <c r="F107" s="280"/>
      <c r="G107" s="280"/>
      <c r="H107" s="280"/>
      <c r="I107" s="280"/>
      <c r="J107" s="280"/>
    </row>
    <row r="108" spans="2:10" x14ac:dyDescent="0.25">
      <c r="B108" s="280"/>
      <c r="C108" s="280"/>
      <c r="D108" s="280"/>
      <c r="E108" s="280"/>
      <c r="F108" s="280"/>
      <c r="G108" s="280"/>
      <c r="H108" s="280"/>
      <c r="I108" s="280"/>
      <c r="J108" s="280"/>
    </row>
    <row r="109" spans="2:10" x14ac:dyDescent="0.25">
      <c r="B109" s="280"/>
      <c r="C109" s="280"/>
      <c r="D109" s="280"/>
      <c r="E109" s="280"/>
      <c r="F109" s="280"/>
      <c r="G109" s="280"/>
      <c r="H109" s="280"/>
      <c r="I109" s="280"/>
      <c r="J109" s="280"/>
    </row>
    <row r="110" spans="2:10" x14ac:dyDescent="0.25">
      <c r="B110" s="280"/>
      <c r="C110" s="280"/>
      <c r="D110" s="280"/>
      <c r="E110" s="280"/>
      <c r="F110" s="280"/>
      <c r="G110" s="280"/>
      <c r="H110" s="280"/>
      <c r="I110" s="280"/>
      <c r="J110" s="280"/>
    </row>
    <row r="111" spans="2:10" x14ac:dyDescent="0.25">
      <c r="B111" s="280"/>
      <c r="C111" s="280"/>
      <c r="D111" s="280"/>
      <c r="E111" s="280"/>
      <c r="F111" s="280"/>
      <c r="G111" s="280"/>
      <c r="H111" s="280"/>
      <c r="I111" s="280"/>
      <c r="J111" s="280"/>
    </row>
    <row r="112" spans="2:10" x14ac:dyDescent="0.25">
      <c r="B112" s="280"/>
      <c r="C112" s="280"/>
      <c r="D112" s="280"/>
      <c r="E112" s="280"/>
      <c r="F112" s="280"/>
      <c r="G112" s="280"/>
      <c r="H112" s="280"/>
      <c r="I112" s="280"/>
      <c r="J112" s="280"/>
    </row>
    <row r="113" spans="2:10" x14ac:dyDescent="0.25">
      <c r="B113" s="280"/>
      <c r="C113" s="280"/>
      <c r="D113" s="280"/>
      <c r="E113" s="280"/>
      <c r="F113" s="280"/>
      <c r="G113" s="280"/>
      <c r="H113" s="280"/>
      <c r="I113" s="280"/>
      <c r="J113" s="280"/>
    </row>
    <row r="114" spans="2:10" x14ac:dyDescent="0.25">
      <c r="B114" s="280"/>
      <c r="C114" s="280"/>
      <c r="D114" s="280"/>
      <c r="E114" s="280"/>
      <c r="F114" s="280"/>
      <c r="G114" s="280"/>
      <c r="H114" s="280"/>
      <c r="I114" s="280"/>
      <c r="J114" s="280"/>
    </row>
    <row r="115" spans="2:10" x14ac:dyDescent="0.25">
      <c r="B115" s="280"/>
      <c r="C115" s="280"/>
      <c r="D115" s="280"/>
      <c r="E115" s="280"/>
      <c r="F115" s="280"/>
      <c r="G115" s="280"/>
      <c r="H115" s="280"/>
      <c r="I115" s="280"/>
      <c r="J115" s="280"/>
    </row>
    <row r="116" spans="2:10" x14ac:dyDescent="0.25">
      <c r="B116" s="280"/>
      <c r="C116" s="280"/>
      <c r="D116" s="280"/>
      <c r="E116" s="280"/>
      <c r="F116" s="280"/>
      <c r="G116" s="280"/>
      <c r="H116" s="280"/>
      <c r="I116" s="280"/>
      <c r="J116" s="280"/>
    </row>
    <row r="117" spans="2:10" x14ac:dyDescent="0.25">
      <c r="B117" s="280"/>
      <c r="C117" s="280"/>
      <c r="D117" s="280"/>
      <c r="E117" s="280"/>
      <c r="F117" s="280"/>
      <c r="G117" s="280"/>
      <c r="H117" s="280"/>
      <c r="I117" s="280"/>
      <c r="J117" s="280"/>
    </row>
    <row r="118" spans="2:10" x14ac:dyDescent="0.25">
      <c r="B118" s="280"/>
      <c r="C118" s="280"/>
      <c r="D118" s="280"/>
      <c r="E118" s="280"/>
      <c r="F118" s="280"/>
      <c r="G118" s="280"/>
      <c r="H118" s="280"/>
      <c r="I118" s="280"/>
      <c r="J118" s="280"/>
    </row>
    <row r="119" spans="2:10" x14ac:dyDescent="0.25">
      <c r="B119" s="280"/>
      <c r="C119" s="280"/>
      <c r="D119" s="280"/>
      <c r="E119" s="280"/>
      <c r="F119" s="280"/>
      <c r="G119" s="280"/>
      <c r="H119" s="280"/>
      <c r="I119" s="280"/>
      <c r="J119" s="280"/>
    </row>
    <row r="120" spans="2:10" x14ac:dyDescent="0.25">
      <c r="B120" s="280"/>
      <c r="C120" s="280"/>
      <c r="D120" s="280"/>
      <c r="E120" s="280"/>
      <c r="F120" s="280"/>
      <c r="G120" s="280"/>
      <c r="H120" s="280"/>
      <c r="I120" s="280"/>
      <c r="J120" s="280"/>
    </row>
    <row r="121" spans="2:10" x14ac:dyDescent="0.25">
      <c r="B121" s="280"/>
      <c r="C121" s="280"/>
      <c r="D121" s="280"/>
      <c r="E121" s="280"/>
      <c r="F121" s="280"/>
      <c r="G121" s="280"/>
      <c r="H121" s="280"/>
      <c r="I121" s="280"/>
      <c r="J121" s="280"/>
    </row>
    <row r="122" spans="2:10" x14ac:dyDescent="0.25">
      <c r="B122" s="280"/>
      <c r="C122" s="280"/>
      <c r="D122" s="280"/>
      <c r="E122" s="280"/>
      <c r="F122" s="280"/>
      <c r="G122" s="280"/>
      <c r="H122" s="280"/>
      <c r="I122" s="280"/>
      <c r="J122" s="280"/>
    </row>
  </sheetData>
  <mergeCells count="5">
    <mergeCell ref="F24:J24"/>
    <mergeCell ref="B1:H1"/>
    <mergeCell ref="B3:H3"/>
    <mergeCell ref="F64:J64"/>
    <mergeCell ref="F106:J106"/>
  </mergeCells>
  <phoneticPr fontId="0" type="noConversion"/>
  <hyperlinks>
    <hyperlink ref="A1" location="Portada!A29" display="INDICE"/>
  </hyperlinks>
  <pageMargins left="0.7" right="0.7" top="0.75" bottom="0.75" header="0.3" footer="0.3"/>
  <pageSetup paperSize="9" orientation="landscape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showGridLines="0" topLeftCell="A25" workbookViewId="0">
      <selection activeCell="A21" sqref="A21"/>
    </sheetView>
  </sheetViews>
  <sheetFormatPr baseColWidth="10" defaultColWidth="25" defaultRowHeight="12.75" x14ac:dyDescent="0.2"/>
  <cols>
    <col min="1" max="1" width="15.140625" style="9" customWidth="1"/>
    <col min="2" max="2" width="28.28515625" style="9" customWidth="1"/>
    <col min="3" max="3" width="18.5703125" style="9" customWidth="1"/>
    <col min="4" max="4" width="17.5703125" style="9" customWidth="1"/>
    <col min="5" max="5" width="18" style="9" customWidth="1"/>
    <col min="6" max="6" width="15.7109375" style="9" customWidth="1"/>
    <col min="7" max="7" width="14.7109375" style="9" customWidth="1"/>
    <col min="8" max="16384" width="25" style="9"/>
  </cols>
  <sheetData>
    <row r="1" spans="1:7" ht="13.5" x14ac:dyDescent="0.25">
      <c r="A1" s="422" t="s">
        <v>240</v>
      </c>
    </row>
    <row r="2" spans="1:7" ht="15" customHeight="1" x14ac:dyDescent="0.25">
      <c r="B2" s="639" t="s">
        <v>28</v>
      </c>
      <c r="C2" s="639"/>
      <c r="D2" s="639"/>
      <c r="E2" s="639"/>
      <c r="F2" s="639"/>
      <c r="G2" s="639"/>
    </row>
    <row r="3" spans="1:7" ht="13.5" thickBot="1" x14ac:dyDescent="0.25">
      <c r="B3" s="648" t="s">
        <v>29</v>
      </c>
      <c r="C3" s="648"/>
      <c r="D3" s="648"/>
      <c r="E3" s="648"/>
      <c r="F3" s="648"/>
      <c r="G3" s="648"/>
    </row>
    <row r="4" spans="1:7" s="76" customFormat="1" ht="21" customHeight="1" thickBot="1" x14ac:dyDescent="0.3">
      <c r="B4" s="643" t="s">
        <v>30</v>
      </c>
      <c r="C4" s="645" t="s">
        <v>31</v>
      </c>
      <c r="D4" s="646"/>
      <c r="E4" s="646"/>
      <c r="F4" s="646"/>
      <c r="G4" s="647"/>
    </row>
    <row r="5" spans="1:7" s="76" customFormat="1" ht="16.5" thickBot="1" x14ac:dyDescent="0.3">
      <c r="B5" s="644"/>
      <c r="C5" s="565" t="s">
        <v>32</v>
      </c>
      <c r="D5" s="566" t="s">
        <v>33</v>
      </c>
      <c r="E5" s="567" t="s">
        <v>34</v>
      </c>
      <c r="F5" s="566" t="s">
        <v>35</v>
      </c>
      <c r="G5" s="568" t="s">
        <v>36</v>
      </c>
    </row>
    <row r="6" spans="1:7" x14ac:dyDescent="0.2">
      <c r="B6" s="407"/>
      <c r="C6" s="408"/>
      <c r="D6" s="409"/>
      <c r="E6" s="409"/>
      <c r="F6" s="409"/>
      <c r="G6" s="409"/>
    </row>
    <row r="7" spans="1:7" x14ac:dyDescent="0.2">
      <c r="B7" s="10" t="s">
        <v>37</v>
      </c>
      <c r="C7" s="78">
        <f>Ingresos!C35</f>
        <v>2016000</v>
      </c>
      <c r="D7" s="78">
        <f>Ingresos!D35</f>
        <v>2016000</v>
      </c>
      <c r="E7" s="78">
        <f>Ingresos!E35</f>
        <v>2016000</v>
      </c>
      <c r="F7" s="78">
        <f>Ingresos!F35</f>
        <v>2016000</v>
      </c>
      <c r="G7" s="78">
        <f>Ingresos!G35</f>
        <v>2016000</v>
      </c>
    </row>
    <row r="8" spans="1:7" x14ac:dyDescent="0.2">
      <c r="B8" s="10" t="s">
        <v>38</v>
      </c>
      <c r="C8" s="78">
        <f>'Costos totales'!C42</f>
        <v>1462110.36</v>
      </c>
      <c r="D8" s="78">
        <f>'Costos totales'!D42</f>
        <v>1462110.36</v>
      </c>
      <c r="E8" s="78">
        <f>'Costos totales'!E42</f>
        <v>1462110.36</v>
      </c>
      <c r="F8" s="78">
        <f>'Costos totales'!F42</f>
        <v>1462110.36</v>
      </c>
      <c r="G8" s="78">
        <f>'Costos totales'!G42</f>
        <v>1462110.36</v>
      </c>
    </row>
    <row r="9" spans="1:7" x14ac:dyDescent="0.2">
      <c r="B9" s="12"/>
      <c r="C9" s="79"/>
      <c r="D9" s="80"/>
      <c r="E9" s="80"/>
      <c r="F9" s="80"/>
      <c r="G9" s="80"/>
    </row>
    <row r="10" spans="1:7" x14ac:dyDescent="0.2">
      <c r="B10" s="284" t="s">
        <v>39</v>
      </c>
      <c r="C10" s="283">
        <f>C7-C8</f>
        <v>553889.6399999999</v>
      </c>
      <c r="D10" s="283">
        <f t="shared" ref="D10:G10" si="0">D7-D8</f>
        <v>553889.6399999999</v>
      </c>
      <c r="E10" s="283">
        <f t="shared" si="0"/>
        <v>553889.6399999999</v>
      </c>
      <c r="F10" s="283">
        <f t="shared" si="0"/>
        <v>553889.6399999999</v>
      </c>
      <c r="G10" s="283">
        <f t="shared" si="0"/>
        <v>553889.6399999999</v>
      </c>
    </row>
    <row r="11" spans="1:7" x14ac:dyDescent="0.2">
      <c r="B11" s="12"/>
      <c r="C11" s="79"/>
      <c r="D11" s="80"/>
      <c r="E11" s="80"/>
      <c r="F11" s="80"/>
      <c r="G11" s="80"/>
    </row>
    <row r="12" spans="1:7" x14ac:dyDescent="0.2">
      <c r="B12" s="284" t="s">
        <v>40</v>
      </c>
      <c r="C12" s="283">
        <f>C7-C8</f>
        <v>553889.6399999999</v>
      </c>
      <c r="D12" s="283">
        <f>D7-D8</f>
        <v>553889.6399999999</v>
      </c>
      <c r="E12" s="283">
        <f t="shared" ref="E12:G12" si="1">E7-E8</f>
        <v>553889.6399999999</v>
      </c>
      <c r="F12" s="283">
        <f t="shared" si="1"/>
        <v>553889.6399999999</v>
      </c>
      <c r="G12" s="283">
        <f t="shared" si="1"/>
        <v>553889.6399999999</v>
      </c>
    </row>
    <row r="13" spans="1:7" x14ac:dyDescent="0.2">
      <c r="B13" s="13" t="s">
        <v>168</v>
      </c>
      <c r="C13" s="79">
        <f>Deprec!I29</f>
        <v>8107.0932132132129</v>
      </c>
      <c r="D13" s="79">
        <f>C13</f>
        <v>8107.0932132132129</v>
      </c>
      <c r="E13" s="79">
        <f t="shared" ref="E13:G13" si="2">D13</f>
        <v>8107.0932132132129</v>
      </c>
      <c r="F13" s="79">
        <f t="shared" si="2"/>
        <v>8107.0932132132129</v>
      </c>
      <c r="G13" s="79">
        <f t="shared" si="2"/>
        <v>8107.0932132132129</v>
      </c>
    </row>
    <row r="14" spans="1:7" x14ac:dyDescent="0.2">
      <c r="B14" s="13" t="s">
        <v>169</v>
      </c>
      <c r="C14" s="79">
        <v>5000</v>
      </c>
      <c r="D14" s="79">
        <v>5000</v>
      </c>
      <c r="E14" s="79">
        <v>5000</v>
      </c>
      <c r="F14" s="79">
        <v>5000</v>
      </c>
      <c r="G14" s="79">
        <v>5000</v>
      </c>
    </row>
    <row r="15" spans="1:7" x14ac:dyDescent="0.2">
      <c r="B15" s="13"/>
      <c r="C15" s="79"/>
      <c r="D15" s="79"/>
      <c r="E15" s="79"/>
      <c r="F15" s="79"/>
      <c r="G15" s="79"/>
    </row>
    <row r="16" spans="1:7" x14ac:dyDescent="0.2">
      <c r="B16" s="13"/>
      <c r="C16" s="79"/>
      <c r="D16" s="80"/>
      <c r="E16" s="80"/>
      <c r="F16" s="80"/>
      <c r="G16" s="80"/>
    </row>
    <row r="17" spans="1:7" x14ac:dyDescent="0.2">
      <c r="B17" s="13"/>
      <c r="C17" s="81"/>
      <c r="D17" s="80"/>
      <c r="E17" s="80"/>
      <c r="F17" s="80"/>
      <c r="G17" s="80"/>
    </row>
    <row r="18" spans="1:7" x14ac:dyDescent="0.2">
      <c r="B18" s="284" t="s">
        <v>41</v>
      </c>
      <c r="C18" s="283">
        <f>C12-(C13+C14+C15+C16+C17)</f>
        <v>540782.54678678664</v>
      </c>
      <c r="D18" s="283">
        <f>D12-(D13+D14+D15+D16+D17)</f>
        <v>540782.54678678664</v>
      </c>
      <c r="E18" s="283">
        <f t="shared" ref="E18:G18" si="3">E12-(E13+E14+E15+E16+E17)</f>
        <v>540782.54678678664</v>
      </c>
      <c r="F18" s="283">
        <f t="shared" si="3"/>
        <v>540782.54678678664</v>
      </c>
      <c r="G18" s="283">
        <f t="shared" si="3"/>
        <v>540782.54678678664</v>
      </c>
    </row>
    <row r="19" spans="1:7" x14ac:dyDescent="0.2">
      <c r="A19" s="285">
        <v>0.16</v>
      </c>
      <c r="B19" s="12" t="s">
        <v>170</v>
      </c>
      <c r="C19" s="286">
        <f>C12*$A$19</f>
        <v>88622.34239999998</v>
      </c>
      <c r="D19" s="286">
        <f>D12*$A$19</f>
        <v>88622.34239999998</v>
      </c>
      <c r="E19" s="286">
        <f t="shared" ref="E19:G19" si="4">E12*$A$19</f>
        <v>88622.34239999998</v>
      </c>
      <c r="F19" s="286">
        <f t="shared" si="4"/>
        <v>88622.34239999998</v>
      </c>
      <c r="G19" s="286">
        <f t="shared" si="4"/>
        <v>88622.34239999998</v>
      </c>
    </row>
    <row r="20" spans="1:7" x14ac:dyDescent="0.2">
      <c r="A20" s="285">
        <v>0.3</v>
      </c>
      <c r="B20" s="12" t="s">
        <v>171</v>
      </c>
      <c r="C20" s="287">
        <f>C12*$A$20</f>
        <v>166166.89199999996</v>
      </c>
      <c r="D20" s="287">
        <f t="shared" ref="D20:G20" si="5">D12*$A$20</f>
        <v>166166.89199999996</v>
      </c>
      <c r="E20" s="287">
        <f t="shared" si="5"/>
        <v>166166.89199999996</v>
      </c>
      <c r="F20" s="287">
        <f t="shared" si="5"/>
        <v>166166.89199999996</v>
      </c>
      <c r="G20" s="287">
        <f t="shared" si="5"/>
        <v>166166.89199999996</v>
      </c>
    </row>
    <row r="21" spans="1:7" x14ac:dyDescent="0.2">
      <c r="A21" s="285">
        <v>0</v>
      </c>
      <c r="B21" s="12" t="s">
        <v>42</v>
      </c>
      <c r="C21" s="287">
        <f>C12*$A$21</f>
        <v>0</v>
      </c>
      <c r="D21" s="287">
        <f t="shared" ref="D21:G21" si="6">D12*$A$21</f>
        <v>0</v>
      </c>
      <c r="E21" s="287">
        <f t="shared" si="6"/>
        <v>0</v>
      </c>
      <c r="F21" s="287">
        <f t="shared" si="6"/>
        <v>0</v>
      </c>
      <c r="G21" s="287">
        <f t="shared" si="6"/>
        <v>0</v>
      </c>
    </row>
    <row r="22" spans="1:7" x14ac:dyDescent="0.2">
      <c r="B22" s="12"/>
      <c r="C22" s="79"/>
      <c r="D22" s="79"/>
      <c r="E22" s="79"/>
      <c r="F22" s="79"/>
      <c r="G22" s="79"/>
    </row>
    <row r="23" spans="1:7" x14ac:dyDescent="0.2">
      <c r="B23" s="284" t="s">
        <v>43</v>
      </c>
      <c r="C23" s="283">
        <f>C18-(C19+C20+C21)</f>
        <v>285993.31238678668</v>
      </c>
      <c r="D23" s="283">
        <f t="shared" ref="D23:G23" si="7">D18-(D19+D20+D21)</f>
        <v>285993.31238678668</v>
      </c>
      <c r="E23" s="283">
        <f t="shared" si="7"/>
        <v>285993.31238678668</v>
      </c>
      <c r="F23" s="283">
        <f t="shared" si="7"/>
        <v>285993.31238678668</v>
      </c>
      <c r="G23" s="283">
        <f t="shared" si="7"/>
        <v>285993.31238678668</v>
      </c>
    </row>
    <row r="24" spans="1:7" x14ac:dyDescent="0.2">
      <c r="B24" s="11" t="s">
        <v>71</v>
      </c>
      <c r="C24" s="288">
        <f>C23/6</f>
        <v>47665.552064464449</v>
      </c>
      <c r="D24" s="288">
        <f t="shared" ref="D24:G24" si="8">D23/6</f>
        <v>47665.552064464449</v>
      </c>
      <c r="E24" s="288">
        <f t="shared" si="8"/>
        <v>47665.552064464449</v>
      </c>
      <c r="F24" s="288">
        <f t="shared" si="8"/>
        <v>47665.552064464449</v>
      </c>
      <c r="G24" s="288">
        <f t="shared" si="8"/>
        <v>47665.552064464449</v>
      </c>
    </row>
    <row r="25" spans="1:7" ht="13.5" thickBot="1" x14ac:dyDescent="0.25">
      <c r="C25" s="82"/>
      <c r="D25" s="82"/>
      <c r="E25" s="82"/>
      <c r="F25" s="82"/>
      <c r="G25" s="82"/>
    </row>
    <row r="26" spans="1:7" ht="19.5" customHeight="1" thickBot="1" x14ac:dyDescent="0.3">
      <c r="B26" s="569" t="s">
        <v>44</v>
      </c>
      <c r="C26" s="570">
        <f>C8+C13+C14+C15+C16+C17+C19+C20+C21</f>
        <v>1730006.6876132132</v>
      </c>
      <c r="D26" s="570">
        <f t="shared" ref="D26:G26" si="9">D8+D13+D14+D15+D16+D17+D19+D20+D21</f>
        <v>1730006.6876132132</v>
      </c>
      <c r="E26" s="570">
        <f t="shared" si="9"/>
        <v>1730006.6876132132</v>
      </c>
      <c r="F26" s="570">
        <f t="shared" si="9"/>
        <v>1730006.6876132132</v>
      </c>
      <c r="G26" s="570">
        <f t="shared" si="9"/>
        <v>1730006.6876132132</v>
      </c>
    </row>
    <row r="27" spans="1:7" ht="13.5" thickBot="1" x14ac:dyDescent="0.25">
      <c r="C27" s="82"/>
      <c r="D27" s="82"/>
      <c r="E27" s="82"/>
      <c r="F27" s="82"/>
      <c r="G27" s="82"/>
    </row>
    <row r="28" spans="1:7" ht="17.25" customHeight="1" thickBot="1" x14ac:dyDescent="0.25">
      <c r="B28" s="572" t="s">
        <v>218</v>
      </c>
      <c r="C28" s="573"/>
      <c r="D28" s="574"/>
      <c r="E28" s="574"/>
      <c r="F28" s="574"/>
      <c r="G28" s="575"/>
    </row>
    <row r="29" spans="1:7" ht="17.25" customHeight="1" thickBot="1" x14ac:dyDescent="0.25">
      <c r="B29" s="576" t="s">
        <v>172</v>
      </c>
      <c r="C29" s="571">
        <f>C23/(C26)</f>
        <v>0.16531341435526736</v>
      </c>
      <c r="D29" s="571">
        <f>D23/(D26)</f>
        <v>0.16531341435526736</v>
      </c>
      <c r="E29" s="571">
        <f t="shared" ref="E29:G29" si="10">E23/(E26)</f>
        <v>0.16531341435526736</v>
      </c>
      <c r="F29" s="571">
        <f t="shared" si="10"/>
        <v>0.16531341435526736</v>
      </c>
      <c r="G29" s="571">
        <f t="shared" si="10"/>
        <v>0.16531341435526736</v>
      </c>
    </row>
    <row r="30" spans="1:7" ht="17.25" customHeight="1" thickBot="1" x14ac:dyDescent="0.25">
      <c r="B30" s="576" t="s">
        <v>213</v>
      </c>
      <c r="C30" s="640">
        <f>C23/C7</f>
        <v>0.14186176209662038</v>
      </c>
      <c r="D30" s="641"/>
      <c r="E30" s="641"/>
      <c r="F30" s="641"/>
      <c r="G30" s="642"/>
    </row>
  </sheetData>
  <mergeCells count="5">
    <mergeCell ref="B2:G2"/>
    <mergeCell ref="C30:G30"/>
    <mergeCell ref="B4:B5"/>
    <mergeCell ref="C4:G4"/>
    <mergeCell ref="B3:G3"/>
  </mergeCells>
  <hyperlinks>
    <hyperlink ref="A1" location="Portada!A29" display="INDICE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Portada</vt:lpstr>
      <vt:lpstr>Memoria</vt:lpstr>
      <vt:lpstr>Inversiones</vt:lpstr>
      <vt:lpstr>Proyeccion costos</vt:lpstr>
      <vt:lpstr>Costos totales</vt:lpstr>
      <vt:lpstr>Ingresos</vt:lpstr>
      <vt:lpstr>CDT</vt:lpstr>
      <vt:lpstr>Punto equilibrio</vt:lpstr>
      <vt:lpstr>EdoRes</vt:lpstr>
      <vt:lpstr>Rentab</vt:lpstr>
      <vt:lpstr>Rec</vt:lpstr>
      <vt:lpstr>Deprec</vt:lpstr>
      <vt:lpstr>Hoja1</vt:lpstr>
      <vt:lpstr>formulacion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1</dc:title>
  <dc:creator>ISRAEL VARGAS</dc:creator>
  <cp:keywords>FINANZAS</cp:keywords>
  <cp:lastModifiedBy>Edsel Barbosa Gonzalez</cp:lastModifiedBy>
  <cp:lastPrinted>2011-08-04T16:28:36Z</cp:lastPrinted>
  <dcterms:created xsi:type="dcterms:W3CDTF">2010-06-24T03:15:13Z</dcterms:created>
  <dcterms:modified xsi:type="dcterms:W3CDTF">2015-01-02T21:48:23Z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