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Dropbox\Meetings\OASYS schools\ALS_May2023\APS_ISN_beamline\"/>
    </mc:Choice>
  </mc:AlternateContent>
  <xr:revisionPtr revIDLastSave="0" documentId="13_ncr:1_{FC49BB00-0DB6-4B8E-B2FB-FA734825650F}" xr6:coauthVersionLast="47" xr6:coauthVersionMax="47" xr10:uidLastSave="{00000000-0000-0000-0000-000000000000}"/>
  <bookViews>
    <workbookView xWindow="-110" yWindow="-110" windowWidth="34620" windowHeight="14160" xr2:uid="{00000000-000D-0000-FFFF-FFFF00000000}"/>
  </bookViews>
  <sheets>
    <sheet name="IS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E18" i="1" s="1"/>
  <c r="E15" i="1"/>
  <c r="E17" i="1" s="1"/>
  <c r="B2" i="1"/>
  <c r="H11" i="1" s="1"/>
  <c r="E2" i="1"/>
  <c r="E4" i="1" s="1"/>
  <c r="E13" i="1" s="1"/>
  <c r="E24" i="1" l="1"/>
  <c r="B22" i="1" s="1"/>
  <c r="E26" i="1"/>
  <c r="E1" i="1"/>
  <c r="E3" i="1" s="1"/>
  <c r="E7" i="1" s="1"/>
  <c r="H7" i="1"/>
  <c r="E6" i="1"/>
  <c r="E14" i="1" s="1"/>
  <c r="H3" i="1" l="1"/>
  <c r="H12" i="1"/>
  <c r="E5" i="1"/>
  <c r="H8" i="1"/>
  <c r="E11" i="1"/>
  <c r="E9" i="1"/>
  <c r="E8" i="1" l="1"/>
  <c r="E10" i="1" s="1"/>
  <c r="H4" i="1"/>
  <c r="H5" i="1" s="1"/>
  <c r="E23" i="1"/>
  <c r="E19" i="1"/>
  <c r="E21" i="1" s="1"/>
  <c r="B24" i="1" s="1"/>
  <c r="E12" i="1" l="1"/>
  <c r="E25" i="1" s="1"/>
  <c r="E20" i="1" l="1"/>
  <c r="E22" i="1" l="1"/>
  <c r="B25" i="1" s="1"/>
  <c r="B26" i="1" s="1"/>
  <c r="B23" i="1"/>
</calcChain>
</file>

<file path=xl/sharedStrings.xml><?xml version="1.0" encoding="utf-8"?>
<sst xmlns="http://schemas.openxmlformats.org/spreadsheetml/2006/main" count="58" uniqueCount="58">
  <si>
    <t>Energy (keV)</t>
  </si>
  <si>
    <t>lambda (nm)</t>
  </si>
  <si>
    <t>Beamline length (m)</t>
  </si>
  <si>
    <t>M3, H position (m)</t>
  </si>
  <si>
    <t>M2, V position (m)</t>
  </si>
  <si>
    <t>Horizontal transmission</t>
  </si>
  <si>
    <t>Vertical transmission</t>
  </si>
  <si>
    <t>div_geo rms (H) (μrad)</t>
  </si>
  <si>
    <t>div_geo rms (V) (μrad)</t>
  </si>
  <si>
    <t>Lc, H (μm)</t>
  </si>
  <si>
    <t>Lc, V (μm)</t>
  </si>
  <si>
    <t xml:space="preserve">SSA acceptance (H) </t>
  </si>
  <si>
    <t xml:space="preserve">SSA acceptance (V) </t>
  </si>
  <si>
    <t>2nd source size rms (h) (μm)</t>
  </si>
  <si>
    <t>2rd source size rms (v) (μm)</t>
  </si>
  <si>
    <t>div_diff rms (H) (μrad)</t>
  </si>
  <si>
    <t>div_diff rms (V) (μrad)</t>
  </si>
  <si>
    <t>2nd source div rms (h) (μrad)</t>
  </si>
  <si>
    <t>2rd source div rms (v) (μrad)</t>
  </si>
  <si>
    <t>beam size at KBH rms (h) (μm)</t>
  </si>
  <si>
    <t>beam size at KBV rms (v) (μm)</t>
  </si>
  <si>
    <t>KBH acceptance</t>
  </si>
  <si>
    <t>KBV acceptance</t>
  </si>
  <si>
    <t>focal size_geo FWHM (h) (nm)</t>
  </si>
  <si>
    <t>focal size_diff FWHM (h) (nm)</t>
  </si>
  <si>
    <t>focal size_geo FWHM (v) (nm)</t>
  </si>
  <si>
    <t>focal size_diff FWHM (v) (nm)</t>
  </si>
  <si>
    <t>BDA, H position (m)</t>
  </si>
  <si>
    <t>BDA, V position (m)</t>
  </si>
  <si>
    <t>beam size at BDA rms (H) (μm)</t>
  </si>
  <si>
    <t>beam size at BDA rms (V) (μm)</t>
  </si>
  <si>
    <t>BDA size (H) (μm)</t>
  </si>
  <si>
    <t>BDA size (V) (μm)</t>
  </si>
  <si>
    <t>Undulator length L (m)</t>
  </si>
  <si>
    <t>Electron σ_x (um)</t>
  </si>
  <si>
    <t>Electron σ_x' (urad)</t>
  </si>
  <si>
    <t>Electron σ_y (um)</t>
  </si>
  <si>
    <t>Electron σ_y' (urad)</t>
  </si>
  <si>
    <t>Photon σ_r (um)</t>
  </si>
  <si>
    <t>Photon σ_r' (urad)</t>
  </si>
  <si>
    <t>Total source Σ_x (um)</t>
  </si>
  <si>
    <t>Total source Σ_x' (urad)</t>
  </si>
  <si>
    <t>Total source Σ_y (um)</t>
  </si>
  <si>
    <t>Total source Σ_y' (urad)</t>
  </si>
  <si>
    <t>Results</t>
  </si>
  <si>
    <t>q KBH (mm)</t>
  </si>
  <si>
    <t>q KBV (mm)</t>
  </si>
  <si>
    <t>Mirror angle (mrad)</t>
  </si>
  <si>
    <t>Horizontal coherence degree</t>
  </si>
  <si>
    <t>Vertical coherence degree</t>
  </si>
  <si>
    <t>Coherence degree</t>
  </si>
  <si>
    <t>Required BDA size (H) (μm)</t>
  </si>
  <si>
    <t>Required BDA size (V) (μm)</t>
  </si>
  <si>
    <t>Focal size FWHM (h) (nm)</t>
  </si>
  <si>
    <t>Focal size FWHM (v) (nm)</t>
  </si>
  <si>
    <t>KBH mirror length (mm)</t>
  </si>
  <si>
    <t>KBV mirror length (mm)</t>
  </si>
  <si>
    <t>Total transmission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</si>
</sst>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left"/>
    </xf>
    <xf numFmtId="2" fontId="0" fillId="3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164" fontId="0" fillId="2" borderId="1" xfId="0" applyNumberFormat="1" applyFill="1" applyBorder="1" applyAlignment="1">
      <alignment horizontal="center"/>
    </xf>
    <xf numFmtId="0" fontId="0" fillId="3" borderId="1" xfId="1" applyNumberFormat="1" applyFon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166" fontId="1" fillId="2" borderId="1" xfId="1" applyNumberFormat="1" applyFont="1" applyFill="1" applyBorder="1" applyAlignment="1">
      <alignment horizontal="center"/>
    </xf>
    <xf numFmtId="10" fontId="1" fillId="2" borderId="1" xfId="1" applyNumberFormat="1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left"/>
    </xf>
    <xf numFmtId="165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left"/>
    </xf>
    <xf numFmtId="0" fontId="3" fillId="4" borderId="1" xfId="0" applyFont="1" applyFill="1" applyBorder="1"/>
    <xf numFmtId="0" fontId="3" fillId="4" borderId="1" xfId="0" applyFont="1" applyFill="1" applyBorder="1" applyAlignment="1">
      <alignment horizontal="left"/>
    </xf>
    <xf numFmtId="0" fontId="2" fillId="4" borderId="1" xfId="0" applyFont="1" applyFill="1" applyBorder="1"/>
    <xf numFmtId="164" fontId="2" fillId="4" borderId="1" xfId="0" applyNumberFormat="1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left"/>
    </xf>
    <xf numFmtId="166" fontId="2" fillId="4" borderId="1" xfId="1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10" fontId="2" fillId="4" borderId="1" xfId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3"/>
  <sheetViews>
    <sheetView tabSelected="1" workbookViewId="0">
      <selection activeCell="G19" sqref="G19"/>
    </sheetView>
  </sheetViews>
  <sheetFormatPr defaultRowHeight="14.5" x14ac:dyDescent="0.35"/>
  <cols>
    <col min="1" max="1" width="26.6328125" style="2" bestFit="1" customWidth="1"/>
    <col min="2" max="2" width="12.08984375" style="2" bestFit="1" customWidth="1"/>
    <col min="3" max="3" width="4.08984375" customWidth="1"/>
    <col min="4" max="4" width="26.6328125" bestFit="1" customWidth="1"/>
    <col min="5" max="5" width="8.36328125" bestFit="1" customWidth="1"/>
    <col min="6" max="6" width="3.36328125" customWidth="1"/>
    <col min="7" max="7" width="26.6328125" bestFit="1" customWidth="1"/>
    <col min="8" max="8" width="6.54296875" customWidth="1"/>
  </cols>
  <sheetData>
    <row r="1" spans="1:8" x14ac:dyDescent="0.35">
      <c r="A1" s="4" t="s">
        <v>0</v>
      </c>
      <c r="B1" s="5">
        <v>25</v>
      </c>
      <c r="D1" s="10" t="s">
        <v>38</v>
      </c>
      <c r="E1" s="15">
        <f>SQRT(2*(0.00000000123984/B1)*B3)/2/PI()*1000000</f>
        <v>3.3995925023588747</v>
      </c>
    </row>
    <row r="2" spans="1:8" x14ac:dyDescent="0.35">
      <c r="A2" s="4" t="s">
        <v>1</v>
      </c>
      <c r="B2" s="5">
        <f>1239.84/B1/1000</f>
        <v>4.9593599999999995E-2</v>
      </c>
      <c r="D2" s="10" t="s">
        <v>39</v>
      </c>
      <c r="E2" s="15">
        <f>SQRT((0.00000000123984/B1)/2/B3)*1000000</f>
        <v>2.3217684414368662</v>
      </c>
    </row>
    <row r="3" spans="1:8" x14ac:dyDescent="0.35">
      <c r="A3" s="4" t="s">
        <v>33</v>
      </c>
      <c r="B3" s="5">
        <v>4.5999999999999996</v>
      </c>
      <c r="D3" s="10" t="s">
        <v>40</v>
      </c>
      <c r="E3" s="12">
        <f>SQRT(B4^2+E1^2)</f>
        <v>15.18542818566848</v>
      </c>
      <c r="G3" s="11" t="s">
        <v>48</v>
      </c>
      <c r="H3" s="16">
        <f>B2/(E3*E4)/4/PI()*1000</f>
        <v>7.1449437822357853E-2</v>
      </c>
    </row>
    <row r="4" spans="1:8" x14ac:dyDescent="0.35">
      <c r="A4" s="4" t="s">
        <v>34</v>
      </c>
      <c r="B4" s="6">
        <v>14.8</v>
      </c>
      <c r="D4" s="10" t="s">
        <v>41</v>
      </c>
      <c r="E4" s="12">
        <f>SQRT(B5^2+E2^2)</f>
        <v>3.6373903688842875</v>
      </c>
      <c r="G4" s="11" t="s">
        <v>49</v>
      </c>
      <c r="H4" s="16">
        <f>B2/(E5*E6)/4/PI()*1000</f>
        <v>0.28414821387939598</v>
      </c>
    </row>
    <row r="5" spans="1:8" x14ac:dyDescent="0.35">
      <c r="A5" s="4" t="s">
        <v>35</v>
      </c>
      <c r="B5" s="6">
        <v>2.8</v>
      </c>
      <c r="D5" s="10" t="s">
        <v>42</v>
      </c>
      <c r="E5" s="12">
        <f>SQRT(B6^2+E1^2)</f>
        <v>5.0246620963100277</v>
      </c>
      <c r="G5" s="10" t="s">
        <v>50</v>
      </c>
      <c r="H5" s="17">
        <f>H3*H4</f>
        <v>2.0302230139909946E-2</v>
      </c>
    </row>
    <row r="6" spans="1:8" x14ac:dyDescent="0.35">
      <c r="A6" s="4" t="s">
        <v>36</v>
      </c>
      <c r="B6" s="6">
        <v>3.7</v>
      </c>
      <c r="D6" s="10" t="s">
        <v>43</v>
      </c>
      <c r="E6" s="12">
        <f>SQRT(B7^2+E2^2)</f>
        <v>2.7641650992030442</v>
      </c>
    </row>
    <row r="7" spans="1:8" x14ac:dyDescent="0.35">
      <c r="A7" s="4" t="s">
        <v>37</v>
      </c>
      <c r="B7" s="6">
        <v>1.5</v>
      </c>
      <c r="D7" s="18" t="s">
        <v>29</v>
      </c>
      <c r="E7" s="15">
        <f>E3*(B11-B9)/B9</f>
        <v>13.398907222648658</v>
      </c>
      <c r="G7" s="10" t="s">
        <v>9</v>
      </c>
      <c r="H7" s="12">
        <f>B2/2/SQRT(2*PI())/E13*1000</f>
        <v>2.3997065127538155</v>
      </c>
    </row>
    <row r="8" spans="1:8" x14ac:dyDescent="0.35">
      <c r="A8" s="7" t="s">
        <v>2</v>
      </c>
      <c r="B8" s="6">
        <v>220</v>
      </c>
      <c r="D8" s="18" t="s">
        <v>30</v>
      </c>
      <c r="E8" s="15">
        <f>E5*(B12-B10)/B10</f>
        <v>4.5048694656572659</v>
      </c>
      <c r="G8" s="10" t="s">
        <v>10</v>
      </c>
      <c r="H8" s="12">
        <f>B2/2/SQRT(2*PI())/E14*1000</f>
        <v>3.208611058066595</v>
      </c>
    </row>
    <row r="9" spans="1:8" x14ac:dyDescent="0.35">
      <c r="A9" s="9" t="s">
        <v>3</v>
      </c>
      <c r="B9" s="6">
        <v>34</v>
      </c>
      <c r="D9" s="11" t="s">
        <v>11</v>
      </c>
      <c r="E9" s="15">
        <f>ERF(B13/(E7)/2/SQRT(2))</f>
        <v>0.39862948959792166</v>
      </c>
    </row>
    <row r="10" spans="1:8" x14ac:dyDescent="0.35">
      <c r="A10" s="9" t="s">
        <v>4</v>
      </c>
      <c r="B10" s="6">
        <v>29</v>
      </c>
      <c r="D10" s="11" t="s">
        <v>12</v>
      </c>
      <c r="E10" s="15">
        <f>ERF(B14/(E8)/2/SQRT(2))</f>
        <v>0.34293140949950374</v>
      </c>
    </row>
    <row r="11" spans="1:8" x14ac:dyDescent="0.35">
      <c r="A11" s="9" t="s">
        <v>27</v>
      </c>
      <c r="B11" s="6">
        <v>64</v>
      </c>
      <c r="D11" s="10" t="s">
        <v>13</v>
      </c>
      <c r="E11" s="15">
        <f>MIN(E7,B13/SQRT(2*PI()))</f>
        <v>5.585191925620058</v>
      </c>
      <c r="G11" s="11" t="s">
        <v>51</v>
      </c>
      <c r="H11" s="12">
        <f>0.5*B2*(B8-B11)/(B15*B19)*1000</f>
        <v>12.378562559999999</v>
      </c>
    </row>
    <row r="12" spans="1:8" x14ac:dyDescent="0.35">
      <c r="A12" s="9" t="s">
        <v>28</v>
      </c>
      <c r="B12" s="6">
        <v>55</v>
      </c>
      <c r="D12" s="10" t="s">
        <v>14</v>
      </c>
      <c r="E12" s="15">
        <f>MIN(E8,B14/SQRT(2*PI()))</f>
        <v>1.5957691216057308</v>
      </c>
      <c r="G12" s="11" t="s">
        <v>52</v>
      </c>
      <c r="H12" s="12">
        <f>0.5*B2*(B8-B12)/(B16*B19)*1000</f>
        <v>4.0914719999999996</v>
      </c>
    </row>
    <row r="13" spans="1:8" x14ac:dyDescent="0.35">
      <c r="A13" s="3" t="s">
        <v>31</v>
      </c>
      <c r="B13" s="8">
        <v>14</v>
      </c>
      <c r="D13" s="11" t="s">
        <v>7</v>
      </c>
      <c r="E13" s="15">
        <f>E4/(B11-B9)*B9</f>
        <v>4.1223757514021928</v>
      </c>
    </row>
    <row r="14" spans="1:8" x14ac:dyDescent="0.35">
      <c r="A14" s="3" t="s">
        <v>32</v>
      </c>
      <c r="B14" s="8">
        <v>4</v>
      </c>
      <c r="D14" s="11" t="s">
        <v>8</v>
      </c>
      <c r="E14" s="15">
        <f>E6/(B12-B10)*B10</f>
        <v>3.0831072260341648</v>
      </c>
    </row>
    <row r="15" spans="1:8" x14ac:dyDescent="0.35">
      <c r="A15" s="4" t="s">
        <v>55</v>
      </c>
      <c r="B15" s="13">
        <v>125</v>
      </c>
      <c r="D15" s="20" t="s">
        <v>15</v>
      </c>
      <c r="E15" s="15">
        <f>0.88*B2/B13/0.001/2.355</f>
        <v>1.3236993630573246</v>
      </c>
    </row>
    <row r="16" spans="1:8" x14ac:dyDescent="0.35">
      <c r="A16" s="4" t="s">
        <v>56</v>
      </c>
      <c r="B16" s="13">
        <v>400</v>
      </c>
      <c r="D16" s="20" t="s">
        <v>16</v>
      </c>
      <c r="E16" s="15">
        <f>0.88*B2/B14/0.001/2.355</f>
        <v>4.6329477707006363</v>
      </c>
    </row>
    <row r="17" spans="1:5" x14ac:dyDescent="0.35">
      <c r="A17" s="4" t="s">
        <v>45</v>
      </c>
      <c r="B17" s="13">
        <v>125.5</v>
      </c>
      <c r="D17" s="10" t="s">
        <v>17</v>
      </c>
      <c r="E17" s="15">
        <f>IF(B13&lt;E7*4,SQRT(E13^2+E15^2),E13)</f>
        <v>4.3296838036405338</v>
      </c>
    </row>
    <row r="18" spans="1:5" x14ac:dyDescent="0.35">
      <c r="A18" s="4" t="s">
        <v>46</v>
      </c>
      <c r="B18" s="14">
        <v>396</v>
      </c>
      <c r="D18" s="10" t="s">
        <v>18</v>
      </c>
      <c r="E18" s="15">
        <f>IF(B14&lt;4*E8,SQRT(E14^2+E16^2),E14)</f>
        <v>5.5650476380049145</v>
      </c>
    </row>
    <row r="19" spans="1:5" x14ac:dyDescent="0.35">
      <c r="A19" s="4" t="s">
        <v>47</v>
      </c>
      <c r="B19" s="6">
        <v>2.5</v>
      </c>
      <c r="D19" s="10" t="s">
        <v>19</v>
      </c>
      <c r="E19" s="12">
        <f>SQRT(E11^2+E17^2*(B8-B11)^2)</f>
        <v>675.4537651794476</v>
      </c>
    </row>
    <row r="20" spans="1:5" x14ac:dyDescent="0.35">
      <c r="D20" s="10" t="s">
        <v>20</v>
      </c>
      <c r="E20" s="12">
        <f>SQRT(E12^2+E18^2*(B8-B12)^2)</f>
        <v>918.23424688921511</v>
      </c>
    </row>
    <row r="21" spans="1:5" x14ac:dyDescent="0.35">
      <c r="A21" s="22" t="s">
        <v>44</v>
      </c>
      <c r="B21" s="21"/>
      <c r="D21" s="20" t="s">
        <v>21</v>
      </c>
      <c r="E21" s="19">
        <f>ERF((B15*B19)/(E19)/2/SQRT(2))</f>
        <v>0.18293843034631513</v>
      </c>
    </row>
    <row r="22" spans="1:5" x14ac:dyDescent="0.35">
      <c r="A22" s="23" t="s">
        <v>53</v>
      </c>
      <c r="B22" s="24">
        <f>IF(B15*B19&lt;4*E19,SQRT(E23^2+E24^2),E23)</f>
        <v>20.473310674341764</v>
      </c>
      <c r="D22" s="10" t="s">
        <v>22</v>
      </c>
      <c r="E22" s="19">
        <f>ERF((B16*B19)/(E20)/2/SQRT(2))</f>
        <v>0.41391862408739988</v>
      </c>
    </row>
    <row r="23" spans="1:5" x14ac:dyDescent="0.35">
      <c r="A23" s="23" t="s">
        <v>54</v>
      </c>
      <c r="B23" s="24">
        <f>IF(B16*B19&lt;4*E20,SQRT(E25^2+E26^2),E25)</f>
        <v>19.494309920595423</v>
      </c>
      <c r="D23" s="10" t="s">
        <v>23</v>
      </c>
      <c r="E23" s="15">
        <f>E11*B17/(B8-B11)*2.355</f>
        <v>10.581522029466809</v>
      </c>
    </row>
    <row r="24" spans="1:5" x14ac:dyDescent="0.35">
      <c r="A24" s="25" t="s">
        <v>5</v>
      </c>
      <c r="B24" s="26">
        <f>E21*E9</f>
        <v>7.2924653116796537E-2</v>
      </c>
      <c r="D24" s="10" t="s">
        <v>24</v>
      </c>
      <c r="E24" s="15">
        <f>0.88*B2*B17/(B15*B19)/0.001</f>
        <v>17.526774988799996</v>
      </c>
    </row>
    <row r="25" spans="1:5" x14ac:dyDescent="0.35">
      <c r="A25" s="25" t="s">
        <v>6</v>
      </c>
      <c r="B25" s="26">
        <f>E22*E10</f>
        <v>0.14194569717638728</v>
      </c>
      <c r="D25" s="10" t="s">
        <v>25</v>
      </c>
      <c r="E25" s="15">
        <f>E12*B18/(B8-B12)*2.355</f>
        <v>9.0192870753155905</v>
      </c>
    </row>
    <row r="26" spans="1:5" x14ac:dyDescent="0.35">
      <c r="A26" s="27" t="s">
        <v>57</v>
      </c>
      <c r="B26" s="28">
        <f>B24*B25</f>
        <v>1.0351340728009887E-2</v>
      </c>
      <c r="D26" s="10" t="s">
        <v>26</v>
      </c>
      <c r="E26" s="15">
        <f>0.88*B2*B18/(B16*B19)/0.001</f>
        <v>17.282377727999993</v>
      </c>
    </row>
    <row r="50" spans="1:2" x14ac:dyDescent="0.35">
      <c r="A50"/>
      <c r="B50"/>
    </row>
    <row r="51" spans="1:2" x14ac:dyDescent="0.35">
      <c r="A51"/>
      <c r="B51"/>
    </row>
    <row r="52" spans="1:2" x14ac:dyDescent="0.35">
      <c r="A52"/>
      <c r="B52"/>
    </row>
    <row r="53" spans="1:2" x14ac:dyDescent="0.35">
      <c r="B5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Xianbo Shi</dc:creator>
  <cp:lastModifiedBy>Xianbo Shi</cp:lastModifiedBy>
  <dcterms:created xsi:type="dcterms:W3CDTF">2015-06-05T18:17:20Z</dcterms:created>
  <dcterms:modified xsi:type="dcterms:W3CDTF">2023-05-25T16:36:57Z</dcterms:modified>
</cp:coreProperties>
</file>