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30\Documents\1 - Tarefas\01 - E&amp;P Competências\Curso\BI MASTER\Dissertação\"/>
    </mc:Choice>
  </mc:AlternateContent>
  <xr:revisionPtr revIDLastSave="0" documentId="13_ncr:1_{91A6ED49-0E94-4ECC-BBB6-09CE84E7D18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Calculo!$I$6:$J$6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Calculo!$AF$6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Calculo!$I$6</definedName>
    <definedName name="solver_lhs3" localSheetId="1" hidden="1">Avaliação!$A$4</definedName>
    <definedName name="solver_lhs3" localSheetId="0" hidden="1">Calculo!$I$6</definedName>
    <definedName name="solver_lhs4" localSheetId="1" hidden="1">Avaliação!$A$4</definedName>
    <definedName name="solver_lhs4" localSheetId="0" hidden="1">Calculo!$J$6</definedName>
    <definedName name="solver_lhs5" localSheetId="1" hidden="1">Avaliação!$AA$3</definedName>
    <definedName name="solver_lhs5" localSheetId="0" hidden="1">Calculo!$J$6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Calculo!#REF!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6" i="9" l="1"/>
  <c r="AW6" i="9" s="1"/>
  <c r="AX6" i="9" s="1"/>
  <c r="AU4" i="9"/>
  <c r="AW4" i="9" s="1"/>
  <c r="AX4" i="9" s="1"/>
  <c r="AU5" i="9"/>
  <c r="AW5" i="9" s="1"/>
  <c r="AX5" i="9" s="1"/>
  <c r="AZ6" i="9"/>
  <c r="AZ5" i="9"/>
  <c r="AZ4" i="9"/>
  <c r="AZ2" i="9"/>
  <c r="AY5" i="9" s="1"/>
  <c r="AY6" i="9" l="1"/>
  <c r="AY4" i="9"/>
  <c r="AV4" i="9"/>
  <c r="BA4" i="9" s="1"/>
  <c r="BB4" i="9" s="1"/>
  <c r="AV5" i="9"/>
  <c r="BA5" i="9" s="1"/>
  <c r="AV6" i="9"/>
  <c r="BA6" i="9" s="1"/>
  <c r="H60" i="3"/>
  <c r="H59" i="3"/>
  <c r="H58" i="3"/>
  <c r="H57" i="3"/>
  <c r="H56" i="3"/>
  <c r="H55" i="3"/>
  <c r="H54" i="3"/>
  <c r="H53" i="3"/>
  <c r="H52" i="3"/>
  <c r="H51" i="3"/>
  <c r="H50" i="3"/>
  <c r="H49" i="3"/>
  <c r="H19" i="3"/>
  <c r="H20" i="3" s="1"/>
  <c r="H18" i="3"/>
  <c r="H9" i="3"/>
  <c r="BA8" i="9" l="1"/>
  <c r="BB5" i="9"/>
  <c r="BA7" i="9"/>
  <c r="BB6" i="9"/>
  <c r="C32" i="3"/>
  <c r="K6" i="9"/>
  <c r="G4" i="9"/>
  <c r="H4" i="9"/>
  <c r="G5" i="9"/>
  <c r="H5" i="9"/>
  <c r="BB7" i="9" l="1"/>
  <c r="AT6" i="9"/>
  <c r="K5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AT4" i="9" l="1"/>
  <c r="AT5" i="9"/>
  <c r="T6" i="9"/>
  <c r="S6" i="9"/>
  <c r="P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AT7" i="9" l="1"/>
  <c r="U6" i="9"/>
  <c r="V4" i="9"/>
  <c r="U4" i="9"/>
  <c r="V5" i="9"/>
  <c r="U5" i="9"/>
  <c r="V6" i="9"/>
  <c r="X5" i="9" l="1"/>
  <c r="W5" i="9"/>
  <c r="X6" i="9"/>
  <c r="W6" i="9"/>
  <c r="W4" i="9"/>
  <c r="X4" i="9"/>
  <c r="Z4" i="9" l="1"/>
  <c r="Y4" i="9"/>
  <c r="AA4" i="9" s="1"/>
  <c r="Y5" i="9" l="1"/>
  <c r="AA5" i="9" s="1"/>
  <c r="Z5" i="9"/>
  <c r="AL4" i="9"/>
  <c r="AJ4" i="9"/>
  <c r="AB4" i="9"/>
  <c r="AC4" i="9" s="1"/>
  <c r="AL5" i="9" l="1"/>
  <c r="AJ5" i="9"/>
  <c r="AB5" i="9"/>
  <c r="AC5" i="9" s="1"/>
  <c r="AD4" i="9"/>
  <c r="AS4" i="9" s="1"/>
  <c r="AE4" i="9"/>
  <c r="AF4" i="9" s="1"/>
  <c r="AI4" i="9" l="1"/>
  <c r="AD5" i="9"/>
  <c r="AS5" i="9" s="1"/>
  <c r="AE5" i="9"/>
  <c r="AF5" i="9" s="1"/>
  <c r="AP4" i="9" l="1"/>
  <c r="AK4" i="9"/>
  <c r="AI5" i="9"/>
  <c r="AP5" i="9" l="1"/>
  <c r="AK5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C31" i="3"/>
  <c r="Q6" i="9" s="1"/>
  <c r="C9" i="3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J51" i="3" s="1"/>
  <c r="E50" i="3"/>
  <c r="I50" i="3" s="1"/>
  <c r="E49" i="3"/>
  <c r="I49" i="3" s="1"/>
  <c r="F59" i="3"/>
  <c r="Q59" i="3" s="1"/>
  <c r="E59" i="3"/>
  <c r="J59" i="3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O59" i="3" l="1"/>
  <c r="K50" i="3"/>
  <c r="N59" i="3"/>
  <c r="J50" i="3"/>
  <c r="P50" i="3"/>
  <c r="K59" i="3"/>
  <c r="M50" i="3"/>
  <c r="N50" i="3"/>
  <c r="L50" i="3"/>
  <c r="Q50" i="3"/>
  <c r="P49" i="3"/>
  <c r="Q49" i="3"/>
  <c r="M49" i="3"/>
  <c r="O49" i="3"/>
  <c r="N49" i="3"/>
  <c r="D60" i="3"/>
  <c r="Q51" i="3"/>
  <c r="P51" i="3"/>
  <c r="M51" i="3"/>
  <c r="N51" i="3"/>
  <c r="L51" i="3"/>
  <c r="I51" i="3"/>
  <c r="K51" i="3"/>
  <c r="L59" i="3"/>
  <c r="I59" i="3"/>
  <c r="K49" i="3"/>
  <c r="L49" i="3"/>
  <c r="O51" i="3"/>
  <c r="J49" i="3"/>
  <c r="M59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Q52" i="3" l="1"/>
  <c r="O52" i="3"/>
  <c r="N52" i="3"/>
  <c r="M52" i="3"/>
  <c r="P52" i="3"/>
  <c r="Q60" i="3"/>
  <c r="O60" i="3"/>
  <c r="N60" i="3"/>
  <c r="M60" i="3"/>
  <c r="P60" i="3"/>
  <c r="K52" i="3"/>
  <c r="L52" i="3"/>
  <c r="J52" i="3"/>
  <c r="I52" i="3"/>
  <c r="V60" i="3"/>
  <c r="U60" i="3"/>
  <c r="T60" i="3"/>
  <c r="S60" i="3"/>
  <c r="R60" i="3"/>
  <c r="L60" i="3"/>
  <c r="I60" i="3"/>
  <c r="J60" i="3"/>
  <c r="K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F56" i="3" l="1"/>
  <c r="E56" i="3"/>
  <c r="F55" i="3"/>
  <c r="E55" i="3"/>
  <c r="F54" i="3"/>
  <c r="E54" i="3"/>
  <c r="V3" i="1"/>
  <c r="AF3" i="1" s="1"/>
  <c r="U3" i="1"/>
  <c r="W3" i="1" s="1"/>
  <c r="I54" i="3" l="1"/>
  <c r="J54" i="3"/>
  <c r="L54" i="3"/>
  <c r="K54" i="3"/>
  <c r="K56" i="3"/>
  <c r="L56" i="3"/>
  <c r="I56" i="3"/>
  <c r="J56" i="3"/>
  <c r="O54" i="3"/>
  <c r="N54" i="3"/>
  <c r="P54" i="3"/>
  <c r="Q54" i="3"/>
  <c r="M54" i="3"/>
  <c r="Q56" i="3"/>
  <c r="P56" i="3"/>
  <c r="M56" i="3"/>
  <c r="N56" i="3"/>
  <c r="O56" i="3"/>
  <c r="L55" i="3"/>
  <c r="I55" i="3"/>
  <c r="K55" i="3"/>
  <c r="J55" i="3"/>
  <c r="Q55" i="3"/>
  <c r="P55" i="3"/>
  <c r="M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C62" i="3" l="1"/>
  <c r="Q5" i="9"/>
  <c r="Q4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M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J57" i="3"/>
  <c r="K57" i="3"/>
  <c r="I57" i="3"/>
  <c r="L57" i="3"/>
  <c r="N57" i="3"/>
  <c r="O57" i="3"/>
  <c r="M57" i="3"/>
  <c r="Q57" i="3"/>
  <c r="P57" i="3"/>
  <c r="N53" i="3"/>
  <c r="Q53" i="3"/>
  <c r="O53" i="3"/>
  <c r="P53" i="3"/>
  <c r="M53" i="3"/>
  <c r="R54" i="3"/>
  <c r="V54" i="3"/>
  <c r="T54" i="3"/>
  <c r="U54" i="3"/>
  <c r="S54" i="3"/>
  <c r="R50" i="3"/>
  <c r="V50" i="3"/>
  <c r="U50" i="3"/>
  <c r="S50" i="3"/>
  <c r="T50" i="3"/>
  <c r="J53" i="3"/>
  <c r="K53" i="3"/>
  <c r="I53" i="3"/>
  <c r="L53" i="3"/>
  <c r="I58" i="3"/>
  <c r="J58" i="3"/>
  <c r="L58" i="3"/>
  <c r="K58" i="3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4" i="9" l="1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6" i="9" l="1"/>
  <c r="Z6" i="9" s="1"/>
  <c r="AL6" i="9" l="1"/>
  <c r="AJ6" i="9"/>
  <c r="D6" i="9" l="1"/>
  <c r="AO6" i="9" s="1"/>
  <c r="E6" i="9"/>
  <c r="F6" i="9" l="1"/>
  <c r="Y6" i="9" s="1"/>
  <c r="AA6" i="9" s="1"/>
  <c r="AM6" i="9" s="1"/>
  <c r="AN6" i="9" s="1"/>
  <c r="AR6" i="9" s="1"/>
  <c r="AB6" i="9" l="1"/>
  <c r="AC6" i="9" s="1"/>
  <c r="AD6" i="9" s="1"/>
  <c r="AS6" i="9" s="1"/>
  <c r="AE6" i="9" l="1"/>
  <c r="AF6" i="9" s="1"/>
  <c r="AI6" i="9"/>
  <c r="AG6" i="9"/>
  <c r="AH6" i="9" s="1"/>
  <c r="AQ6" i="9" l="1"/>
  <c r="AP6" i="9"/>
  <c r="AK6" i="9"/>
</calcChain>
</file>

<file path=xl/sharedStrings.xml><?xml version="1.0" encoding="utf-8"?>
<sst xmlns="http://schemas.openxmlformats.org/spreadsheetml/2006/main" count="643" uniqueCount="181">
  <si>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</si>
  <si>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</si>
  <si>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</si>
  <si>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</si>
  <si>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</si>
  <si>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</si>
  <si>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</si>
  <si>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</si>
  <si>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</si>
  <si>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</si>
  <si>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</si>
  <si>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</si>
  <si>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</si>
  <si>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</si>
  <si>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</si>
  <si>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</si>
  <si>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</si>
  <si>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</si>
  <si>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</si>
  <si>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</si>
  <si>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</si>
  <si>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</si>
  <si>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</si>
  <si>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</si>
  <si>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</si>
  <si>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</si>
  <si>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</si>
  <si>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</si>
  <si>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</si>
  <si>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</si>
  <si>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</si>
  <si>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</si>
  <si>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</si>
  <si>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</si>
  <si>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</si>
  <si>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</si>
  <si>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</si>
  <si>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</si>
  <si>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</si>
  <si>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</si>
  <si>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</si>
  <si>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</si>
  <si>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</si>
  <si>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</si>
  <si>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</si>
  <si>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</si>
  <si>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</si>
  <si>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</si>
  <si>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</si>
  <si>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</si>
  <si>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</si>
  <si>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</si>
  <si>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</si>
  <si>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</si>
  <si>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</si>
  <si>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</si>
  <si>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</si>
  <si>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</si>
  <si>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</si>
  <si>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</si>
  <si>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</si>
  <si>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</si>
  <si>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</si>
  <si>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</si>
  <si>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</si>
  <si>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</si>
  <si>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</si>
  <si>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</si>
  <si>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</si>
  <si>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</si>
  <si>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</si>
  <si>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</si>
  <si>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</si>
  <si>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</si>
  <si>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</si>
  <si>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</si>
  <si>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</si>
  <si>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</si>
  <si>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</si>
  <si>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</si>
  <si>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</si>
  <si>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</si>
  <si>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</si>
  <si>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</si>
  <si>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</si>
  <si>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</si>
  <si>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</si>
  <si>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</si>
  <si>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</si>
  <si>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</si>
  <si>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</si>
  <si>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</si>
  <si>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</si>
  <si>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</si>
  <si>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</si>
  <si>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</si>
  <si>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</si>
  <si>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</si>
  <si>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</si>
  <si>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</si>
  <si>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</si>
  <si>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</si>
  <si>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</si>
  <si>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</si>
  <si>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</si>
  <si>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</si>
  <si>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</si>
  <si>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</si>
  <si>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</si>
  <si>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</si>
  <si>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</si>
  <si>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</si>
  <si>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</si>
  <si>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</si>
  <si>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</si>
  <si>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</si>
  <si>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</si>
  <si>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</si>
  <si>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</si>
  <si>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</si>
  <si>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</si>
  <si>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</si>
  <si>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</si>
  <si>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</si>
  <si>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</si>
  <si>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</si>
  <si>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</si>
  <si>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</si>
  <si>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</si>
  <si>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</si>
  <si>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</si>
  <si>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</si>
  <si>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</si>
  <si>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</si>
  <si>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</si>
  <si>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</si>
  <si>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</si>
  <si>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</si>
  <si>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</si>
  <si>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</si>
  <si>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</si>
  <si>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</si>
  <si>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</si>
  <si>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</si>
  <si>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</si>
  <si>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</si>
  <si>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</si>
  <si>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</si>
  <si>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</si>
  <si>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</si>
  <si>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</si>
  <si>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</si>
  <si>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</si>
  <si>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</si>
  <si>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</si>
  <si>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</si>
  <si>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</si>
  <si>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</si>
  <si>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</si>
  <si>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</si>
  <si>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</si>
  <si>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</si>
  <si>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</si>
  <si>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</si>
  <si>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</si>
  <si>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kg/m</t>
  </si>
  <si>
    <t>Viagens</t>
  </si>
  <si>
    <t>t (emendas)</t>
  </si>
  <si>
    <t>km/dia</t>
  </si>
  <si>
    <t>$/dia</t>
  </si>
  <si>
    <t>$ Aquisição</t>
  </si>
  <si>
    <t>$ Instalação</t>
  </si>
  <si>
    <t>CAP. PLSV (t)</t>
  </si>
  <si>
    <t>CAP. FAB (t)</t>
  </si>
  <si>
    <t>peso umb</t>
  </si>
  <si>
    <t>dias viagem</t>
  </si>
  <si>
    <t>n° emendas</t>
  </si>
  <si>
    <t>dias emenda</t>
  </si>
  <si>
    <t>dias spool</t>
  </si>
  <si>
    <t>dias instalação</t>
  </si>
  <si>
    <t>20/35kV EPR 70mm2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</si>
</sst>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0" fontId="10" fillId="7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65" fontId="0" fillId="11" borderId="0" xfId="0" applyNumberFormat="1" applyFill="1" applyAlignment="1">
      <alignment horizontal="center"/>
    </xf>
    <xf numFmtId="169" fontId="0" fillId="0" borderId="0" xfId="0" applyNumberFormat="1"/>
    <xf numFmtId="43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486834</xdr:colOff>
      <xdr:row>8</xdr:row>
      <xdr:rowOff>78317</xdr:rowOff>
    </xdr:from>
    <xdr:to>
      <xdr:col>54</xdr:col>
      <xdr:colOff>571348</xdr:colOff>
      <xdr:row>8</xdr:row>
      <xdr:rowOff>78317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6751" y="1422400"/>
          <a:ext cx="1227514" cy="0"/>
        </a:xfrm>
        <a:prstGeom prst="rect">
          <a:avLst/>
        </a:prstGeom>
      </xdr:spPr>
    </xdr:pic>
    <xdr:clientData/>
  </xdr:twoCellAnchor>
  <xdr:twoCellAnchor editAs="oneCell">
    <xdr:from>
      <xdr:col>53</xdr:col>
      <xdr:colOff>10583</xdr:colOff>
      <xdr:row>9</xdr:row>
      <xdr:rowOff>125942</xdr:rowOff>
    </xdr:from>
    <xdr:to>
      <xdr:col>54</xdr:col>
      <xdr:colOff>318378</xdr:colOff>
      <xdr:row>9</xdr:row>
      <xdr:rowOff>125942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500" y="1660525"/>
          <a:ext cx="1450795" cy="0"/>
        </a:xfrm>
        <a:prstGeom prst="rect">
          <a:avLst/>
        </a:prstGeom>
      </xdr:spPr>
    </xdr:pic>
    <xdr:clientData/>
  </xdr:two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8909" y="1523999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8909" y="162983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21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71517" y="4074583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0999" y="3241883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36" name="Imagem 35">
          <a:extLst>
            <a:ext uri="{FF2B5EF4-FFF2-40B4-BE49-F238E27FC236}">
              <a16:creationId xmlns:a16="http://schemas.microsoft.com/office/drawing/2014/main" id="{9408161A-DAC2-460A-966B-2FB4B7DC6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86576" y="1619249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37" name="Imagem 36">
          <a:extLst>
            <a:ext uri="{FF2B5EF4-FFF2-40B4-BE49-F238E27FC236}">
              <a16:creationId xmlns:a16="http://schemas.microsoft.com/office/drawing/2014/main" id="{E53EB224-1140-49F1-A631-A3B5ED8D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7850" y="2158999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40" name="Imagem 39">
          <a:extLst>
            <a:ext uri="{FF2B5EF4-FFF2-40B4-BE49-F238E27FC236}">
              <a16:creationId xmlns:a16="http://schemas.microsoft.com/office/drawing/2014/main" id="{12B4B1F4-BB23-4E47-9D29-A1B8470DD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2833" y="1386417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41" name="Imagem 40">
          <a:extLst>
            <a:ext uri="{FF2B5EF4-FFF2-40B4-BE49-F238E27FC236}">
              <a16:creationId xmlns:a16="http://schemas.microsoft.com/office/drawing/2014/main" id="{0545433A-AB58-4086-8257-50466251A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72250" y="1492250"/>
          <a:ext cx="1450795" cy="0"/>
        </a:xfrm>
        <a:prstGeom prst="rect">
          <a:avLst/>
        </a:prstGeom>
      </xdr:spPr>
    </xdr:pic>
    <xdr:clientData/>
  </xdr:oneCellAnchor>
  <xdr:oneCellAnchor>
    <xdr:from>
      <xdr:col>37</xdr:col>
      <xdr:colOff>275166</xdr:colOff>
      <xdr:row>12</xdr:row>
      <xdr:rowOff>116417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F25A2327-02D1-4B31-B522-A56A7E487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4083" y="2222500"/>
          <a:ext cx="1219048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44" name="Imagem 43">
          <a:extLst>
            <a:ext uri="{FF2B5EF4-FFF2-40B4-BE49-F238E27FC236}">
              <a16:creationId xmlns:a16="http://schemas.microsoft.com/office/drawing/2014/main" id="{D8E63C8D-AE13-4CC3-B4F2-70CF9977C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09834" y="1672166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5" name="Imagem 14">
          <a:extLst>
            <a:ext uri="{FF2B5EF4-FFF2-40B4-BE49-F238E27FC236}">
              <a16:creationId xmlns:a16="http://schemas.microsoft.com/office/drawing/2014/main" id="{514FEFB0-9BFE-4759-B48E-7C3E26694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16" name="Imagem 15">
          <a:extLst>
            <a:ext uri="{FF2B5EF4-FFF2-40B4-BE49-F238E27FC236}">
              <a16:creationId xmlns:a16="http://schemas.microsoft.com/office/drawing/2014/main" id="{333D4EA4-E9A7-4FD6-BBAF-9E259C7E5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7" name="Imagem 16">
          <a:extLst>
            <a:ext uri="{FF2B5EF4-FFF2-40B4-BE49-F238E27FC236}">
              <a16:creationId xmlns:a16="http://schemas.microsoft.com/office/drawing/2014/main" id="{572E2094-7E24-4531-BFFD-90975ECB7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9" name="Imagem 18">
          <a:extLst>
            <a:ext uri="{FF2B5EF4-FFF2-40B4-BE49-F238E27FC236}">
              <a16:creationId xmlns:a16="http://schemas.microsoft.com/office/drawing/2014/main" id="{11273900-79A4-4704-A434-5BF07A11D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0" name="Imagem 19">
          <a:extLst>
            <a:ext uri="{FF2B5EF4-FFF2-40B4-BE49-F238E27FC236}">
              <a16:creationId xmlns:a16="http://schemas.microsoft.com/office/drawing/2014/main" id="{D2A00522-A9C0-4CBC-A72E-01CECF1B7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3" name="Imagem 22">
          <a:extLst>
            <a:ext uri="{FF2B5EF4-FFF2-40B4-BE49-F238E27FC236}">
              <a16:creationId xmlns:a16="http://schemas.microsoft.com/office/drawing/2014/main" id="{532A3A7B-D775-4101-AA1B-CA59C6F08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4" name="Imagem 23">
          <a:extLst>
            <a:ext uri="{FF2B5EF4-FFF2-40B4-BE49-F238E27FC236}">
              <a16:creationId xmlns:a16="http://schemas.microsoft.com/office/drawing/2014/main" id="{BD7D07DC-892C-4908-A9F9-20281D02A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5" name="Imagem 24">
          <a:extLst>
            <a:ext uri="{FF2B5EF4-FFF2-40B4-BE49-F238E27FC236}">
              <a16:creationId xmlns:a16="http://schemas.microsoft.com/office/drawing/2014/main" id="{6F824D4B-3E0A-474A-81CF-C921BA4A2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9D77B311-6105-4162-8AB3-984772535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7" name="Imagem 26">
          <a:extLst>
            <a:ext uri="{FF2B5EF4-FFF2-40B4-BE49-F238E27FC236}">
              <a16:creationId xmlns:a16="http://schemas.microsoft.com/office/drawing/2014/main" id="{52EC4041-DC54-4F70-8C76-189542EA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8" name="Imagem 27">
          <a:extLst>
            <a:ext uri="{FF2B5EF4-FFF2-40B4-BE49-F238E27FC236}">
              <a16:creationId xmlns:a16="http://schemas.microsoft.com/office/drawing/2014/main" id="{E81900A6-9C7C-4893-AF37-8AC1DEAB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9" name="Imagem 28">
          <a:extLst>
            <a:ext uri="{FF2B5EF4-FFF2-40B4-BE49-F238E27FC236}">
              <a16:creationId xmlns:a16="http://schemas.microsoft.com/office/drawing/2014/main" id="{D594C132-EA0F-435E-8BCD-EC3F4BF98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AFAA55D5-EB68-4181-9F62-958A43A8C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9DCBB829-D127-4829-B5DE-61740A56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2" name="Imagem 31">
          <a:extLst>
            <a:ext uri="{FF2B5EF4-FFF2-40B4-BE49-F238E27FC236}">
              <a16:creationId xmlns:a16="http://schemas.microsoft.com/office/drawing/2014/main" id="{8A51BA5A-3FDE-4E53-AAD2-4ADD97DA5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3" name="Imagem 32">
          <a:extLst>
            <a:ext uri="{FF2B5EF4-FFF2-40B4-BE49-F238E27FC236}">
              <a16:creationId xmlns:a16="http://schemas.microsoft.com/office/drawing/2014/main" id="{7490170F-C0B9-4884-9461-9BDE48EFA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F5C7EE69-0B5F-4282-94D6-410D77628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38C2B74F-B732-4CF5-B8CD-A39B14705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8" name="Imagem 37">
          <a:extLst>
            <a:ext uri="{FF2B5EF4-FFF2-40B4-BE49-F238E27FC236}">
              <a16:creationId xmlns:a16="http://schemas.microsoft.com/office/drawing/2014/main" id="{450D318A-650B-4D64-9E1C-EB63FC6A7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9" name="Imagem 38">
          <a:extLst>
            <a:ext uri="{FF2B5EF4-FFF2-40B4-BE49-F238E27FC236}">
              <a16:creationId xmlns:a16="http://schemas.microsoft.com/office/drawing/2014/main" id="{45C26E01-1028-4A5E-B6B1-1BE5FC2D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43" name="Imagem 42">
          <a:extLst>
            <a:ext uri="{FF2B5EF4-FFF2-40B4-BE49-F238E27FC236}">
              <a16:creationId xmlns:a16="http://schemas.microsoft.com/office/drawing/2014/main" id="{4AE6FCF8-0739-4AEF-ADC0-140601DBF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45" name="Imagem 44">
          <a:extLst>
            <a:ext uri="{FF2B5EF4-FFF2-40B4-BE49-F238E27FC236}">
              <a16:creationId xmlns:a16="http://schemas.microsoft.com/office/drawing/2014/main" id="{D5ECC014-230A-42C8-8521-5322B0589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8192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46" name="Imagem 45">
          <a:extLst>
            <a:ext uri="{FF2B5EF4-FFF2-40B4-BE49-F238E27FC236}">
              <a16:creationId xmlns:a16="http://schemas.microsoft.com/office/drawing/2014/main" id="{B5ECD22B-F94C-4868-96BC-6BC38FB3B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47" name="Imagem 46">
          <a:extLst>
            <a:ext uri="{FF2B5EF4-FFF2-40B4-BE49-F238E27FC236}">
              <a16:creationId xmlns:a16="http://schemas.microsoft.com/office/drawing/2014/main" id="{6BD76566-D1E2-488F-B056-B6672F1C2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48" name="Imagem 47">
          <a:extLst>
            <a:ext uri="{FF2B5EF4-FFF2-40B4-BE49-F238E27FC236}">
              <a16:creationId xmlns:a16="http://schemas.microsoft.com/office/drawing/2014/main" id="{98E66EAD-3365-4FCC-9DAC-C219FF214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9534" y="1808691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49" name="Imagem 48">
          <a:extLst>
            <a:ext uri="{FF2B5EF4-FFF2-40B4-BE49-F238E27FC236}">
              <a16:creationId xmlns:a16="http://schemas.microsoft.com/office/drawing/2014/main" id="{93050C7B-2D65-4D22-81AF-142AA963C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50" name="Imagem 49">
          <a:extLst>
            <a:ext uri="{FF2B5EF4-FFF2-40B4-BE49-F238E27FC236}">
              <a16:creationId xmlns:a16="http://schemas.microsoft.com/office/drawing/2014/main" id="{E9F584B8-DFF9-456C-867B-E990AA235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98916" y="15758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51" name="Imagem 50">
          <a:extLst>
            <a:ext uri="{FF2B5EF4-FFF2-40B4-BE49-F238E27FC236}">
              <a16:creationId xmlns:a16="http://schemas.microsoft.com/office/drawing/2014/main" id="{61288C1F-14A1-41E1-9F63-FD2C3F1EE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88333" y="16816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52" name="Imagem 51">
          <a:extLst>
            <a:ext uri="{FF2B5EF4-FFF2-40B4-BE49-F238E27FC236}">
              <a16:creationId xmlns:a16="http://schemas.microsoft.com/office/drawing/2014/main" id="{230C7B3A-04F4-4C4C-903D-55E02E802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7"/>
  <sheetViews>
    <sheetView tabSelected="1" topLeftCell="AN1" zoomScale="90" zoomScaleNormal="90" workbookViewId="0">
      <selection activeCell="AX12" sqref="AX12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5" t="s">
        <v>123</v>
      </c>
      <c r="E1" s="205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5" t="s">
        <v>6</v>
      </c>
      <c r="O1" s="205"/>
      <c r="P1" s="205"/>
      <c r="Q1" s="205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173</v>
      </c>
      <c r="AV1" t="s">
        <v>172</v>
      </c>
      <c r="AW1" t="s">
        <v>166</v>
      </c>
      <c r="AX1" t="s">
        <v>167</v>
      </c>
      <c r="AY1" t="s">
        <v>168</v>
      </c>
      <c r="AZ1" t="s">
        <v>168</v>
      </c>
      <c r="BA1" t="s">
        <v>169</v>
      </c>
    </row>
    <row r="2" spans="1:54" x14ac:dyDescent="0.25">
      <c r="D2" s="199"/>
      <c r="E2" s="199"/>
      <c r="F2" s="199"/>
      <c r="G2" s="199"/>
      <c r="H2" s="199"/>
      <c r="I2" s="199"/>
      <c r="J2" s="199"/>
      <c r="K2" s="199"/>
      <c r="L2" s="199"/>
      <c r="M2" s="90"/>
      <c r="N2" s="199"/>
      <c r="O2" s="199"/>
      <c r="P2" s="199"/>
      <c r="Q2" s="199"/>
      <c r="R2" s="90"/>
      <c r="S2" s="90"/>
      <c r="T2" s="90"/>
      <c r="U2" s="90"/>
      <c r="V2" s="90"/>
      <c r="W2" s="90"/>
      <c r="X2" s="90"/>
      <c r="Y2" s="199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v>8.6</v>
      </c>
      <c r="AZ2">
        <f>AY2*2</f>
        <v>17.2</v>
      </c>
      <c r="BA2" s="203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2" t="s">
        <v>170</v>
      </c>
      <c r="AU3" s="199" t="s">
        <v>174</v>
      </c>
      <c r="AV3" s="199" t="s">
        <v>175</v>
      </c>
      <c r="AW3" s="199" t="s">
        <v>176</v>
      </c>
      <c r="AX3" s="199" t="s">
        <v>177</v>
      </c>
      <c r="AY3" s="199" t="s">
        <v>178</v>
      </c>
      <c r="AZ3" s="199" t="s">
        <v>179</v>
      </c>
      <c r="BB3" s="199" t="s">
        <v>171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5">
        <v>0.92</v>
      </c>
      <c r="F4" s="168">
        <f t="shared" ref="F4:F5" si="0">D4/(E4*C4)</f>
        <v>4.3478260869565215</v>
      </c>
      <c r="G4" s="157">
        <f>$I$6</f>
        <v>29.343008633855618</v>
      </c>
      <c r="H4" s="157">
        <f>$J$6</f>
        <v>0.63532387464975326</v>
      </c>
      <c r="I4">
        <v>30</v>
      </c>
      <c r="J4">
        <v>1</v>
      </c>
      <c r="K4" s="193">
        <f t="shared" ref="K4:K6" si="1">SQRT((G4-I4)^2+(H4-J4)^2)</f>
        <v>0.75141621727823416</v>
      </c>
      <c r="L4" s="107">
        <v>25</v>
      </c>
      <c r="M4" s="158">
        <v>1</v>
      </c>
      <c r="N4" s="156" t="s">
        <v>159</v>
      </c>
      <c r="O4" s="159">
        <v>1</v>
      </c>
      <c r="P4" s="159">
        <f t="shared" ref="P4:P6" si="2">IF(O4=1,1,IF(O4=2,0.9,0.8))</f>
        <v>1</v>
      </c>
      <c r="Q4" s="160">
        <f>VLOOKUP(N4,Cabos!$B$13:$F$46,2,0)*O4*P4</f>
        <v>153.70000000000002</v>
      </c>
      <c r="R4" s="161">
        <f>((VLOOKUP(N4,Cabos!$B$13:$F$46,3,0)/O4*K4))*(1+A4)</f>
        <v>0.37195102755272591</v>
      </c>
      <c r="S4" s="161">
        <f>(VLOOKUP(N4,Cabos!$B$13:$F$46,4,0)/O4*K4)*B4/60</f>
        <v>0.13450350289280391</v>
      </c>
      <c r="T4" s="161">
        <f>1/(VLOOKUP(N4,Cabos!$B$13:$F$46,5,0)*60/B4) * O4 * K4</f>
        <v>3.9417521758287473E-5</v>
      </c>
      <c r="U4" s="156" t="str">
        <f t="shared" ref="U4:U6" si="3">IMSQRT(IMDIV(COMPLEX(R4,S4),COMPLEX(0,T4)))</f>
        <v>81,9953644820213-57,5409662461408i</v>
      </c>
      <c r="V4" s="156" t="str">
        <f t="shared" ref="V4:V6" si="4">IMSQRT(IMPRODUCT(COMPLEX(R4,S4),COMPLEX(0,T4)))</f>
        <v>0,00226812228900015+0,00323205406354879i</v>
      </c>
      <c r="W4" s="156" t="str">
        <f t="shared" ref="W4:W6" si="5">IMPRODUCT(U4,_xlfn.IMSINH(V4))</f>
        <v>0,37195037021632+0,134504292926823i</v>
      </c>
      <c r="X4" s="156" t="str">
        <f t="shared" ref="X4:X6" si="6">IMDIV(IMSUB(_xlfn.IMCOSH(V4),COMPLEX(1,0)),IMPRODUCT(U4,_xlfn.IMSINH(V4)))</f>
        <v>2,40802437049752E-11+0,0000197087695866179i</v>
      </c>
      <c r="Y4" s="162">
        <f>F4/L4/SQRT(3)*1000</f>
        <v>100.408742467761</v>
      </c>
      <c r="Z4" s="163" t="str">
        <f t="shared" ref="Z4:Z6" si="7">COMPLEX(L4*1000/SQRT(3)*M4,0)</f>
        <v>14433,7567297406</v>
      </c>
      <c r="AA4" s="163" t="str">
        <f>COMPLEX(Y4*E4,-Y4*SQRT(1-E4*E4))</f>
        <v>92,3760430703401-39,3520295616861i</v>
      </c>
      <c r="AB4" s="163" t="str">
        <f t="shared" ref="AB4:AB6" si="8">IMPRODUCT(W4,IMSUM(AA4,IMPRODUCT(X4,Z4)))</f>
        <v>39,6140578103536-2,10621824932877i</v>
      </c>
      <c r="AC4" s="163" t="str">
        <f t="shared" ref="AC4:AC6" si="9">IMSUM(Z4,AB4)</f>
        <v>14473,370787551-2,10621824932877i</v>
      </c>
      <c r="AD4" s="163" t="str">
        <f t="shared" ref="AD4:AD6" si="10">IMSUM(IMPRODUCT(AC4,X4),IMDIV(AB4,W4))</f>
        <v>92,3760852774011-38,7823056460877i</v>
      </c>
      <c r="AE4" s="164">
        <f t="shared" ref="AE4:AE6" si="11">IMABS(AC4)/L4/1000*SQRT(3)</f>
        <v>1.0027445530504924</v>
      </c>
      <c r="AF4" s="165">
        <f t="shared" ref="AF4:AF6" si="12">L4*AE4</f>
        <v>25.068613826262307</v>
      </c>
      <c r="AG4" s="164">
        <f t="shared" ref="AG4:AG6" si="13">IMABS(AD4)/Q4</f>
        <v>0.65183387908419366</v>
      </c>
      <c r="AH4" s="165">
        <f t="shared" ref="AH4:AH6" si="14">AG4*Q4/O4</f>
        <v>100.18686721524058</v>
      </c>
      <c r="AI4" s="166">
        <f t="shared" ref="AI4:AI6" si="15">IMREAL(IMPRODUCT(AC4,IMCONJUGATE(AD4)))*3/1000000</f>
        <v>4.0112250543664807</v>
      </c>
      <c r="AJ4" s="164">
        <f t="shared" ref="AJ4" si="16">IMABS(Z4)/L4/1000*SQRT(3)</f>
        <v>0.99999999999999678</v>
      </c>
      <c r="AK4" s="176">
        <f>SQRT(AI4^2+AS4^2)</f>
        <v>4.3501250778095519</v>
      </c>
      <c r="AL4" s="165">
        <f>IMABS(Z4)*SQRT(3)/1000</f>
        <v>24.999999999999922</v>
      </c>
      <c r="AM4" s="164">
        <f>IMABS(AA4)/Q4</f>
        <v>0.65327743960807394</v>
      </c>
      <c r="AN4" s="165">
        <f>Q4*AM4/P4</f>
        <v>100.40874246776097</v>
      </c>
      <c r="AO4" s="167">
        <f>D4</f>
        <v>4</v>
      </c>
      <c r="AP4" s="164">
        <f>IF(AO4&gt;0, (AI4-AO4)/AO4,0)</f>
        <v>2.8062635916201728E-3</v>
      </c>
      <c r="AQ4" s="157">
        <f>AF4*AH4*SQRT(3)*O4/1000</f>
        <v>4.350125077809551</v>
      </c>
      <c r="AR4" s="157">
        <f>AL4*AN4*SQRT(3)/1000</f>
        <v>4.3478260869565064</v>
      </c>
      <c r="AS4" s="176">
        <f>IMAGINARY(IMPRODUCT(AC4,IMCONJUGATE(AD4)))*3/1000000</f>
        <v>1.6833483762460411</v>
      </c>
      <c r="AT4" s="197">
        <f>VLOOKUP(N4,Cabos!$B$13:'Cabos'!$G$46,6,0)*K4*1000</f>
        <v>345651.45994798769</v>
      </c>
      <c r="AU4" s="204">
        <f>VLOOKUP(N4,Cabos!$B$13:'Cabos'!$H$46,7,0)*K4</f>
        <v>8.0401535248771054</v>
      </c>
      <c r="AV4" s="204">
        <f>ROUNDUP(AU4/$AV$2,0)*$AW$2</f>
        <v>2</v>
      </c>
      <c r="AW4" s="204">
        <f>ROUNDDOWN(AU4/$AU$2,0)</f>
        <v>0</v>
      </c>
      <c r="AX4">
        <f>ROUNDUP((AW4)*$AX$2,0)</f>
        <v>0</v>
      </c>
      <c r="AY4">
        <f>IFERROR(ROUNDUP(K4*O4/$AZ$2,0),0)</f>
        <v>1</v>
      </c>
      <c r="AZ4">
        <f>IFERROR(ROUNDUP(K4*O4/$AY$2,0),0)</f>
        <v>1</v>
      </c>
      <c r="BA4" s="204">
        <f t="shared" ref="BA4:BA5" si="17">SUM(AX4:AZ4)+AV4</f>
        <v>4</v>
      </c>
      <c r="BB4" s="203">
        <f>BA4*$BA$2</f>
        <v>1100000</v>
      </c>
    </row>
    <row r="5" spans="1:54" x14ac:dyDescent="0.25">
      <c r="A5" s="153">
        <f t="shared" ref="A5" si="18">IF($B$1="não",0,1-60/$B5)</f>
        <v>0</v>
      </c>
      <c r="B5">
        <v>60</v>
      </c>
      <c r="C5" s="133">
        <v>1</v>
      </c>
      <c r="D5" s="107">
        <v>4</v>
      </c>
      <c r="E5" s="195">
        <v>0.92</v>
      </c>
      <c r="F5" s="168">
        <f t="shared" si="0"/>
        <v>4.3478260869565215</v>
      </c>
      <c r="G5" s="157">
        <f>$I$6</f>
        <v>29.343008633855618</v>
      </c>
      <c r="H5" s="157">
        <f>$J$6</f>
        <v>0.63532387464975326</v>
      </c>
      <c r="I5">
        <v>30</v>
      </c>
      <c r="J5">
        <v>0</v>
      </c>
      <c r="K5" s="193">
        <f t="shared" si="1"/>
        <v>0.91393330220986957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2"/>
        <v>1</v>
      </c>
      <c r="Q5" s="170">
        <f>VLOOKUP(N5,Cabos!$B$13:$F$46,2,0)*O5*P5</f>
        <v>153.70000000000002</v>
      </c>
      <c r="R5" s="171">
        <f>((VLOOKUP(N5,Cabos!$B$13:$F$46,3,0)/O5*K5))*(1+A5)</f>
        <v>0.45239698459388544</v>
      </c>
      <c r="S5" s="171">
        <f>(VLOOKUP(N5,Cabos!$B$13:$F$46,4,0)/O5*K5)*B5/60</f>
        <v>0.16359406109556665</v>
      </c>
      <c r="T5" s="171">
        <f>1/(VLOOKUP(N5,Cabos!$B$13:$F$46,5,0)*60/B5) * O5 * K5</f>
        <v>4.7942784567479915E-5</v>
      </c>
      <c r="U5" s="155" t="str">
        <f t="shared" si="3"/>
        <v>81,9953644820213-57,5409662461407i</v>
      </c>
      <c r="V5" s="155" t="str">
        <f t="shared" si="4"/>
        <v>0,00275867414854336+0,00393108609489354i</v>
      </c>
      <c r="W5" s="155" t="str">
        <f t="shared" si="5"/>
        <v>0,452395801852943+0,163595482597408i</v>
      </c>
      <c r="X5" s="155" t="str">
        <f t="shared" si="6"/>
        <v>4,33258407331481E-11+0,0000239714079515821i</v>
      </c>
      <c r="Y5" s="172">
        <f>F5/L5/SQRT(3)*1000</f>
        <v>100.408742467761</v>
      </c>
      <c r="Z5" s="173" t="str">
        <f t="shared" si="7"/>
        <v>14433,7567297406</v>
      </c>
      <c r="AA5" s="173" t="str">
        <f>COMPLEX(Y5*E5,-Y5*SQRT(1-E5*E5))</f>
        <v>92,3760430703401-39,3520295616861i</v>
      </c>
      <c r="AB5" s="173" t="str">
        <f t="shared" si="8"/>
        <v>48,1717450038278-2,53386171600239i</v>
      </c>
      <c r="AC5" s="173" t="str">
        <f t="shared" si="9"/>
        <v>14481,9284747444-2,53386171600239i</v>
      </c>
      <c r="AD5" s="173" t="str">
        <f t="shared" si="10"/>
        <v>92,3761050633692-38,6588798755596i</v>
      </c>
      <c r="AE5" s="174">
        <f t="shared" si="11"/>
        <v>1.0033374517512665</v>
      </c>
      <c r="AF5" s="175">
        <f t="shared" si="12"/>
        <v>25.083436293781663</v>
      </c>
      <c r="AG5" s="174">
        <f t="shared" si="13"/>
        <v>0.65152356574660408</v>
      </c>
      <c r="AH5" s="175">
        <f t="shared" si="14"/>
        <v>100.13917205525306</v>
      </c>
      <c r="AI5" s="176">
        <f t="shared" si="15"/>
        <v>4.0136463076766695</v>
      </c>
      <c r="AJ5" s="174">
        <f t="shared" ref="AJ5:AJ6" si="19">IMABS(Z5)/L5/1000*SQRT(3)</f>
        <v>0.99999999999999678</v>
      </c>
      <c r="AK5" s="176">
        <f>SQRT(AI5^2+AS5^2)</f>
        <v>4.3506250482668349</v>
      </c>
      <c r="AL5" s="175">
        <f>IMABS(Z5)*SQRT(3)/1000</f>
        <v>24.999999999999922</v>
      </c>
      <c r="AM5" s="174">
        <f>IMABS(AA5)/Q5</f>
        <v>0.65327743960807394</v>
      </c>
      <c r="AN5" s="175">
        <f>Q5*AM5/P5</f>
        <v>100.40874246776097</v>
      </c>
      <c r="AO5" s="177">
        <f>D5</f>
        <v>4</v>
      </c>
      <c r="AP5" s="174">
        <f>IF(AO5&gt;0, (AI5-AO5)/AO5,0)</f>
        <v>3.4115769191673806E-3</v>
      </c>
      <c r="AQ5" s="168">
        <f>AF5*AH5*SQRT(3)*O5/1000</f>
        <v>4.3506250482668269</v>
      </c>
      <c r="AR5" s="168">
        <f t="shared" ref="AR5:AR6" si="20">AL5*AN5*SQRT(3)/1000</f>
        <v>4.3478260869565064</v>
      </c>
      <c r="AS5" s="176">
        <f>IMAGINARY(IMPRODUCT(AC5,IMCONJUGATE(AD5)))*3/1000000</f>
        <v>1.6788631949864878</v>
      </c>
      <c r="AT5" s="197">
        <f>VLOOKUP(N5,Cabos!$B$13:'Cabos'!$G$46,6,0)*K5*1000</f>
        <v>420409.31901654002</v>
      </c>
      <c r="AU5" s="204">
        <f>VLOOKUP(N5,Cabos!$B$13:'Cabos'!$H$46,7,0)*K5</f>
        <v>9.7790863336456031</v>
      </c>
      <c r="AV5" s="204">
        <f t="shared" ref="AV5:AV6" si="21">ROUNDUP(AU5/$AV$2,0)*$AW$2</f>
        <v>2</v>
      </c>
      <c r="AW5" s="204">
        <f t="shared" ref="AW5:AW6" si="22">ROUNDDOWN(AU5/$AU$2,0)</f>
        <v>0</v>
      </c>
      <c r="AX5">
        <f t="shared" ref="AX5:AX6" si="23">ROUNDUP((AW5)*$AX$2,0)</f>
        <v>0</v>
      </c>
      <c r="AY5">
        <f t="shared" ref="AY5:AY6" si="24">IFERROR(ROUNDUP(K5*O5/$AZ$2,0),0)</f>
        <v>1</v>
      </c>
      <c r="AZ5">
        <f t="shared" ref="AZ5:AZ6" si="25">IFERROR(ROUNDUP(K5*O5/$AY$2,0),0)</f>
        <v>1</v>
      </c>
      <c r="BA5" s="204">
        <f t="shared" si="17"/>
        <v>4</v>
      </c>
      <c r="BB5" s="203">
        <f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f>SUM(AI4:AI4)</f>
        <v>4.0112250543664807</v>
      </c>
      <c r="E6" s="195">
        <f>(SUM(AI4:AI5))/(SUM(AK4:AK5))</f>
        <v>0.92231948346526949</v>
      </c>
      <c r="F6" s="168">
        <f>D6/(E6*C6)</f>
        <v>4.3490624737708101</v>
      </c>
      <c r="G6" s="157">
        <v>0</v>
      </c>
      <c r="H6" s="157">
        <v>4.5</v>
      </c>
      <c r="I6" s="196">
        <v>29.343008633855618</v>
      </c>
      <c r="J6" s="196">
        <v>0.63532387464975326</v>
      </c>
      <c r="K6" s="193">
        <f t="shared" si="1"/>
        <v>29.59641662837543</v>
      </c>
      <c r="L6" s="107">
        <f>MAX(AF4:AF5)</f>
        <v>25.083436293781663</v>
      </c>
      <c r="M6" s="180">
        <v>1</v>
      </c>
      <c r="N6" s="156" t="s">
        <v>180</v>
      </c>
      <c r="O6" s="159">
        <v>1</v>
      </c>
      <c r="P6" s="159">
        <f t="shared" si="2"/>
        <v>1</v>
      </c>
      <c r="Q6" s="181">
        <f>VLOOKUP(N6,Cabos!$B$13:$F$46,2,0)*O6*P6</f>
        <v>187.05</v>
      </c>
      <c r="R6" s="182">
        <f>((VLOOKUP(N6,Cabos!$B$13:$F$46,3,0)/O6*K6))*(1+A6)</f>
        <v>10.181167320161148</v>
      </c>
      <c r="S6" s="182">
        <f>(VLOOKUP(N6,Cabos!$B$13:$F$46,4,0)/O6*K6)*B6/60</f>
        <v>4.9721979935670726</v>
      </c>
      <c r="T6" s="182">
        <f>1/(VLOOKUP(N6,Cabos!$B$13:$F$46,5,0)*60/B6) * O6 * K6</f>
        <v>1.7163312820908971E-3</v>
      </c>
      <c r="U6" s="178" t="str">
        <f t="shared" si="3"/>
        <v>68,9149452063812-43,0380955991146i</v>
      </c>
      <c r="V6" s="178" t="str">
        <f t="shared" si="4"/>
        <v>0,0738676297983792+0,118280876261292i</v>
      </c>
      <c r="W6" s="178" t="str">
        <f t="shared" si="5"/>
        <v>10,1521981461352+4,99474237369271i</v>
      </c>
      <c r="X6" s="178" t="str">
        <f t="shared" si="6"/>
        <v>1,25178228522177E-06+0,000858774267418765i</v>
      </c>
      <c r="Y6" s="183">
        <f>F6/L6/SQRT(3)*1000</f>
        <v>100.1032059780642</v>
      </c>
      <c r="Z6" s="184" t="str">
        <f t="shared" si="7"/>
        <v>14481,9286964157</v>
      </c>
      <c r="AA6" s="173" t="str">
        <f>COMPLEX(Y6*E6,-Y6*SQRT(1-E6*E6))</f>
        <v>92,3271372309056-38,68270385886i</v>
      </c>
      <c r="AB6" s="184" t="str">
        <f t="shared" si="8"/>
        <v>1068,5994218524+194,786256890899i</v>
      </c>
      <c r="AC6" s="184" t="str">
        <f t="shared" si="9"/>
        <v>15550,5281182681+194,786256890899i</v>
      </c>
      <c r="AD6" s="184" t="str">
        <f t="shared" si="10"/>
        <v>92,1974539032635-12,8913589290586i</v>
      </c>
      <c r="AE6" s="185">
        <f t="shared" si="11"/>
        <v>1.0738727102512924</v>
      </c>
      <c r="AF6" s="186">
        <f t="shared" si="12"/>
        <v>26.936417715218948</v>
      </c>
      <c r="AG6" s="185">
        <f t="shared" si="13"/>
        <v>0.49769766406329219</v>
      </c>
      <c r="AH6" s="186">
        <f t="shared" si="14"/>
        <v>93.094348063038808</v>
      </c>
      <c r="AI6" s="187">
        <f t="shared" si="15"/>
        <v>4.2936241194102003</v>
      </c>
      <c r="AJ6" s="185">
        <f t="shared" si="19"/>
        <v>1.0000000000000018</v>
      </c>
      <c r="AK6" s="176">
        <f>SQRT(AI6^2+AS6^2)</f>
        <v>4.3433395291765118</v>
      </c>
      <c r="AL6" s="186">
        <f>IMABS(Z6)*SQRT(3)/1000</f>
        <v>25.083436293781709</v>
      </c>
      <c r="AM6" s="185">
        <f>IMABS(AA6)/Q6</f>
        <v>0.53516816882151375</v>
      </c>
      <c r="AN6" s="186">
        <f>Q6*AM6/P6</f>
        <v>100.10320597806415</v>
      </c>
      <c r="AO6" s="188">
        <f>D6</f>
        <v>4.0112250543664807</v>
      </c>
      <c r="AP6" s="185">
        <f>IF(AO6&gt;0, (AI6-AO6)/AO6,0)</f>
        <v>7.0402199132733712E-2</v>
      </c>
      <c r="AQ6" s="179">
        <f>AF6*AH6*SQRT(3)*O6/1000</f>
        <v>4.3433395291765047</v>
      </c>
      <c r="AR6" s="179">
        <f t="shared" si="20"/>
        <v>4.3490624737708155</v>
      </c>
      <c r="AS6" s="176">
        <f>IMAGINARY(IMPRODUCT(AC6,IMCONJUGATE(AD6)))*3/1000000</f>
        <v>0.65527870934910004</v>
      </c>
      <c r="AT6" s="197">
        <f>VLOOKUP(N6,Cabos!$B$13:'Cabos'!$G$46,6,0)*K6*1000</f>
        <v>13811661.093241869</v>
      </c>
      <c r="AU6" s="204">
        <f>VLOOKUP(N6,Cabos!$B$13:'Cabos'!$H$46,7,0)*K6</f>
        <v>361.07628286618024</v>
      </c>
      <c r="AV6" s="204">
        <f t="shared" si="21"/>
        <v>2</v>
      </c>
      <c r="AW6" s="204">
        <f t="shared" si="22"/>
        <v>1</v>
      </c>
      <c r="AX6">
        <f t="shared" si="23"/>
        <v>2</v>
      </c>
      <c r="AY6">
        <f t="shared" si="24"/>
        <v>2</v>
      </c>
      <c r="AZ6">
        <f t="shared" si="25"/>
        <v>4</v>
      </c>
      <c r="BA6" s="204">
        <f>SUM(AX6:AZ6)+AV6</f>
        <v>10</v>
      </c>
      <c r="BB6" s="203">
        <f>BA6*$BA$2</f>
        <v>2750000</v>
      </c>
    </row>
    <row r="7" spans="1:54" x14ac:dyDescent="0.25">
      <c r="Q7" s="84"/>
      <c r="R7" s="81"/>
      <c r="S7" s="81"/>
      <c r="T7" s="81"/>
      <c r="Z7" s="81"/>
      <c r="AA7" s="81"/>
      <c r="AB7" s="81"/>
      <c r="AC7" s="81"/>
      <c r="AD7" s="81"/>
      <c r="AE7" s="81"/>
      <c r="AF7" s="81"/>
      <c r="AG7" s="81"/>
      <c r="AH7" s="81"/>
      <c r="AI7" s="194"/>
      <c r="AJ7" s="194"/>
      <c r="AK7" s="194"/>
      <c r="AL7" s="81"/>
      <c r="AM7" s="81"/>
      <c r="AN7" s="81"/>
      <c r="AO7" s="81"/>
      <c r="AP7" s="81"/>
      <c r="AS7" s="194"/>
      <c r="AT7" s="198">
        <f>SUM(AT4:AT5)</f>
        <v>766060.77896452765</v>
      </c>
      <c r="AU7" s="204"/>
      <c r="BA7" s="204">
        <f>K6/BA6</f>
        <v>2.959641662837543</v>
      </c>
      <c r="BB7" s="203">
        <f>SUM(BB4:BB6)</f>
        <v>4950000</v>
      </c>
    </row>
    <row r="8" spans="1:54" x14ac:dyDescent="0.25">
      <c r="Q8" s="84"/>
      <c r="R8" s="81"/>
      <c r="S8" s="81"/>
      <c r="T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S8" s="81"/>
      <c r="BA8" s="204">
        <f>K5/BA5</f>
        <v>0.22848332555246739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S9" s="81"/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B25" t="s">
        <v>154</v>
      </c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B26" t="s">
        <v>153</v>
      </c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</sheetData>
  <mergeCells count="2">
    <mergeCell ref="D1:E1"/>
    <mergeCell ref="N1:Q1"/>
  </mergeCells>
  <conditionalFormatting sqref="AF4:AF6">
    <cfRule type="cellIs" dxfId="33" priority="180" operator="greaterThan">
      <formula>1.08</formula>
    </cfRule>
  </conditionalFormatting>
  <conditionalFormatting sqref="AJ4:AJ6 AL4:AL6">
    <cfRule type="cellIs" dxfId="32" priority="178" operator="greaterThan">
      <formula>1.08</formula>
    </cfRule>
  </conditionalFormatting>
  <conditionalFormatting sqref="AM4:AN6">
    <cfRule type="cellIs" dxfId="31" priority="176" operator="greaterThan">
      <formula>1</formula>
    </cfRule>
  </conditionalFormatting>
  <conditionalFormatting sqref="AE4">
    <cfRule type="cellIs" dxfId="30" priority="179" operator="greaterThan">
      <formula>1.1</formula>
    </cfRule>
  </conditionalFormatting>
  <conditionalFormatting sqref="AG4:AH6">
    <cfRule type="cellIs" dxfId="29" priority="177" operator="greaterThan">
      <formula>1</formula>
    </cfRule>
  </conditionalFormatting>
  <conditionalFormatting sqref="AE5:AE6">
    <cfRule type="cellIs" dxfId="28" priority="175" operator="greaterThan">
      <formula>1.1</formula>
    </cfRule>
  </conditionalFormatting>
  <conditionalFormatting sqref="AP4">
    <cfRule type="cellIs" dxfId="27" priority="174" operator="greaterThan">
      <formula>7%</formula>
    </cfRule>
  </conditionalFormatting>
  <conditionalFormatting sqref="AP5:AP6">
    <cfRule type="cellIs" dxfId="26" priority="173" operator="greaterThan">
      <formula>7%</formula>
    </cfRule>
  </conditionalFormatting>
  <conditionalFormatting sqref="AF6">
    <cfRule type="cellIs" dxfId="25" priority="172" operator="greaterThan">
      <formula>1.08</formula>
    </cfRule>
  </conditionalFormatting>
  <conditionalFormatting sqref="AJ6 AL6">
    <cfRule type="cellIs" dxfId="24" priority="170" operator="greaterThan">
      <formula>1.08</formula>
    </cfRule>
  </conditionalFormatting>
  <conditionalFormatting sqref="AM6:AN6">
    <cfRule type="cellIs" dxfId="23" priority="168" operator="greaterThan">
      <formula>1</formula>
    </cfRule>
  </conditionalFormatting>
  <conditionalFormatting sqref="AG6:AH6">
    <cfRule type="cellIs" dxfId="22" priority="169" operator="greaterThan">
      <formula>1</formula>
    </cfRule>
  </conditionalFormatting>
  <conditionalFormatting sqref="AE6">
    <cfRule type="cellIs" dxfId="21" priority="166" operator="greaterThan">
      <formula>1.1</formula>
    </cfRule>
  </conditionalFormatting>
  <conditionalFormatting sqref="AP6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$B$25:$B$26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5" t="s">
        <v>123</v>
      </c>
      <c r="E1" s="205"/>
      <c r="F1" s="99"/>
      <c r="G1" s="87" t="s">
        <v>3</v>
      </c>
      <c r="H1" s="87" t="s">
        <v>18</v>
      </c>
      <c r="I1" s="90" t="s">
        <v>117</v>
      </c>
      <c r="J1" s="205" t="s">
        <v>6</v>
      </c>
      <c r="K1" s="205"/>
      <c r="L1" s="205"/>
      <c r="M1" s="205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12">
        <v>183</v>
      </c>
      <c r="C28" s="209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6"/>
      <c r="C29" s="207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6"/>
      <c r="C30" s="207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6"/>
      <c r="C31" s="207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6"/>
      <c r="C32" s="207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13"/>
      <c r="C33" s="208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14">
        <v>200</v>
      </c>
      <c r="C34" s="210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6"/>
      <c r="C35" s="207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6"/>
      <c r="C36" s="207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6"/>
      <c r="C37" s="207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6"/>
      <c r="C38" s="207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13"/>
      <c r="C39" s="208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15">
        <v>325</v>
      </c>
      <c r="C40" s="211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6"/>
      <c r="C41" s="207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6"/>
      <c r="C42" s="207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6"/>
      <c r="C43" s="207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6"/>
      <c r="C44" s="207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13"/>
      <c r="C45" s="208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6">
        <v>183</v>
      </c>
      <c r="C52" s="207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6"/>
      <c r="C53" s="207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6">
        <v>200</v>
      </c>
      <c r="C54" s="207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6"/>
      <c r="C55" s="207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6">
        <v>325</v>
      </c>
      <c r="C56" s="207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6"/>
      <c r="C57" s="207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6">
        <v>183</v>
      </c>
      <c r="C65" s="207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6"/>
      <c r="C66" s="207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I9" sqref="I9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8" x14ac:dyDescent="0.25">
      <c r="A1" t="s">
        <v>5</v>
      </c>
    </row>
    <row r="2" spans="1:8" x14ac:dyDescent="0.25">
      <c r="A2">
        <v>6.6</v>
      </c>
    </row>
    <row r="3" spans="1:8" x14ac:dyDescent="0.25">
      <c r="A3">
        <v>26</v>
      </c>
      <c r="D3">
        <v>200</v>
      </c>
    </row>
    <row r="4" spans="1:8" x14ac:dyDescent="0.25">
      <c r="A4">
        <v>26.5</v>
      </c>
      <c r="D4" s="3">
        <f>'Dados Típicos'!O43</f>
        <v>316.66666666666669</v>
      </c>
    </row>
    <row r="5" spans="1:8" x14ac:dyDescent="0.25">
      <c r="A5">
        <v>9</v>
      </c>
      <c r="C5">
        <v>220</v>
      </c>
      <c r="D5">
        <f>C5/1.2</f>
        <v>183.33333333333334</v>
      </c>
    </row>
    <row r="6" spans="1:8" x14ac:dyDescent="0.25">
      <c r="A6">
        <v>6.9</v>
      </c>
    </row>
    <row r="8" spans="1:8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  <c r="H8" t="s">
        <v>165</v>
      </c>
    </row>
    <row r="9" spans="1:8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  <c r="H9" s="200">
        <f>8700/1000</f>
        <v>8.6999999999999993</v>
      </c>
    </row>
    <row r="10" spans="1:8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  <c r="H10" s="200">
        <v>9.1999999999999993</v>
      </c>
    </row>
    <row r="11" spans="1:8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  <c r="H11" s="200">
        <v>10.6</v>
      </c>
    </row>
    <row r="12" spans="1:8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  <c r="H12" s="200">
        <v>11.7</v>
      </c>
    </row>
    <row r="13" spans="1:8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  <c r="H13" s="200">
        <v>12.9</v>
      </c>
    </row>
    <row r="14" spans="1:8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  <c r="H14" s="200">
        <v>14.4</v>
      </c>
    </row>
    <row r="15" spans="1:8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  <c r="H15" s="200">
        <v>15.9</v>
      </c>
    </row>
    <row r="16" spans="1:8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  <c r="H16" s="200">
        <v>18.100000000000001</v>
      </c>
    </row>
    <row r="17" spans="2:8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  <c r="H17" s="200">
        <v>20.399999999999999</v>
      </c>
    </row>
    <row r="18" spans="2:8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  <c r="H18" s="201">
        <f>H17+2.3</f>
        <v>22.7</v>
      </c>
    </row>
    <row r="19" spans="2:8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  <c r="H19" s="201">
        <f>H18+2.3</f>
        <v>25</v>
      </c>
    </row>
    <row r="20" spans="2:8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 s="201">
        <f>H19+2</f>
        <v>27</v>
      </c>
    </row>
    <row r="21" spans="2:8" ht="18" customHeight="1" x14ac:dyDescent="0.25">
      <c r="B21" s="2" t="s">
        <v>147</v>
      </c>
      <c r="C21" s="3"/>
      <c r="D21" s="76"/>
      <c r="F21" s="77"/>
    </row>
    <row r="22" spans="2:8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  <c r="H22" s="202">
        <v>10.7</v>
      </c>
    </row>
    <row r="23" spans="2:8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  <c r="H23" s="202">
        <v>12.2</v>
      </c>
    </row>
    <row r="24" spans="2:8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468</v>
      </c>
      <c r="H24" s="202">
        <v>13.5</v>
      </c>
    </row>
    <row r="25" spans="2:8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0.13</v>
      </c>
      <c r="F25" s="96">
        <v>14663</v>
      </c>
      <c r="G25">
        <v>468.66666666666669</v>
      </c>
      <c r="H25" s="202">
        <v>14.8</v>
      </c>
    </row>
    <row r="26" spans="2:8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  <c r="H26" s="202">
        <v>16</v>
      </c>
    </row>
    <row r="27" spans="2:8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  <c r="H27" s="202">
        <v>17.600000000000001</v>
      </c>
    </row>
    <row r="28" spans="2:8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  <c r="H28" s="202">
        <v>20.100000000000001</v>
      </c>
    </row>
    <row r="29" spans="2:8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  <c r="H29" s="202">
        <v>22.5</v>
      </c>
    </row>
    <row r="30" spans="2:8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0.112</v>
      </c>
      <c r="F30" s="96">
        <v>9879</v>
      </c>
      <c r="G30">
        <v>528</v>
      </c>
      <c r="H30" s="202">
        <v>26.6</v>
      </c>
    </row>
    <row r="31" spans="2:8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  <c r="H31" s="202">
        <v>31.3</v>
      </c>
    </row>
    <row r="32" spans="2:8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  <c r="H32" s="202">
        <v>37.200000000000003</v>
      </c>
    </row>
    <row r="33" spans="2:12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2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2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2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2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2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2" ht="18" customHeight="1" x14ac:dyDescent="0.25">
      <c r="B39" s="2" t="s">
        <v>27</v>
      </c>
      <c r="C39" s="93"/>
      <c r="D39" s="94"/>
      <c r="E39" s="95"/>
      <c r="F39" s="95"/>
    </row>
    <row r="40" spans="2:12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2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2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2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2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2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2" ht="18" customHeight="1" x14ac:dyDescent="0.25">
      <c r="B46" s="2" t="s">
        <v>116</v>
      </c>
      <c r="C46" s="93"/>
      <c r="D46" s="94"/>
      <c r="E46" s="95"/>
      <c r="F46" s="95"/>
    </row>
    <row r="47" spans="2:12" ht="18" customHeight="1" x14ac:dyDescent="0.25"/>
    <row r="48" spans="2:12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100</v>
      </c>
      <c r="I48">
        <v>84</v>
      </c>
      <c r="J48">
        <v>80</v>
      </c>
      <c r="K48">
        <v>75</v>
      </c>
      <c r="L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5">C9</f>
        <v>130.5</v>
      </c>
      <c r="D49">
        <f t="shared" si="5"/>
        <v>0.53834500000000007</v>
      </c>
      <c r="E49" s="152">
        <f t="shared" si="5"/>
        <v>0.157</v>
      </c>
      <c r="F49" s="3">
        <f t="shared" si="5"/>
        <v>11132</v>
      </c>
      <c r="H49">
        <f>($E49)*$H$48/60</f>
        <v>0.26166666666666666</v>
      </c>
      <c r="I49">
        <f>($E49)*$I$48/60</f>
        <v>0.21980000000000002</v>
      </c>
      <c r="J49">
        <f>($E49)*$J$48/60</f>
        <v>0.20933333333333334</v>
      </c>
      <c r="K49">
        <f>($E49)*$K$48/60</f>
        <v>0.19625000000000001</v>
      </c>
      <c r="L49">
        <f>($E49)*$L$48/60</f>
        <v>0.157</v>
      </c>
      <c r="M49">
        <f>$F49*60/$H$48</f>
        <v>6679.2</v>
      </c>
      <c r="N49">
        <f>$F49*60/$I$48</f>
        <v>7951.4285714285716</v>
      </c>
      <c r="O49">
        <f>$F49*60/$J$48</f>
        <v>8349</v>
      </c>
      <c r="P49">
        <f>$F49*60/$K$48</f>
        <v>8905.6</v>
      </c>
      <c r="Q49">
        <f>$F49*60/$L$48</f>
        <v>11132</v>
      </c>
      <c r="R49">
        <f>$D49*(1+(1-(60/$H$48)))</f>
        <v>0.7536830000000001</v>
      </c>
      <c r="S49">
        <f>$D49*(1+(1-(60/$I$48)))</f>
        <v>0.69215785714285716</v>
      </c>
      <c r="T49">
        <f>$D49*(1+(1-(60/$J$48)))</f>
        <v>0.67293125000000009</v>
      </c>
      <c r="U49">
        <f>$D49*(1+(1-(60/$K$48)))</f>
        <v>0.64601400000000009</v>
      </c>
      <c r="V49">
        <f>$D49*(1+(1-(60/$L$48)))</f>
        <v>0.53834500000000007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0.14899999999999999</v>
      </c>
      <c r="F50" s="3">
        <f t="shared" si="5"/>
        <v>9958</v>
      </c>
      <c r="H50">
        <f t="shared" ref="H50:H60" si="6">($E50)*$H$48/60</f>
        <v>0.24833333333333332</v>
      </c>
      <c r="I50">
        <f t="shared" ref="I50:I60" si="7">($E50)*$I$48/60</f>
        <v>0.20860000000000001</v>
      </c>
      <c r="J50">
        <f t="shared" ref="J50:J60" si="8">($E50)*$J$48/60</f>
        <v>0.19866666666666666</v>
      </c>
      <c r="K50">
        <f t="shared" ref="K50:K60" si="9">($E50)*$K$48/60</f>
        <v>0.18624999999999997</v>
      </c>
      <c r="L50">
        <f t="shared" ref="L50:L60" si="10">($E50)*$L$48/60</f>
        <v>0.14899999999999999</v>
      </c>
      <c r="M50">
        <f t="shared" ref="M50:M60" si="11">$F50*60/$H$48</f>
        <v>5974.8</v>
      </c>
      <c r="N50">
        <f t="shared" ref="N50:N60" si="12">$F50*60/$I$48</f>
        <v>7112.8571428571431</v>
      </c>
      <c r="O50">
        <f t="shared" ref="O50:O60" si="13">$F50*60/$J$48</f>
        <v>7468.5</v>
      </c>
      <c r="P50">
        <f t="shared" ref="P50:P60" si="14">$F50*60/$K$48</f>
        <v>7966.4</v>
      </c>
      <c r="Q50">
        <f t="shared" ref="Q50:Q60" si="15">$F50*60/$L$48</f>
        <v>9958</v>
      </c>
      <c r="R50">
        <f t="shared" ref="R50:R59" si="16">$D50*(1+(1-(60/$H$48)))</f>
        <v>0.69299999999999995</v>
      </c>
      <c r="S50">
        <f t="shared" ref="S50:S60" si="17">$D50*(1+(1-(60/$I$48)))</f>
        <v>0.63642857142857134</v>
      </c>
      <c r="T50">
        <f t="shared" ref="T50:T60" si="18">$D50*(1+(1-(60/$J$48)))</f>
        <v>0.61875000000000002</v>
      </c>
      <c r="U50">
        <f t="shared" ref="U50:U60" si="19">$D50*(1+(1-(60/$K$48)))</f>
        <v>0.59399999999999997</v>
      </c>
      <c r="V50">
        <f t="shared" ref="V50:V60" si="20">$D50*(1+(1-(60/$L$48)))</f>
        <v>0.495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0.14099999999999999</v>
      </c>
      <c r="F51" s="3">
        <f t="shared" si="5"/>
        <v>8949</v>
      </c>
      <c r="H51">
        <f t="shared" si="6"/>
        <v>0.23499999999999996</v>
      </c>
      <c r="I51">
        <f t="shared" si="7"/>
        <v>0.19739999999999999</v>
      </c>
      <c r="J51">
        <f t="shared" si="8"/>
        <v>0.188</v>
      </c>
      <c r="K51">
        <f t="shared" si="9"/>
        <v>0.17624999999999999</v>
      </c>
      <c r="L51">
        <f t="shared" si="10"/>
        <v>0.14099999999999999</v>
      </c>
      <c r="M51">
        <f t="shared" si="11"/>
        <v>5369.4</v>
      </c>
      <c r="N51">
        <f t="shared" si="12"/>
        <v>6392.1428571428569</v>
      </c>
      <c r="O51">
        <f t="shared" si="13"/>
        <v>6711.75</v>
      </c>
      <c r="P51">
        <f t="shared" si="14"/>
        <v>7159.2</v>
      </c>
      <c r="Q51">
        <f t="shared" si="15"/>
        <v>8949</v>
      </c>
      <c r="R51">
        <f t="shared" si="16"/>
        <v>0.48159999999999992</v>
      </c>
      <c r="S51">
        <f t="shared" si="17"/>
        <v>0.44228571428571423</v>
      </c>
      <c r="T51">
        <f t="shared" si="18"/>
        <v>0.42999999999999994</v>
      </c>
      <c r="U51">
        <f t="shared" si="19"/>
        <v>0.41279999999999994</v>
      </c>
      <c r="V51">
        <f t="shared" si="20"/>
        <v>0.34399999999999997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0.13500000000000001</v>
      </c>
      <c r="F52" s="3">
        <f t="shared" si="5"/>
        <v>8025</v>
      </c>
      <c r="H52">
        <f t="shared" si="6"/>
        <v>0.22500000000000001</v>
      </c>
      <c r="I52">
        <f t="shared" si="7"/>
        <v>0.189</v>
      </c>
      <c r="J52">
        <f t="shared" si="8"/>
        <v>0.18000000000000002</v>
      </c>
      <c r="K52">
        <f t="shared" si="9"/>
        <v>0.16875000000000001</v>
      </c>
      <c r="L52">
        <f t="shared" si="10"/>
        <v>0.13500000000000004</v>
      </c>
      <c r="M52">
        <f t="shared" si="11"/>
        <v>4815</v>
      </c>
      <c r="N52">
        <f t="shared" si="12"/>
        <v>5732.1428571428569</v>
      </c>
      <c r="O52">
        <f t="shared" si="13"/>
        <v>6018.75</v>
      </c>
      <c r="P52">
        <f t="shared" si="14"/>
        <v>6420</v>
      </c>
      <c r="Q52">
        <f t="shared" si="15"/>
        <v>8025</v>
      </c>
      <c r="R52">
        <f t="shared" si="16"/>
        <v>0.34719999999999995</v>
      </c>
      <c r="S52">
        <f t="shared" si="17"/>
        <v>0.31885714285714284</v>
      </c>
      <c r="T52">
        <f t="shared" si="18"/>
        <v>0.31</v>
      </c>
      <c r="U52">
        <f t="shared" si="19"/>
        <v>0.29759999999999998</v>
      </c>
      <c r="V52">
        <f t="shared" si="20"/>
        <v>0.248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</v>
      </c>
      <c r="F53" s="3">
        <f t="shared" si="5"/>
        <v>7363</v>
      </c>
      <c r="H53">
        <f t="shared" si="6"/>
        <v>0.21666666666666667</v>
      </c>
      <c r="I53">
        <f t="shared" si="7"/>
        <v>0.182</v>
      </c>
      <c r="J53">
        <f t="shared" si="8"/>
        <v>0.17333333333333334</v>
      </c>
      <c r="K53">
        <f t="shared" si="9"/>
        <v>0.16250000000000001</v>
      </c>
      <c r="L53">
        <f t="shared" si="10"/>
        <v>0.13</v>
      </c>
      <c r="M53">
        <f t="shared" si="11"/>
        <v>4417.8</v>
      </c>
      <c r="N53">
        <f t="shared" si="12"/>
        <v>5259.2857142857147</v>
      </c>
      <c r="O53">
        <f t="shared" si="13"/>
        <v>5522.25</v>
      </c>
      <c r="P53">
        <f t="shared" si="14"/>
        <v>5890.4</v>
      </c>
      <c r="Q53">
        <f t="shared" si="15"/>
        <v>7363</v>
      </c>
      <c r="R53">
        <f t="shared" si="16"/>
        <v>0.22160529999999998</v>
      </c>
      <c r="S53">
        <f t="shared" si="17"/>
        <v>0.20351507142857142</v>
      </c>
      <c r="T53">
        <f t="shared" si="18"/>
        <v>0.19786187499999999</v>
      </c>
      <c r="U53">
        <f t="shared" si="19"/>
        <v>0.18994739999999999</v>
      </c>
      <c r="V53">
        <f t="shared" si="20"/>
        <v>0.1582895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0.126</v>
      </c>
      <c r="F54" s="3">
        <f t="shared" si="5"/>
        <v>6803</v>
      </c>
      <c r="H54">
        <f t="shared" si="6"/>
        <v>0.21</v>
      </c>
      <c r="I54">
        <f t="shared" si="7"/>
        <v>0.1764</v>
      </c>
      <c r="J54">
        <f t="shared" si="8"/>
        <v>0.16800000000000001</v>
      </c>
      <c r="K54">
        <f t="shared" si="9"/>
        <v>0.1575</v>
      </c>
      <c r="L54">
        <f t="shared" si="10"/>
        <v>0.126</v>
      </c>
      <c r="M54">
        <f t="shared" si="11"/>
        <v>4081.8</v>
      </c>
      <c r="N54">
        <f t="shared" si="12"/>
        <v>4859.2857142857147</v>
      </c>
      <c r="O54">
        <f t="shared" si="13"/>
        <v>5102.25</v>
      </c>
      <c r="P54">
        <f t="shared" si="14"/>
        <v>5442.4</v>
      </c>
      <c r="Q54">
        <f t="shared" si="15"/>
        <v>6803</v>
      </c>
      <c r="R54">
        <f t="shared" si="16"/>
        <v>0.18110889999999999</v>
      </c>
      <c r="S54">
        <f t="shared" si="17"/>
        <v>0.16632449999999999</v>
      </c>
      <c r="T54">
        <f t="shared" si="18"/>
        <v>0.16170437499999998</v>
      </c>
      <c r="U54">
        <f t="shared" si="19"/>
        <v>0.15523619999999999</v>
      </c>
      <c r="V54">
        <f t="shared" si="20"/>
        <v>0.12936349999999999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0.122</v>
      </c>
      <c r="F55" s="3">
        <f t="shared" si="5"/>
        <v>6292</v>
      </c>
      <c r="H55">
        <f t="shared" si="6"/>
        <v>0.20333333333333331</v>
      </c>
      <c r="I55">
        <f t="shared" si="7"/>
        <v>0.17079999999999998</v>
      </c>
      <c r="J55">
        <f t="shared" si="8"/>
        <v>0.16266666666666665</v>
      </c>
      <c r="K55">
        <f t="shared" si="9"/>
        <v>0.1525</v>
      </c>
      <c r="L55">
        <f t="shared" si="10"/>
        <v>0.12200000000000001</v>
      </c>
      <c r="M55">
        <f t="shared" si="11"/>
        <v>3775.2</v>
      </c>
      <c r="N55">
        <f t="shared" si="12"/>
        <v>4494.2857142857147</v>
      </c>
      <c r="O55">
        <f t="shared" si="13"/>
        <v>4719</v>
      </c>
      <c r="P55">
        <f t="shared" si="14"/>
        <v>5033.6000000000004</v>
      </c>
      <c r="Q55">
        <f t="shared" si="15"/>
        <v>6292</v>
      </c>
      <c r="R55">
        <f t="shared" si="16"/>
        <v>0.14511209999999999</v>
      </c>
      <c r="S55">
        <f t="shared" si="17"/>
        <v>0.13326621428571428</v>
      </c>
      <c r="T55">
        <f t="shared" si="18"/>
        <v>0.12956437500000001</v>
      </c>
      <c r="U55">
        <f t="shared" si="19"/>
        <v>0.1243818</v>
      </c>
      <c r="V55">
        <f t="shared" si="20"/>
        <v>0.10365150000000001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</v>
      </c>
      <c r="F56" s="3">
        <f t="shared" si="5"/>
        <v>6253</v>
      </c>
      <c r="H56">
        <f t="shared" si="6"/>
        <v>0.2</v>
      </c>
      <c r="I56">
        <f t="shared" si="7"/>
        <v>0.16800000000000001</v>
      </c>
      <c r="J56">
        <f t="shared" si="8"/>
        <v>0.16</v>
      </c>
      <c r="K56">
        <f t="shared" si="9"/>
        <v>0.15</v>
      </c>
      <c r="L56">
        <f t="shared" si="10"/>
        <v>0.11999999999999998</v>
      </c>
      <c r="M56">
        <f t="shared" si="11"/>
        <v>3751.8</v>
      </c>
      <c r="N56">
        <f t="shared" si="12"/>
        <v>4466.4285714285716</v>
      </c>
      <c r="O56">
        <f t="shared" si="13"/>
        <v>4689.75</v>
      </c>
      <c r="P56">
        <f t="shared" si="14"/>
        <v>5002.3999999999996</v>
      </c>
      <c r="Q56">
        <f t="shared" si="15"/>
        <v>6253</v>
      </c>
      <c r="R56">
        <f t="shared" si="16"/>
        <v>0.11248999999999999</v>
      </c>
      <c r="S56">
        <f t="shared" si="17"/>
        <v>0.10330714285714285</v>
      </c>
      <c r="T56">
        <f t="shared" si="18"/>
        <v>0.10043750000000001</v>
      </c>
      <c r="U56">
        <f t="shared" si="19"/>
        <v>9.6420000000000006E-2</v>
      </c>
      <c r="V56">
        <f t="shared" si="20"/>
        <v>8.0350000000000005E-2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0.11700000000000001</v>
      </c>
      <c r="F57" s="3">
        <f t="shared" si="5"/>
        <v>5746</v>
      </c>
      <c r="H57">
        <f t="shared" si="6"/>
        <v>0.19500000000000001</v>
      </c>
      <c r="I57">
        <f t="shared" si="7"/>
        <v>0.16380000000000003</v>
      </c>
      <c r="J57">
        <f t="shared" si="8"/>
        <v>0.15600000000000003</v>
      </c>
      <c r="K57">
        <f t="shared" si="9"/>
        <v>0.14625000000000002</v>
      </c>
      <c r="L57">
        <f t="shared" si="10"/>
        <v>0.11700000000000001</v>
      </c>
      <c r="M57">
        <f t="shared" si="11"/>
        <v>3447.6</v>
      </c>
      <c r="N57">
        <f t="shared" si="12"/>
        <v>4104.2857142857147</v>
      </c>
      <c r="O57">
        <f t="shared" si="13"/>
        <v>4309.5</v>
      </c>
      <c r="P57">
        <f t="shared" si="14"/>
        <v>4596.8</v>
      </c>
      <c r="Q57">
        <f t="shared" si="15"/>
        <v>5746</v>
      </c>
      <c r="R57">
        <f t="shared" si="16"/>
        <v>9.1116900000000001E-2</v>
      </c>
      <c r="S57">
        <f t="shared" si="17"/>
        <v>8.3678785714285706E-2</v>
      </c>
      <c r="T57">
        <f t="shared" si="18"/>
        <v>8.1354375000000007E-2</v>
      </c>
      <c r="U57">
        <f t="shared" si="19"/>
        <v>7.8100199999999995E-2</v>
      </c>
      <c r="V57">
        <f t="shared" si="20"/>
        <v>6.5083500000000002E-2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0.112</v>
      </c>
      <c r="F58" s="3">
        <f t="shared" si="5"/>
        <v>5105</v>
      </c>
      <c r="H58">
        <f t="shared" si="6"/>
        <v>0.18666666666666668</v>
      </c>
      <c r="I58">
        <f t="shared" si="7"/>
        <v>0.15679999999999999</v>
      </c>
      <c r="J58">
        <f t="shared" si="8"/>
        <v>0.14933333333333335</v>
      </c>
      <c r="K58">
        <f t="shared" si="9"/>
        <v>0.14000000000000001</v>
      </c>
      <c r="L58">
        <f t="shared" si="10"/>
        <v>0.112</v>
      </c>
      <c r="M58">
        <f t="shared" si="11"/>
        <v>3063</v>
      </c>
      <c r="N58">
        <f t="shared" si="12"/>
        <v>3646.4285714285716</v>
      </c>
      <c r="O58">
        <f t="shared" si="13"/>
        <v>3828.75</v>
      </c>
      <c r="P58">
        <f t="shared" si="14"/>
        <v>4084</v>
      </c>
      <c r="Q58">
        <f t="shared" si="15"/>
        <v>5105</v>
      </c>
      <c r="R58">
        <f t="shared" si="16"/>
        <v>7.4243400000000001E-2</v>
      </c>
      <c r="S58">
        <f t="shared" si="17"/>
        <v>6.8182714285714277E-2</v>
      </c>
      <c r="T58">
        <f t="shared" si="18"/>
        <v>6.6288750000000007E-2</v>
      </c>
      <c r="U58">
        <f t="shared" si="19"/>
        <v>6.3637200000000005E-2</v>
      </c>
      <c r="V58">
        <f t="shared" si="20"/>
        <v>5.3031000000000002E-2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0.112</v>
      </c>
      <c r="F59" s="3">
        <f t="shared" si="5"/>
        <v>4669</v>
      </c>
      <c r="H59">
        <f t="shared" si="6"/>
        <v>0.18666666666666668</v>
      </c>
      <c r="I59">
        <f t="shared" si="7"/>
        <v>0.15679999999999999</v>
      </c>
      <c r="J59">
        <f t="shared" si="8"/>
        <v>0.14933333333333335</v>
      </c>
      <c r="K59">
        <f t="shared" si="9"/>
        <v>0.14000000000000001</v>
      </c>
      <c r="L59">
        <f t="shared" si="10"/>
        <v>0.112</v>
      </c>
      <c r="M59">
        <f t="shared" si="11"/>
        <v>2801.4</v>
      </c>
      <c r="N59">
        <f t="shared" si="12"/>
        <v>3335</v>
      </c>
      <c r="O59">
        <f t="shared" si="13"/>
        <v>3501.75</v>
      </c>
      <c r="P59">
        <f t="shared" si="14"/>
        <v>3735.2</v>
      </c>
      <c r="Q59">
        <f t="shared" si="15"/>
        <v>4669</v>
      </c>
      <c r="R59">
        <f t="shared" si="16"/>
        <v>6.6486699999999996E-2</v>
      </c>
      <c r="S59">
        <f t="shared" si="17"/>
        <v>6.1059214285714286E-2</v>
      </c>
      <c r="T59">
        <f t="shared" si="18"/>
        <v>5.9363125000000003E-2</v>
      </c>
      <c r="U59">
        <f t="shared" si="19"/>
        <v>5.69886E-2</v>
      </c>
      <c r="V59">
        <f t="shared" si="20"/>
        <v>4.7490500000000005E-2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0.18949999999999997</v>
      </c>
      <c r="I60">
        <f t="shared" si="7"/>
        <v>0.15917999999999999</v>
      </c>
      <c r="J60">
        <f t="shared" si="8"/>
        <v>0.15160000000000001</v>
      </c>
      <c r="K60">
        <f t="shared" si="9"/>
        <v>0.142125</v>
      </c>
      <c r="L60">
        <f t="shared" si="10"/>
        <v>0.1137</v>
      </c>
      <c r="M60">
        <f t="shared" si="11"/>
        <v>2749.8</v>
      </c>
      <c r="N60">
        <f t="shared" si="12"/>
        <v>3273.5714285714284</v>
      </c>
      <c r="O60">
        <f t="shared" si="13"/>
        <v>3437.25</v>
      </c>
      <c r="P60">
        <f t="shared" si="14"/>
        <v>3666.4</v>
      </c>
      <c r="Q60">
        <f t="shared" si="15"/>
        <v>4583</v>
      </c>
      <c r="R60">
        <f>$D60*(1+(1-(60/$H$48)))</f>
        <v>5.8729999999999997E-2</v>
      </c>
      <c r="S60">
        <f t="shared" si="17"/>
        <v>5.3935714285714281E-2</v>
      </c>
      <c r="T60">
        <f t="shared" si="18"/>
        <v>5.2437499999999998E-2</v>
      </c>
      <c r="U60">
        <f t="shared" si="19"/>
        <v>5.0340000000000003E-2</v>
      </c>
      <c r="V60">
        <f t="shared" si="20"/>
        <v>4.1950000000000001E-2</v>
      </c>
    </row>
    <row r="61" spans="1:22" ht="18" customHeight="1" x14ac:dyDescent="0.25">
      <c r="B61" s="3" t="str">
        <f>B21</f>
        <v>20/35kV EPR 35mm2 Cu</v>
      </c>
      <c r="C61" s="3">
        <f t="shared" si="5"/>
        <v>0</v>
      </c>
      <c r="D61" s="152">
        <f t="shared" si="5"/>
        <v>0</v>
      </c>
      <c r="E61" s="152">
        <f t="shared" si="5"/>
        <v>0</v>
      </c>
      <c r="F61" s="3">
        <f t="shared" si="5"/>
        <v>0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si="5"/>
        <v>250.85</v>
      </c>
      <c r="D65" s="152">
        <f t="shared" si="5"/>
        <v>0.1582895</v>
      </c>
      <c r="E65" s="152">
        <f t="shared" si="5"/>
        <v>0.13</v>
      </c>
      <c r="F65" s="3">
        <f t="shared" si="5"/>
        <v>14663</v>
      </c>
    </row>
    <row r="66" spans="2:6" ht="18" customHeight="1" x14ac:dyDescent="0.25">
      <c r="B66" s="2" t="s">
        <v>11</v>
      </c>
      <c r="C66" s="3">
        <f t="shared" si="5"/>
        <v>278.39999999999998</v>
      </c>
      <c r="D66" s="152">
        <f t="shared" si="5"/>
        <v>0.12936349999999999</v>
      </c>
      <c r="E66" s="152">
        <f t="shared" si="5"/>
        <v>0.126</v>
      </c>
      <c r="F66" s="3">
        <f t="shared" si="5"/>
        <v>13715</v>
      </c>
    </row>
    <row r="67" spans="2:6" ht="18" customHeight="1" x14ac:dyDescent="0.25">
      <c r="B67" s="2" t="s">
        <v>12</v>
      </c>
      <c r="C67" s="3">
        <f t="shared" si="5"/>
        <v>311.02500000000003</v>
      </c>
      <c r="D67" s="152">
        <f t="shared" si="5"/>
        <v>0.10365150000000001</v>
      </c>
      <c r="E67" s="152">
        <f t="shared" si="5"/>
        <v>0.122</v>
      </c>
      <c r="F67" s="3">
        <f t="shared" si="5"/>
        <v>12781</v>
      </c>
    </row>
    <row r="68" spans="2:6" ht="18" customHeight="1" x14ac:dyDescent="0.25">
      <c r="B68" s="2" t="s">
        <v>13</v>
      </c>
      <c r="C68" s="3">
        <f t="shared" si="5"/>
        <v>362.5</v>
      </c>
      <c r="D68" s="152">
        <f t="shared" si="5"/>
        <v>8.0350000000000005E-2</v>
      </c>
      <c r="E68" s="152">
        <f t="shared" si="5"/>
        <v>0.12</v>
      </c>
      <c r="F68" s="3">
        <f t="shared" si="5"/>
        <v>11528</v>
      </c>
    </row>
    <row r="69" spans="2:6" ht="18" customHeight="1" x14ac:dyDescent="0.25">
      <c r="B69" s="2" t="s">
        <v>14</v>
      </c>
      <c r="C69" s="3">
        <f t="shared" si="5"/>
        <v>395.125</v>
      </c>
      <c r="D69" s="152">
        <f t="shared" si="5"/>
        <v>6.5083500000000002E-2</v>
      </c>
      <c r="E69" s="152">
        <f t="shared" si="5"/>
        <v>0.11700000000000001</v>
      </c>
      <c r="F69" s="3">
        <f t="shared" si="5"/>
        <v>10665</v>
      </c>
    </row>
    <row r="70" spans="2:6" ht="18" customHeight="1" x14ac:dyDescent="0.25">
      <c r="B70" s="2" t="s">
        <v>16</v>
      </c>
      <c r="C70" s="3">
        <f t="shared" si="5"/>
        <v>435</v>
      </c>
      <c r="D70" s="152">
        <f t="shared" si="5"/>
        <v>5.3031000000000002E-2</v>
      </c>
      <c r="E70" s="152">
        <f t="shared" si="5"/>
        <v>0.112</v>
      </c>
      <c r="F70" s="3">
        <f t="shared" si="5"/>
        <v>9879</v>
      </c>
    </row>
    <row r="71" spans="2:6" ht="18" customHeight="1" x14ac:dyDescent="0.25">
      <c r="B71" s="2" t="s">
        <v>15</v>
      </c>
      <c r="C71" s="3">
        <f t="shared" si="5"/>
        <v>477.77500000000003</v>
      </c>
      <c r="D71" s="152">
        <f t="shared" si="5"/>
        <v>3.573614130444993E-2</v>
      </c>
      <c r="E71" s="152">
        <f t="shared" si="5"/>
        <v>0.10871469193119648</v>
      </c>
      <c r="F71" s="3">
        <f t="shared" si="5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6" t="s">
        <v>28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8"/>
      <c r="Q2" s="11"/>
      <c r="R2" s="12"/>
      <c r="S2" s="266" t="s">
        <v>29</v>
      </c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8"/>
      <c r="AH2" s="13"/>
      <c r="AI2" s="12"/>
      <c r="AJ2" s="257" t="s">
        <v>30</v>
      </c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9"/>
      <c r="AY2" s="13"/>
      <c r="AZ2" s="12"/>
      <c r="BA2" s="266" t="s">
        <v>31</v>
      </c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267"/>
      <c r="BM2" s="267"/>
      <c r="BN2" s="267"/>
      <c r="BO2" s="268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9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1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72" t="s">
        <v>32</v>
      </c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4"/>
      <c r="Q4" s="20"/>
      <c r="R4" s="21"/>
      <c r="S4" s="272" t="s">
        <v>33</v>
      </c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2"/>
      <c r="AH4" s="22"/>
      <c r="AI4" s="21"/>
      <c r="AJ4" s="260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2"/>
      <c r="AY4" s="22"/>
      <c r="AZ4" s="21"/>
      <c r="BA4" s="289" t="s">
        <v>34</v>
      </c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2"/>
    </row>
    <row r="5" spans="1:68" s="23" customFormat="1" ht="15" customHeight="1" thickBot="1" x14ac:dyDescent="0.3">
      <c r="A5" s="19"/>
      <c r="B5" s="275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7"/>
      <c r="Q5" s="20"/>
      <c r="R5" s="21"/>
      <c r="S5" s="283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5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9" t="s">
        <v>35</v>
      </c>
      <c r="BB5" s="289"/>
      <c r="BC5" s="289" t="s">
        <v>36</v>
      </c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2"/>
    </row>
    <row r="6" spans="1:68" s="23" customFormat="1" ht="15" customHeight="1" thickBot="1" x14ac:dyDescent="0.3">
      <c r="A6" s="19"/>
      <c r="B6" s="275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0"/>
      <c r="R6" s="21"/>
      <c r="S6" s="283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5"/>
      <c r="AH6" s="22"/>
      <c r="AI6" s="21"/>
      <c r="AJ6" s="245" t="s">
        <v>37</v>
      </c>
      <c r="AK6" s="246"/>
      <c r="AL6" s="246"/>
      <c r="AM6" s="246"/>
      <c r="AN6" s="246"/>
      <c r="AO6" s="247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8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80"/>
      <c r="Q7" s="20"/>
      <c r="R7" s="21"/>
      <c r="S7" s="286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7"/>
      <c r="AF7" s="287"/>
      <c r="AG7" s="288"/>
      <c r="AH7" s="22"/>
      <c r="AI7" s="21"/>
      <c r="AJ7" s="254" t="s">
        <v>39</v>
      </c>
      <c r="AK7" s="255"/>
      <c r="AL7" s="255"/>
      <c r="AM7" s="255"/>
      <c r="AN7" s="255"/>
      <c r="AO7" s="256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24" t="s">
        <v>41</v>
      </c>
      <c r="AK8" s="225"/>
      <c r="AL8" s="225"/>
      <c r="AM8" s="225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63" t="s">
        <v>43</v>
      </c>
      <c r="C9" s="264"/>
      <c r="D9" s="264"/>
      <c r="E9" s="264"/>
      <c r="F9" s="264"/>
      <c r="G9" s="264"/>
      <c r="H9" s="265"/>
      <c r="I9" s="11"/>
      <c r="J9" s="245" t="s">
        <v>44</v>
      </c>
      <c r="K9" s="246"/>
      <c r="L9" s="246"/>
      <c r="M9" s="246"/>
      <c r="N9" s="246"/>
      <c r="O9" s="246"/>
      <c r="P9" s="247"/>
      <c r="Q9" s="11"/>
      <c r="R9" s="12"/>
      <c r="S9" s="245" t="s">
        <v>43</v>
      </c>
      <c r="T9" s="246"/>
      <c r="U9" s="246"/>
      <c r="V9" s="246"/>
      <c r="W9" s="246"/>
      <c r="X9" s="246"/>
      <c r="Y9" s="247"/>
      <c r="Z9" s="11"/>
      <c r="AA9" s="245" t="s">
        <v>44</v>
      </c>
      <c r="AB9" s="246"/>
      <c r="AC9" s="246"/>
      <c r="AD9" s="246"/>
      <c r="AE9" s="246"/>
      <c r="AF9" s="246"/>
      <c r="AG9" s="247"/>
      <c r="AH9" s="13"/>
      <c r="AI9" s="12"/>
      <c r="AJ9" s="224" t="s">
        <v>5</v>
      </c>
      <c r="AK9" s="225"/>
      <c r="AL9" s="225"/>
      <c r="AM9" s="225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22" t="s">
        <v>46</v>
      </c>
      <c r="C10" s="223"/>
      <c r="D10" s="223"/>
      <c r="E10" s="223"/>
      <c r="F10" s="223"/>
      <c r="G10" s="30">
        <v>35</v>
      </c>
      <c r="H10" s="31" t="s">
        <v>47</v>
      </c>
      <c r="I10" s="29"/>
      <c r="J10" s="222" t="s">
        <v>46</v>
      </c>
      <c r="K10" s="223"/>
      <c r="L10" s="223"/>
      <c r="M10" s="223"/>
      <c r="N10" s="223"/>
      <c r="O10" s="30">
        <v>50</v>
      </c>
      <c r="P10" s="31" t="s">
        <v>47</v>
      </c>
      <c r="Q10" s="29"/>
      <c r="R10" s="32"/>
      <c r="S10" s="236" t="s">
        <v>46</v>
      </c>
      <c r="T10" s="237"/>
      <c r="U10" s="237"/>
      <c r="V10" s="237"/>
      <c r="W10" s="238"/>
      <c r="X10" s="30">
        <v>35</v>
      </c>
      <c r="Y10" s="31" t="s">
        <v>47</v>
      </c>
      <c r="Z10" s="29"/>
      <c r="AA10" s="236" t="s">
        <v>46</v>
      </c>
      <c r="AB10" s="237"/>
      <c r="AC10" s="237"/>
      <c r="AD10" s="237"/>
      <c r="AE10" s="238"/>
      <c r="AF10" s="30">
        <v>50</v>
      </c>
      <c r="AG10" s="31" t="s">
        <v>47</v>
      </c>
      <c r="AH10" s="33"/>
      <c r="AI10" s="32"/>
      <c r="AJ10" s="224" t="s">
        <v>41</v>
      </c>
      <c r="AK10" s="225"/>
      <c r="AL10" s="225"/>
      <c r="AM10" s="225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24" t="s">
        <v>49</v>
      </c>
      <c r="C11" s="225"/>
      <c r="D11" s="225"/>
      <c r="E11" s="225"/>
      <c r="F11" s="225"/>
      <c r="G11" s="34">
        <v>180</v>
      </c>
      <c r="H11" s="27" t="s">
        <v>50</v>
      </c>
      <c r="I11" s="29"/>
      <c r="J11" s="224" t="s">
        <v>49</v>
      </c>
      <c r="K11" s="225"/>
      <c r="L11" s="225"/>
      <c r="M11" s="225"/>
      <c r="N11" s="225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24" t="s">
        <v>53</v>
      </c>
      <c r="AK11" s="225"/>
      <c r="AL11" s="225"/>
      <c r="AM11" s="225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24" t="s">
        <v>55</v>
      </c>
      <c r="C12" s="225"/>
      <c r="D12" s="225"/>
      <c r="E12" s="225"/>
      <c r="F12" s="225"/>
      <c r="G12" s="38">
        <f>G11/1.2</f>
        <v>150</v>
      </c>
      <c r="H12" s="27" t="s">
        <v>50</v>
      </c>
      <c r="I12" s="29"/>
      <c r="J12" s="224" t="s">
        <v>55</v>
      </c>
      <c r="K12" s="225"/>
      <c r="L12" s="225"/>
      <c r="M12" s="225"/>
      <c r="N12" s="225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24" t="s">
        <v>57</v>
      </c>
      <c r="AK12" s="225"/>
      <c r="AL12" s="225"/>
      <c r="AM12" s="225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20" t="s">
        <v>58</v>
      </c>
      <c r="C13" s="221"/>
      <c r="D13" s="221"/>
      <c r="E13" s="221"/>
      <c r="F13" s="221"/>
      <c r="G13" s="41">
        <f>G11*0.87</f>
        <v>156.6</v>
      </c>
      <c r="H13" s="42" t="s">
        <v>50</v>
      </c>
      <c r="I13" s="29"/>
      <c r="J13" s="220" t="s">
        <v>58</v>
      </c>
      <c r="K13" s="221"/>
      <c r="L13" s="221"/>
      <c r="M13" s="221"/>
      <c r="N13" s="221"/>
      <c r="O13" s="41">
        <f>O11*0.87</f>
        <v>184.44</v>
      </c>
      <c r="P13" s="42" t="s">
        <v>50</v>
      </c>
      <c r="Q13" s="43"/>
      <c r="R13" s="44"/>
      <c r="S13" s="233" t="s">
        <v>59</v>
      </c>
      <c r="T13" s="234"/>
      <c r="U13" s="234"/>
      <c r="V13" s="234"/>
      <c r="W13" s="235"/>
      <c r="X13" s="45">
        <v>0.157</v>
      </c>
      <c r="Y13" s="46" t="s">
        <v>52</v>
      </c>
      <c r="Z13" s="29"/>
      <c r="AA13" s="233" t="s">
        <v>59</v>
      </c>
      <c r="AB13" s="234"/>
      <c r="AC13" s="234"/>
      <c r="AD13" s="234"/>
      <c r="AE13" s="235"/>
      <c r="AF13" s="45">
        <v>0.14899999999999999</v>
      </c>
      <c r="AG13" s="46" t="s">
        <v>52</v>
      </c>
      <c r="AH13" s="47"/>
      <c r="AI13" s="44"/>
      <c r="AJ13" s="224" t="s">
        <v>60</v>
      </c>
      <c r="AK13" s="225"/>
      <c r="AL13" s="225"/>
      <c r="AM13" s="225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20" t="s">
        <v>62</v>
      </c>
      <c r="C14" s="221"/>
      <c r="D14" s="221"/>
      <c r="E14" s="221"/>
      <c r="F14" s="221"/>
      <c r="G14" s="41">
        <f>G13/1.2</f>
        <v>130.5</v>
      </c>
      <c r="H14" s="42" t="s">
        <v>50</v>
      </c>
      <c r="I14" s="29"/>
      <c r="J14" s="220" t="s">
        <v>62</v>
      </c>
      <c r="K14" s="221"/>
      <c r="L14" s="221"/>
      <c r="M14" s="221"/>
      <c r="N14" s="221"/>
      <c r="O14" s="41">
        <f>O13/1.2</f>
        <v>153.70000000000002</v>
      </c>
      <c r="P14" s="42" t="s">
        <v>50</v>
      </c>
      <c r="Q14" s="43"/>
      <c r="R14" s="44"/>
      <c r="S14" s="230">
        <v>60</v>
      </c>
      <c r="T14" s="230"/>
      <c r="U14" s="230"/>
      <c r="V14" s="230"/>
      <c r="W14" s="230"/>
      <c r="X14" s="48"/>
      <c r="Y14" s="29"/>
      <c r="Z14" s="29"/>
      <c r="AA14" s="230"/>
      <c r="AB14" s="230"/>
      <c r="AC14" s="230"/>
      <c r="AD14" s="230"/>
      <c r="AE14" s="230"/>
      <c r="AF14" s="48"/>
      <c r="AG14" s="29"/>
      <c r="AH14" s="47"/>
      <c r="AI14" s="44"/>
      <c r="AJ14" s="224" t="s">
        <v>63</v>
      </c>
      <c r="AK14" s="225"/>
      <c r="AL14" s="225"/>
      <c r="AM14" s="225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31" t="s">
        <v>64</v>
      </c>
      <c r="C15" s="232"/>
      <c r="D15" s="232"/>
      <c r="E15" s="232"/>
      <c r="F15" s="232"/>
      <c r="G15" s="51">
        <f>G11*0.76</f>
        <v>136.80000000000001</v>
      </c>
      <c r="H15" s="52" t="s">
        <v>50</v>
      </c>
      <c r="I15" s="29"/>
      <c r="J15" s="231" t="s">
        <v>64</v>
      </c>
      <c r="K15" s="232"/>
      <c r="L15" s="232"/>
      <c r="M15" s="232"/>
      <c r="N15" s="232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24" t="s">
        <v>65</v>
      </c>
      <c r="AK15" s="225"/>
      <c r="AL15" s="225"/>
      <c r="AM15" s="225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8" t="s">
        <v>66</v>
      </c>
      <c r="C16" s="219"/>
      <c r="D16" s="219"/>
      <c r="E16" s="219"/>
      <c r="F16" s="219"/>
      <c r="G16" s="56">
        <f>G15/1.2</f>
        <v>114.00000000000001</v>
      </c>
      <c r="H16" s="57" t="s">
        <v>50</v>
      </c>
      <c r="I16" s="29"/>
      <c r="J16" s="218" t="s">
        <v>66</v>
      </c>
      <c r="K16" s="219"/>
      <c r="L16" s="219"/>
      <c r="M16" s="219"/>
      <c r="N16" s="219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8" t="s">
        <v>67</v>
      </c>
      <c r="AK16" s="249"/>
      <c r="AL16" s="249"/>
      <c r="AM16" s="249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6" t="s">
        <v>158</v>
      </c>
      <c r="C17" s="217"/>
      <c r="D17" s="217"/>
      <c r="E17" s="217"/>
      <c r="F17" s="217"/>
      <c r="G17" s="191">
        <f>G11*0.708</f>
        <v>127.44</v>
      </c>
      <c r="H17" s="190" t="s">
        <v>50</v>
      </c>
      <c r="I17" s="29"/>
      <c r="J17" s="216" t="s">
        <v>158</v>
      </c>
      <c r="K17" s="217"/>
      <c r="L17" s="217"/>
      <c r="M17" s="217"/>
      <c r="N17" s="217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45" t="s">
        <v>69</v>
      </c>
      <c r="C18" s="246"/>
      <c r="D18" s="246"/>
      <c r="E18" s="246"/>
      <c r="F18" s="246"/>
      <c r="G18" s="246"/>
      <c r="H18" s="247"/>
      <c r="I18" s="11"/>
      <c r="J18" s="245" t="s">
        <v>70</v>
      </c>
      <c r="K18" s="246"/>
      <c r="L18" s="246"/>
      <c r="M18" s="246"/>
      <c r="N18" s="246"/>
      <c r="O18" s="246"/>
      <c r="P18" s="247"/>
      <c r="Q18" s="11"/>
      <c r="R18" s="12"/>
      <c r="S18" s="245" t="s">
        <v>69</v>
      </c>
      <c r="T18" s="246"/>
      <c r="U18" s="246"/>
      <c r="V18" s="246"/>
      <c r="W18" s="246"/>
      <c r="X18" s="246"/>
      <c r="Y18" s="247"/>
      <c r="Z18" s="11"/>
      <c r="AA18" s="245" t="s">
        <v>70</v>
      </c>
      <c r="AB18" s="246"/>
      <c r="AC18" s="246"/>
      <c r="AD18" s="246"/>
      <c r="AE18" s="246"/>
      <c r="AF18" s="246"/>
      <c r="AG18" s="247"/>
      <c r="AH18" s="13"/>
      <c r="AI18" s="12"/>
      <c r="AJ18" s="257" t="s">
        <v>71</v>
      </c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9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22" t="s">
        <v>46</v>
      </c>
      <c r="C19" s="223"/>
      <c r="D19" s="223"/>
      <c r="E19" s="223"/>
      <c r="F19" s="223"/>
      <c r="G19" s="30">
        <v>70</v>
      </c>
      <c r="H19" s="31" t="s">
        <v>47</v>
      </c>
      <c r="I19" s="29"/>
      <c r="J19" s="222" t="s">
        <v>46</v>
      </c>
      <c r="K19" s="223"/>
      <c r="L19" s="223"/>
      <c r="M19" s="223"/>
      <c r="N19" s="223"/>
      <c r="O19" s="30">
        <v>95</v>
      </c>
      <c r="P19" s="31" t="s">
        <v>47</v>
      </c>
      <c r="Q19" s="29"/>
      <c r="R19" s="32"/>
      <c r="S19" s="236" t="s">
        <v>46</v>
      </c>
      <c r="T19" s="237"/>
      <c r="U19" s="237"/>
      <c r="V19" s="237"/>
      <c r="W19" s="238"/>
      <c r="X19" s="30">
        <v>70</v>
      </c>
      <c r="Y19" s="31" t="s">
        <v>47</v>
      </c>
      <c r="Z19" s="29"/>
      <c r="AA19" s="236" t="s">
        <v>46</v>
      </c>
      <c r="AB19" s="237"/>
      <c r="AC19" s="237"/>
      <c r="AD19" s="237"/>
      <c r="AE19" s="238"/>
      <c r="AF19" s="30">
        <v>95</v>
      </c>
      <c r="AG19" s="31" t="s">
        <v>47</v>
      </c>
      <c r="AH19" s="33"/>
      <c r="AI19" s="32"/>
      <c r="AJ19" s="260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2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24" t="s">
        <v>49</v>
      </c>
      <c r="C20" s="225"/>
      <c r="D20" s="225"/>
      <c r="E20" s="225"/>
      <c r="F20" s="225"/>
      <c r="G20" s="34">
        <v>258</v>
      </c>
      <c r="H20" s="27" t="s">
        <v>50</v>
      </c>
      <c r="I20" s="29"/>
      <c r="J20" s="224" t="s">
        <v>49</v>
      </c>
      <c r="K20" s="225"/>
      <c r="L20" s="225"/>
      <c r="M20" s="225"/>
      <c r="N20" s="225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24" t="s">
        <v>55</v>
      </c>
      <c r="C21" s="225"/>
      <c r="D21" s="225"/>
      <c r="E21" s="225"/>
      <c r="F21" s="225"/>
      <c r="G21" s="38">
        <f>G20/1.2</f>
        <v>215</v>
      </c>
      <c r="H21" s="27" t="s">
        <v>50</v>
      </c>
      <c r="I21" s="29"/>
      <c r="J21" s="224" t="s">
        <v>55</v>
      </c>
      <c r="K21" s="225"/>
      <c r="L21" s="225"/>
      <c r="M21" s="225"/>
      <c r="N21" s="225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45" t="s">
        <v>72</v>
      </c>
      <c r="AK21" s="246"/>
      <c r="AL21" s="246"/>
      <c r="AM21" s="246"/>
      <c r="AN21" s="247"/>
      <c r="AO21" s="29"/>
      <c r="AP21" s="245" t="s">
        <v>73</v>
      </c>
      <c r="AQ21" s="246"/>
      <c r="AR21" s="246"/>
      <c r="AS21" s="246"/>
      <c r="AT21" s="247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20" t="s">
        <v>58</v>
      </c>
      <c r="C22" s="221"/>
      <c r="D22" s="221"/>
      <c r="E22" s="221"/>
      <c r="F22" s="221"/>
      <c r="G22" s="41">
        <f>G20*0.87</f>
        <v>224.46</v>
      </c>
      <c r="H22" s="42" t="s">
        <v>50</v>
      </c>
      <c r="I22" s="29"/>
      <c r="J22" s="220" t="s">
        <v>58</v>
      </c>
      <c r="K22" s="221"/>
      <c r="L22" s="221"/>
      <c r="M22" s="221"/>
      <c r="N22" s="221"/>
      <c r="O22" s="41">
        <f>O20*0.87</f>
        <v>266.21999999999997</v>
      </c>
      <c r="P22" s="42" t="s">
        <v>50</v>
      </c>
      <c r="Q22" s="43"/>
      <c r="R22" s="44"/>
      <c r="S22" s="233" t="s">
        <v>59</v>
      </c>
      <c r="T22" s="234"/>
      <c r="U22" s="234"/>
      <c r="V22" s="234"/>
      <c r="W22" s="235"/>
      <c r="X22" s="45">
        <v>0.14099999999999999</v>
      </c>
      <c r="Y22" s="46" t="s">
        <v>52</v>
      </c>
      <c r="Z22" s="29"/>
      <c r="AA22" s="233" t="s">
        <v>59</v>
      </c>
      <c r="AB22" s="234"/>
      <c r="AC22" s="234"/>
      <c r="AD22" s="234"/>
      <c r="AE22" s="235"/>
      <c r="AF22" s="45">
        <v>0.13500000000000001</v>
      </c>
      <c r="AG22" s="46" t="s">
        <v>52</v>
      </c>
      <c r="AH22" s="47"/>
      <c r="AI22" s="44"/>
      <c r="AJ22" s="254" t="s">
        <v>39</v>
      </c>
      <c r="AK22" s="255"/>
      <c r="AL22" s="255"/>
      <c r="AM22" s="255"/>
      <c r="AN22" s="256"/>
      <c r="AO22" s="43"/>
      <c r="AP22" s="254" t="s">
        <v>39</v>
      </c>
      <c r="AQ22" s="255"/>
      <c r="AR22" s="255"/>
      <c r="AS22" s="255"/>
      <c r="AT22" s="256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20" t="s">
        <v>62</v>
      </c>
      <c r="C23" s="221"/>
      <c r="D23" s="221"/>
      <c r="E23" s="221"/>
      <c r="F23" s="221"/>
      <c r="G23" s="41">
        <f>G22/1.2</f>
        <v>187.05</v>
      </c>
      <c r="H23" s="42" t="s">
        <v>50</v>
      </c>
      <c r="I23" s="29"/>
      <c r="J23" s="220" t="s">
        <v>62</v>
      </c>
      <c r="K23" s="221"/>
      <c r="L23" s="221"/>
      <c r="M23" s="221"/>
      <c r="N23" s="221"/>
      <c r="O23" s="41">
        <f>O22/1.2</f>
        <v>221.85</v>
      </c>
      <c r="P23" s="42" t="s">
        <v>50</v>
      </c>
      <c r="Q23" s="43"/>
      <c r="R23" s="44"/>
      <c r="S23" s="230"/>
      <c r="T23" s="230"/>
      <c r="U23" s="230"/>
      <c r="V23" s="230"/>
      <c r="W23" s="230"/>
      <c r="X23" s="48"/>
      <c r="Y23" s="29"/>
      <c r="Z23" s="29"/>
      <c r="AA23" s="230"/>
      <c r="AB23" s="230"/>
      <c r="AC23" s="230"/>
      <c r="AD23" s="230"/>
      <c r="AE23" s="230"/>
      <c r="AF23" s="48"/>
      <c r="AG23" s="29"/>
      <c r="AH23" s="47"/>
      <c r="AI23" s="44"/>
      <c r="AJ23" s="224" t="s">
        <v>41</v>
      </c>
      <c r="AK23" s="225"/>
      <c r="AL23" s="225"/>
      <c r="AM23" s="26">
        <v>1119</v>
      </c>
      <c r="AN23" s="60" t="s">
        <v>48</v>
      </c>
      <c r="AO23" s="43"/>
      <c r="AP23" s="224" t="s">
        <v>41</v>
      </c>
      <c r="AQ23" s="225"/>
      <c r="AR23" s="225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31" t="s">
        <v>64</v>
      </c>
      <c r="C24" s="232"/>
      <c r="D24" s="232"/>
      <c r="E24" s="232"/>
      <c r="F24" s="232"/>
      <c r="G24" s="51">
        <f>G20*0.76</f>
        <v>196.08</v>
      </c>
      <c r="H24" s="52" t="s">
        <v>50</v>
      </c>
      <c r="I24" s="29"/>
      <c r="J24" s="231" t="s">
        <v>64</v>
      </c>
      <c r="K24" s="232"/>
      <c r="L24" s="232"/>
      <c r="M24" s="232"/>
      <c r="N24" s="232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24" t="s">
        <v>5</v>
      </c>
      <c r="AK24" s="225"/>
      <c r="AL24" s="225"/>
      <c r="AM24" s="26">
        <v>6600</v>
      </c>
      <c r="AN24" s="60" t="s">
        <v>45</v>
      </c>
      <c r="AO24" s="53"/>
      <c r="AP24" s="224" t="s">
        <v>5</v>
      </c>
      <c r="AQ24" s="225"/>
      <c r="AR24" s="225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8" t="s">
        <v>66</v>
      </c>
      <c r="C25" s="219"/>
      <c r="D25" s="219"/>
      <c r="E25" s="219"/>
      <c r="F25" s="219"/>
      <c r="G25" s="56">
        <f>G24/1.2</f>
        <v>163.4</v>
      </c>
      <c r="H25" s="57" t="s">
        <v>50</v>
      </c>
      <c r="I25" s="29"/>
      <c r="J25" s="218" t="s">
        <v>66</v>
      </c>
      <c r="K25" s="219"/>
      <c r="L25" s="219"/>
      <c r="M25" s="219"/>
      <c r="N25" s="219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24" t="s">
        <v>74</v>
      </c>
      <c r="AK25" s="225"/>
      <c r="AL25" s="225"/>
      <c r="AM25" s="61">
        <v>86</v>
      </c>
      <c r="AN25" s="60" t="s">
        <v>54</v>
      </c>
      <c r="AO25" s="53"/>
      <c r="AP25" s="224" t="s">
        <v>74</v>
      </c>
      <c r="AQ25" s="225"/>
      <c r="AR25" s="225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6" t="s">
        <v>158</v>
      </c>
      <c r="C26" s="217"/>
      <c r="D26" s="217"/>
      <c r="E26" s="217"/>
      <c r="F26" s="217"/>
      <c r="G26" s="191">
        <f>G20*0.708</f>
        <v>182.66399999999999</v>
      </c>
      <c r="H26" s="190" t="s">
        <v>50</v>
      </c>
      <c r="I26" s="29"/>
      <c r="J26" s="216" t="s">
        <v>158</v>
      </c>
      <c r="K26" s="217"/>
      <c r="L26" s="217"/>
      <c r="M26" s="217"/>
      <c r="N26" s="217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50" t="s">
        <v>75</v>
      </c>
      <c r="AK26" s="251"/>
      <c r="AL26" s="252"/>
      <c r="AM26" s="61">
        <f>71/AM25*100</f>
        <v>82.558139534883722</v>
      </c>
      <c r="AN26" s="60" t="s">
        <v>54</v>
      </c>
      <c r="AO26" s="29"/>
      <c r="AP26" s="250" t="s">
        <v>75</v>
      </c>
      <c r="AQ26" s="251"/>
      <c r="AR26" s="252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45" t="s">
        <v>76</v>
      </c>
      <c r="C27" s="246"/>
      <c r="D27" s="246"/>
      <c r="E27" s="246"/>
      <c r="F27" s="246"/>
      <c r="G27" s="246"/>
      <c r="H27" s="247"/>
      <c r="I27" s="11"/>
      <c r="J27" s="245" t="s">
        <v>77</v>
      </c>
      <c r="K27" s="246"/>
      <c r="L27" s="246"/>
      <c r="M27" s="246"/>
      <c r="N27" s="246"/>
      <c r="O27" s="246"/>
      <c r="P27" s="247"/>
      <c r="Q27" s="11"/>
      <c r="R27" s="12"/>
      <c r="S27" s="245" t="s">
        <v>76</v>
      </c>
      <c r="T27" s="246"/>
      <c r="U27" s="246"/>
      <c r="V27" s="246"/>
      <c r="W27" s="246"/>
      <c r="X27" s="246"/>
      <c r="Y27" s="247"/>
      <c r="Z27" s="11"/>
      <c r="AA27" s="245" t="s">
        <v>77</v>
      </c>
      <c r="AB27" s="246"/>
      <c r="AC27" s="246"/>
      <c r="AD27" s="246"/>
      <c r="AE27" s="246"/>
      <c r="AF27" s="246"/>
      <c r="AG27" s="247"/>
      <c r="AH27" s="13"/>
      <c r="AI27" s="12"/>
      <c r="AJ27" s="224" t="s">
        <v>60</v>
      </c>
      <c r="AK27" s="225"/>
      <c r="AL27" s="225"/>
      <c r="AM27" s="26">
        <f>AM23/AM25/AM26*10000</f>
        <v>1576.056338028169</v>
      </c>
      <c r="AN27" s="60" t="s">
        <v>61</v>
      </c>
      <c r="AO27" s="11"/>
      <c r="AP27" s="224" t="s">
        <v>60</v>
      </c>
      <c r="AQ27" s="225"/>
      <c r="AR27" s="225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22" t="s">
        <v>46</v>
      </c>
      <c r="C28" s="223"/>
      <c r="D28" s="223"/>
      <c r="E28" s="223"/>
      <c r="F28" s="223"/>
      <c r="G28" s="30">
        <v>120</v>
      </c>
      <c r="H28" s="31" t="s">
        <v>47</v>
      </c>
      <c r="I28" s="29"/>
      <c r="J28" s="222" t="s">
        <v>46</v>
      </c>
      <c r="K28" s="223"/>
      <c r="L28" s="223"/>
      <c r="M28" s="223"/>
      <c r="N28" s="223"/>
      <c r="O28" s="30">
        <v>150</v>
      </c>
      <c r="P28" s="31" t="s">
        <v>47</v>
      </c>
      <c r="Q28" s="29"/>
      <c r="R28" s="32"/>
      <c r="S28" s="236" t="s">
        <v>46</v>
      </c>
      <c r="T28" s="237"/>
      <c r="U28" s="237"/>
      <c r="V28" s="237"/>
      <c r="W28" s="238"/>
      <c r="X28" s="30">
        <v>120</v>
      </c>
      <c r="Y28" s="31" t="s">
        <v>47</v>
      </c>
      <c r="Z28" s="29"/>
      <c r="AA28" s="236" t="s">
        <v>46</v>
      </c>
      <c r="AB28" s="237"/>
      <c r="AC28" s="237"/>
      <c r="AD28" s="237"/>
      <c r="AE28" s="238"/>
      <c r="AF28" s="30">
        <v>150</v>
      </c>
      <c r="AG28" s="31" t="s">
        <v>47</v>
      </c>
      <c r="AH28" s="33"/>
      <c r="AI28" s="32"/>
      <c r="AJ28" s="224" t="s">
        <v>19</v>
      </c>
      <c r="AK28" s="225"/>
      <c r="AL28" s="225"/>
      <c r="AM28" s="62">
        <f>AM27/SQRT(3)/AM24*1000</f>
        <v>137.86917439675443</v>
      </c>
      <c r="AN28" s="60" t="s">
        <v>50</v>
      </c>
      <c r="AO28" s="29"/>
      <c r="AP28" s="224" t="s">
        <v>19</v>
      </c>
      <c r="AQ28" s="225"/>
      <c r="AR28" s="225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24" t="s">
        <v>49</v>
      </c>
      <c r="C29" s="225"/>
      <c r="D29" s="225"/>
      <c r="E29" s="225"/>
      <c r="F29" s="225"/>
      <c r="G29" s="34">
        <v>346</v>
      </c>
      <c r="H29" s="27" t="s">
        <v>50</v>
      </c>
      <c r="I29" s="29"/>
      <c r="J29" s="224" t="s">
        <v>49</v>
      </c>
      <c r="K29" s="225"/>
      <c r="L29" s="225"/>
      <c r="M29" s="225"/>
      <c r="N29" s="225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24" t="s">
        <v>65</v>
      </c>
      <c r="AK29" s="225"/>
      <c r="AL29" s="225"/>
      <c r="AM29" s="64">
        <f>AM23/AM26*100</f>
        <v>1355.4084507042253</v>
      </c>
      <c r="AN29" s="60" t="s">
        <v>48</v>
      </c>
      <c r="AO29" s="29"/>
      <c r="AP29" s="224" t="s">
        <v>65</v>
      </c>
      <c r="AQ29" s="225"/>
      <c r="AR29" s="225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24" t="s">
        <v>55</v>
      </c>
      <c r="C30" s="225"/>
      <c r="D30" s="225"/>
      <c r="E30" s="225"/>
      <c r="F30" s="225"/>
      <c r="G30" s="38">
        <f>G29/1.2</f>
        <v>288.33333333333337</v>
      </c>
      <c r="H30" s="27" t="s">
        <v>50</v>
      </c>
      <c r="I30" s="29"/>
      <c r="J30" s="224" t="s">
        <v>55</v>
      </c>
      <c r="K30" s="225"/>
      <c r="L30" s="225"/>
      <c r="M30" s="225"/>
      <c r="N30" s="225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8" t="s">
        <v>67</v>
      </c>
      <c r="AK30" s="249"/>
      <c r="AL30" s="249"/>
      <c r="AM30" s="65">
        <f>SQRT(AM27^2-AM29^2)</f>
        <v>804.25214478938983</v>
      </c>
      <c r="AN30" s="66" t="s">
        <v>68</v>
      </c>
      <c r="AO30" s="29"/>
      <c r="AP30" s="248" t="s">
        <v>67</v>
      </c>
      <c r="AQ30" s="249"/>
      <c r="AR30" s="249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20" t="s">
        <v>58</v>
      </c>
      <c r="C31" s="221"/>
      <c r="D31" s="221"/>
      <c r="E31" s="221"/>
      <c r="F31" s="221"/>
      <c r="G31" s="41">
        <f>G29*0.87</f>
        <v>301.02</v>
      </c>
      <c r="H31" s="42" t="s">
        <v>50</v>
      </c>
      <c r="I31" s="29"/>
      <c r="J31" s="220" t="s">
        <v>58</v>
      </c>
      <c r="K31" s="221"/>
      <c r="L31" s="221"/>
      <c r="M31" s="221"/>
      <c r="N31" s="221"/>
      <c r="O31" s="41">
        <f>O29*0.87</f>
        <v>334.08</v>
      </c>
      <c r="P31" s="42" t="s">
        <v>50</v>
      </c>
      <c r="Q31" s="43"/>
      <c r="R31" s="44"/>
      <c r="S31" s="233" t="s">
        <v>59</v>
      </c>
      <c r="T31" s="234"/>
      <c r="U31" s="234"/>
      <c r="V31" s="234"/>
      <c r="W31" s="235"/>
      <c r="X31" s="45">
        <v>0.13</v>
      </c>
      <c r="Y31" s="46" t="s">
        <v>52</v>
      </c>
      <c r="Z31" s="29"/>
      <c r="AA31" s="233" t="s">
        <v>59</v>
      </c>
      <c r="AB31" s="234"/>
      <c r="AC31" s="234"/>
      <c r="AD31" s="234"/>
      <c r="AE31" s="235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20" t="s">
        <v>62</v>
      </c>
      <c r="C32" s="221"/>
      <c r="D32" s="221"/>
      <c r="E32" s="221"/>
      <c r="F32" s="221"/>
      <c r="G32" s="41">
        <f>G31/1.2</f>
        <v>250.85</v>
      </c>
      <c r="H32" s="42" t="s">
        <v>50</v>
      </c>
      <c r="I32" s="29"/>
      <c r="J32" s="220" t="s">
        <v>62</v>
      </c>
      <c r="K32" s="221"/>
      <c r="L32" s="221"/>
      <c r="M32" s="221"/>
      <c r="N32" s="221"/>
      <c r="O32" s="41">
        <f>O31/1.2</f>
        <v>278.39999999999998</v>
      </c>
      <c r="P32" s="42" t="s">
        <v>50</v>
      </c>
      <c r="Q32" s="43"/>
      <c r="R32" s="44"/>
      <c r="S32" s="230"/>
      <c r="T32" s="230"/>
      <c r="U32" s="230"/>
      <c r="V32" s="230"/>
      <c r="W32" s="230"/>
      <c r="X32" s="48"/>
      <c r="Y32" s="29"/>
      <c r="Z32" s="29"/>
      <c r="AA32" s="230"/>
      <c r="AB32" s="230"/>
      <c r="AC32" s="230"/>
      <c r="AD32" s="230"/>
      <c r="AE32" s="230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45" t="s">
        <v>78</v>
      </c>
      <c r="AQ32" s="246"/>
      <c r="AR32" s="246"/>
      <c r="AS32" s="246"/>
      <c r="AT32" s="247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31" t="s">
        <v>64</v>
      </c>
      <c r="C33" s="232"/>
      <c r="D33" s="232"/>
      <c r="E33" s="232"/>
      <c r="F33" s="232"/>
      <c r="G33" s="51">
        <f>G29*0.76</f>
        <v>262.95999999999998</v>
      </c>
      <c r="H33" s="52" t="s">
        <v>50</v>
      </c>
      <c r="I33" s="29"/>
      <c r="J33" s="231" t="s">
        <v>64</v>
      </c>
      <c r="K33" s="232"/>
      <c r="L33" s="232"/>
      <c r="M33" s="232"/>
      <c r="N33" s="232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53"/>
      <c r="AN33" s="253"/>
      <c r="AO33" s="53"/>
      <c r="AP33" s="254" t="s">
        <v>39</v>
      </c>
      <c r="AQ33" s="255"/>
      <c r="AR33" s="255"/>
      <c r="AS33" s="255"/>
      <c r="AT33" s="256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8" t="s">
        <v>66</v>
      </c>
      <c r="C34" s="219"/>
      <c r="D34" s="219"/>
      <c r="E34" s="219"/>
      <c r="F34" s="219"/>
      <c r="G34" s="56">
        <f>G33/1.2</f>
        <v>219.13333333333333</v>
      </c>
      <c r="H34" s="57" t="s">
        <v>50</v>
      </c>
      <c r="I34" s="29"/>
      <c r="J34" s="218" t="s">
        <v>66</v>
      </c>
      <c r="K34" s="219"/>
      <c r="L34" s="219"/>
      <c r="M34" s="219"/>
      <c r="N34" s="219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24" t="s">
        <v>41</v>
      </c>
      <c r="AQ34" s="225"/>
      <c r="AR34" s="225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6" t="s">
        <v>158</v>
      </c>
      <c r="C35" s="217"/>
      <c r="D35" s="217"/>
      <c r="E35" s="217"/>
      <c r="F35" s="217"/>
      <c r="G35" s="191">
        <f>G29*0.708</f>
        <v>244.96799999999999</v>
      </c>
      <c r="H35" s="190" t="s">
        <v>50</v>
      </c>
      <c r="I35" s="29"/>
      <c r="J35" s="216" t="s">
        <v>158</v>
      </c>
      <c r="K35" s="217"/>
      <c r="L35" s="217"/>
      <c r="M35" s="217"/>
      <c r="N35" s="217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24" t="s">
        <v>5</v>
      </c>
      <c r="AQ35" s="225"/>
      <c r="AR35" s="225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45" t="s">
        <v>79</v>
      </c>
      <c r="C36" s="246"/>
      <c r="D36" s="246"/>
      <c r="E36" s="246"/>
      <c r="F36" s="246"/>
      <c r="G36" s="246"/>
      <c r="H36" s="247"/>
      <c r="I36" s="11"/>
      <c r="J36" s="245" t="s">
        <v>80</v>
      </c>
      <c r="K36" s="246"/>
      <c r="L36" s="246"/>
      <c r="M36" s="246"/>
      <c r="N36" s="246"/>
      <c r="O36" s="246"/>
      <c r="P36" s="247"/>
      <c r="Q36" s="11"/>
      <c r="R36" s="12"/>
      <c r="S36" s="245" t="s">
        <v>79</v>
      </c>
      <c r="T36" s="246"/>
      <c r="U36" s="246"/>
      <c r="V36" s="246"/>
      <c r="W36" s="246"/>
      <c r="X36" s="246"/>
      <c r="Y36" s="247"/>
      <c r="Z36" s="11"/>
      <c r="AA36" s="245" t="s">
        <v>80</v>
      </c>
      <c r="AB36" s="246"/>
      <c r="AC36" s="246"/>
      <c r="AD36" s="246"/>
      <c r="AE36" s="246"/>
      <c r="AF36" s="246"/>
      <c r="AG36" s="247"/>
      <c r="AH36" s="13"/>
      <c r="AI36" s="12"/>
      <c r="AJ36" s="29"/>
      <c r="AK36" s="29"/>
      <c r="AL36" s="29"/>
      <c r="AM36" s="29"/>
      <c r="AN36" s="29"/>
      <c r="AO36" s="11"/>
      <c r="AP36" s="224" t="s">
        <v>74</v>
      </c>
      <c r="AQ36" s="225"/>
      <c r="AR36" s="225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22" t="s">
        <v>46</v>
      </c>
      <c r="C37" s="223"/>
      <c r="D37" s="223"/>
      <c r="E37" s="223"/>
      <c r="F37" s="223"/>
      <c r="G37" s="30">
        <v>185</v>
      </c>
      <c r="H37" s="31" t="s">
        <v>47</v>
      </c>
      <c r="I37" s="29"/>
      <c r="J37" s="222" t="s">
        <v>46</v>
      </c>
      <c r="K37" s="223"/>
      <c r="L37" s="223"/>
      <c r="M37" s="223"/>
      <c r="N37" s="223"/>
      <c r="O37" s="30">
        <v>240</v>
      </c>
      <c r="P37" s="31" t="s">
        <v>47</v>
      </c>
      <c r="Q37" s="29"/>
      <c r="R37" s="32"/>
      <c r="S37" s="236" t="s">
        <v>46</v>
      </c>
      <c r="T37" s="237"/>
      <c r="U37" s="237"/>
      <c r="V37" s="237"/>
      <c r="W37" s="238"/>
      <c r="X37" s="30">
        <v>185</v>
      </c>
      <c r="Y37" s="31" t="s">
        <v>47</v>
      </c>
      <c r="Z37" s="29"/>
      <c r="AA37" s="236" t="s">
        <v>46</v>
      </c>
      <c r="AB37" s="237"/>
      <c r="AC37" s="237"/>
      <c r="AD37" s="237"/>
      <c r="AE37" s="238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50" t="s">
        <v>75</v>
      </c>
      <c r="AQ37" s="251"/>
      <c r="AR37" s="252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24" t="s">
        <v>49</v>
      </c>
      <c r="C38" s="225"/>
      <c r="D38" s="225"/>
      <c r="E38" s="225"/>
      <c r="F38" s="225"/>
      <c r="G38" s="34">
        <v>429</v>
      </c>
      <c r="H38" s="27" t="s">
        <v>50</v>
      </c>
      <c r="I38" s="29"/>
      <c r="J38" s="224" t="s">
        <v>49</v>
      </c>
      <c r="K38" s="225"/>
      <c r="L38" s="225"/>
      <c r="M38" s="225"/>
      <c r="N38" s="225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24" t="s">
        <v>60</v>
      </c>
      <c r="AQ38" s="225"/>
      <c r="AR38" s="225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24" t="s">
        <v>55</v>
      </c>
      <c r="C39" s="225"/>
      <c r="D39" s="225"/>
      <c r="E39" s="225"/>
      <c r="F39" s="225"/>
      <c r="G39" s="38">
        <f>G38/1.2</f>
        <v>357.5</v>
      </c>
      <c r="H39" s="27" t="s">
        <v>50</v>
      </c>
      <c r="I39" s="29"/>
      <c r="J39" s="224" t="s">
        <v>55</v>
      </c>
      <c r="K39" s="225"/>
      <c r="L39" s="225"/>
      <c r="M39" s="225"/>
      <c r="N39" s="225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24" t="s">
        <v>19</v>
      </c>
      <c r="AQ39" s="225"/>
      <c r="AR39" s="225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20" t="s">
        <v>58</v>
      </c>
      <c r="C40" s="221"/>
      <c r="D40" s="221"/>
      <c r="E40" s="221"/>
      <c r="F40" s="221"/>
      <c r="G40" s="41">
        <f>G38*0.87</f>
        <v>373.23</v>
      </c>
      <c r="H40" s="42" t="s">
        <v>50</v>
      </c>
      <c r="I40" s="29"/>
      <c r="J40" s="220" t="s">
        <v>58</v>
      </c>
      <c r="K40" s="221"/>
      <c r="L40" s="221"/>
      <c r="M40" s="221"/>
      <c r="N40" s="221"/>
      <c r="O40" s="41">
        <f>O38*0.87</f>
        <v>435</v>
      </c>
      <c r="P40" s="42" t="s">
        <v>50</v>
      </c>
      <c r="Q40" s="43"/>
      <c r="R40" s="44"/>
      <c r="S40" s="233" t="s">
        <v>59</v>
      </c>
      <c r="T40" s="234"/>
      <c r="U40" s="234"/>
      <c r="V40" s="234"/>
      <c r="W40" s="235"/>
      <c r="X40" s="45">
        <v>0.122</v>
      </c>
      <c r="Y40" s="46" t="s">
        <v>52</v>
      </c>
      <c r="Z40" s="29"/>
      <c r="AA40" s="233" t="s">
        <v>59</v>
      </c>
      <c r="AB40" s="234"/>
      <c r="AC40" s="234"/>
      <c r="AD40" s="234"/>
      <c r="AE40" s="235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24" t="s">
        <v>65</v>
      </c>
      <c r="AQ40" s="225"/>
      <c r="AR40" s="225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20" t="s">
        <v>62</v>
      </c>
      <c r="C41" s="221"/>
      <c r="D41" s="221"/>
      <c r="E41" s="221"/>
      <c r="F41" s="221"/>
      <c r="G41" s="41">
        <f>G40/1.2</f>
        <v>311.02500000000003</v>
      </c>
      <c r="H41" s="42" t="s">
        <v>50</v>
      </c>
      <c r="I41" s="29"/>
      <c r="J41" s="220" t="s">
        <v>62</v>
      </c>
      <c r="K41" s="221"/>
      <c r="L41" s="221"/>
      <c r="M41" s="221"/>
      <c r="N41" s="221"/>
      <c r="O41" s="41">
        <f>O40/1.2</f>
        <v>362.5</v>
      </c>
      <c r="P41" s="42" t="s">
        <v>50</v>
      </c>
      <c r="Q41" s="43"/>
      <c r="R41" s="44"/>
      <c r="S41" s="230"/>
      <c r="T41" s="230"/>
      <c r="U41" s="230"/>
      <c r="V41" s="230"/>
      <c r="W41" s="230"/>
      <c r="X41" s="48"/>
      <c r="Y41" s="29"/>
      <c r="Z41" s="29"/>
      <c r="AA41" s="230"/>
      <c r="AB41" s="230"/>
      <c r="AC41" s="230"/>
      <c r="AD41" s="230"/>
      <c r="AE41" s="230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8" t="s">
        <v>67</v>
      </c>
      <c r="AQ41" s="249"/>
      <c r="AR41" s="249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31" t="s">
        <v>64</v>
      </c>
      <c r="C42" s="232"/>
      <c r="D42" s="232"/>
      <c r="E42" s="232"/>
      <c r="F42" s="232"/>
      <c r="G42" s="51">
        <f>G38*0.76</f>
        <v>326.04000000000002</v>
      </c>
      <c r="H42" s="52" t="s">
        <v>50</v>
      </c>
      <c r="I42" s="29"/>
      <c r="J42" s="231" t="s">
        <v>64</v>
      </c>
      <c r="K42" s="232"/>
      <c r="L42" s="232"/>
      <c r="M42" s="232"/>
      <c r="N42" s="232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8" t="s">
        <v>66</v>
      </c>
      <c r="C43" s="219"/>
      <c r="D43" s="219"/>
      <c r="E43" s="219"/>
      <c r="F43" s="219"/>
      <c r="G43" s="56">
        <f>G42/1.2</f>
        <v>271.70000000000005</v>
      </c>
      <c r="H43" s="57" t="s">
        <v>50</v>
      </c>
      <c r="I43" s="29"/>
      <c r="J43" s="218" t="s">
        <v>66</v>
      </c>
      <c r="K43" s="219"/>
      <c r="L43" s="219"/>
      <c r="M43" s="219"/>
      <c r="N43" s="219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9" t="s">
        <v>81</v>
      </c>
      <c r="AK43" s="240"/>
      <c r="AL43" s="240"/>
      <c r="AM43" s="240"/>
      <c r="AN43" s="240"/>
      <c r="AO43" s="240"/>
      <c r="AP43" s="240"/>
      <c r="AQ43" s="240"/>
      <c r="AR43" s="240"/>
      <c r="AS43" s="240"/>
      <c r="AT43" s="240"/>
      <c r="AU43" s="240"/>
      <c r="AV43" s="240"/>
      <c r="AW43" s="240"/>
      <c r="AX43" s="241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6" t="s">
        <v>158</v>
      </c>
      <c r="C44" s="217"/>
      <c r="D44" s="217"/>
      <c r="E44" s="217"/>
      <c r="F44" s="217"/>
      <c r="G44" s="191">
        <f>G38*0.708</f>
        <v>303.73199999999997</v>
      </c>
      <c r="H44" s="190" t="s">
        <v>50</v>
      </c>
      <c r="I44" s="29"/>
      <c r="J44" s="216" t="s">
        <v>158</v>
      </c>
      <c r="K44" s="217"/>
      <c r="L44" s="217"/>
      <c r="M44" s="217"/>
      <c r="N44" s="217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42"/>
      <c r="AK44" s="243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3"/>
      <c r="AX44" s="244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45" t="s">
        <v>82</v>
      </c>
      <c r="C45" s="246"/>
      <c r="D45" s="246"/>
      <c r="E45" s="246"/>
      <c r="F45" s="246"/>
      <c r="G45" s="246"/>
      <c r="H45" s="247"/>
      <c r="I45" s="11"/>
      <c r="J45" s="245" t="s">
        <v>83</v>
      </c>
      <c r="K45" s="246"/>
      <c r="L45" s="246"/>
      <c r="M45" s="246"/>
      <c r="N45" s="246"/>
      <c r="O45" s="246"/>
      <c r="P45" s="247"/>
      <c r="Q45" s="11"/>
      <c r="R45" s="12"/>
      <c r="S45" s="245" t="s">
        <v>82</v>
      </c>
      <c r="T45" s="246"/>
      <c r="U45" s="246"/>
      <c r="V45" s="246"/>
      <c r="W45" s="246"/>
      <c r="X45" s="246"/>
      <c r="Y45" s="247"/>
      <c r="Z45" s="11"/>
      <c r="AA45" s="245" t="s">
        <v>83</v>
      </c>
      <c r="AB45" s="246"/>
      <c r="AC45" s="246"/>
      <c r="AD45" s="246"/>
      <c r="AE45" s="246"/>
      <c r="AF45" s="246"/>
      <c r="AG45" s="247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22" t="s">
        <v>46</v>
      </c>
      <c r="C46" s="223"/>
      <c r="D46" s="223"/>
      <c r="E46" s="223"/>
      <c r="F46" s="223"/>
      <c r="G46" s="30">
        <v>300</v>
      </c>
      <c r="H46" s="31" t="s">
        <v>47</v>
      </c>
      <c r="I46" s="29"/>
      <c r="J46" s="222" t="s">
        <v>46</v>
      </c>
      <c r="K46" s="223"/>
      <c r="L46" s="223"/>
      <c r="M46" s="223"/>
      <c r="N46" s="223"/>
      <c r="O46" s="30">
        <v>400</v>
      </c>
      <c r="P46" s="31" t="s">
        <v>47</v>
      </c>
      <c r="Q46" s="29"/>
      <c r="R46" s="32"/>
      <c r="S46" s="236" t="s">
        <v>46</v>
      </c>
      <c r="T46" s="237"/>
      <c r="U46" s="237"/>
      <c r="V46" s="237"/>
      <c r="W46" s="238"/>
      <c r="X46" s="30">
        <v>300</v>
      </c>
      <c r="Y46" s="31" t="s">
        <v>47</v>
      </c>
      <c r="Z46" s="29"/>
      <c r="AA46" s="236" t="s">
        <v>46</v>
      </c>
      <c r="AB46" s="237"/>
      <c r="AC46" s="237"/>
      <c r="AD46" s="237"/>
      <c r="AE46" s="238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24" t="s">
        <v>49</v>
      </c>
      <c r="C47" s="225"/>
      <c r="D47" s="225"/>
      <c r="E47" s="225"/>
      <c r="F47" s="225"/>
      <c r="G47" s="34">
        <v>545</v>
      </c>
      <c r="H47" s="27" t="s">
        <v>50</v>
      </c>
      <c r="I47" s="29"/>
      <c r="J47" s="224" t="s">
        <v>49</v>
      </c>
      <c r="K47" s="225"/>
      <c r="L47" s="225"/>
      <c r="M47" s="225"/>
      <c r="N47" s="225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24" t="s">
        <v>55</v>
      </c>
      <c r="C48" s="225"/>
      <c r="D48" s="225"/>
      <c r="E48" s="225"/>
      <c r="F48" s="225"/>
      <c r="G48" s="38">
        <f>G47/1.2</f>
        <v>454.16666666666669</v>
      </c>
      <c r="H48" s="27" t="s">
        <v>50</v>
      </c>
      <c r="I48" s="29"/>
      <c r="J48" s="224" t="s">
        <v>55</v>
      </c>
      <c r="K48" s="225"/>
      <c r="L48" s="225"/>
      <c r="M48" s="225"/>
      <c r="N48" s="225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20" t="s">
        <v>58</v>
      </c>
      <c r="C49" s="221"/>
      <c r="D49" s="221"/>
      <c r="E49" s="221"/>
      <c r="F49" s="221"/>
      <c r="G49" s="41">
        <f>G47*0.87</f>
        <v>474.15</v>
      </c>
      <c r="H49" s="42" t="s">
        <v>50</v>
      </c>
      <c r="I49" s="29"/>
      <c r="J49" s="220" t="s">
        <v>58</v>
      </c>
      <c r="K49" s="221"/>
      <c r="L49" s="221"/>
      <c r="M49" s="221"/>
      <c r="N49" s="221"/>
      <c r="O49" s="41">
        <f>O47*0.87</f>
        <v>522</v>
      </c>
      <c r="P49" s="42" t="s">
        <v>50</v>
      </c>
      <c r="Q49" s="43"/>
      <c r="R49" s="44"/>
      <c r="S49" s="233" t="s">
        <v>59</v>
      </c>
      <c r="T49" s="234"/>
      <c r="U49" s="234"/>
      <c r="V49" s="234"/>
      <c r="W49" s="235"/>
      <c r="X49" s="45">
        <v>0.11700000000000001</v>
      </c>
      <c r="Y49" s="46" t="s">
        <v>52</v>
      </c>
      <c r="Z49" s="29"/>
      <c r="AA49" s="233" t="s">
        <v>59</v>
      </c>
      <c r="AB49" s="234"/>
      <c r="AC49" s="234"/>
      <c r="AD49" s="234"/>
      <c r="AE49" s="235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20" t="s">
        <v>62</v>
      </c>
      <c r="C50" s="221"/>
      <c r="D50" s="221"/>
      <c r="E50" s="221"/>
      <c r="F50" s="221"/>
      <c r="G50" s="41">
        <f>G49/1.2</f>
        <v>395.125</v>
      </c>
      <c r="H50" s="42" t="s">
        <v>50</v>
      </c>
      <c r="I50" s="29"/>
      <c r="J50" s="220" t="s">
        <v>62</v>
      </c>
      <c r="K50" s="221"/>
      <c r="L50" s="221"/>
      <c r="M50" s="221"/>
      <c r="N50" s="221"/>
      <c r="O50" s="41">
        <f>O49/1.2</f>
        <v>435</v>
      </c>
      <c r="P50" s="42" t="s">
        <v>50</v>
      </c>
      <c r="Q50" s="43"/>
      <c r="R50" s="44"/>
      <c r="S50" s="230"/>
      <c r="T50" s="230"/>
      <c r="U50" s="230"/>
      <c r="V50" s="230"/>
      <c r="W50" s="230"/>
      <c r="X50" s="48"/>
      <c r="Y50" s="29"/>
      <c r="Z50" s="29"/>
      <c r="AA50" s="230"/>
      <c r="AB50" s="230"/>
      <c r="AC50" s="230"/>
      <c r="AD50" s="230"/>
      <c r="AE50" s="230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31" t="s">
        <v>64</v>
      </c>
      <c r="C51" s="232"/>
      <c r="D51" s="232"/>
      <c r="E51" s="232"/>
      <c r="F51" s="232"/>
      <c r="G51" s="51">
        <f>G47*0.76</f>
        <v>414.2</v>
      </c>
      <c r="H51" s="52" t="s">
        <v>50</v>
      </c>
      <c r="I51" s="29"/>
      <c r="J51" s="231" t="s">
        <v>64</v>
      </c>
      <c r="K51" s="232"/>
      <c r="L51" s="232"/>
      <c r="M51" s="232"/>
      <c r="N51" s="232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8" t="s">
        <v>66</v>
      </c>
      <c r="C52" s="219"/>
      <c r="D52" s="219"/>
      <c r="E52" s="219"/>
      <c r="F52" s="219"/>
      <c r="G52" s="56">
        <f>G51/1.2</f>
        <v>345.16666666666669</v>
      </c>
      <c r="H52" s="57" t="s">
        <v>50</v>
      </c>
      <c r="I52" s="69"/>
      <c r="J52" s="218" t="s">
        <v>66</v>
      </c>
      <c r="K52" s="219"/>
      <c r="L52" s="219"/>
      <c r="M52" s="219"/>
      <c r="N52" s="219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6" t="s">
        <v>158</v>
      </c>
      <c r="C53" s="217"/>
      <c r="D53" s="217"/>
      <c r="E53" s="217"/>
      <c r="F53" s="217"/>
      <c r="G53" s="191">
        <f>G47*0.708</f>
        <v>385.85999999999996</v>
      </c>
      <c r="H53" s="190" t="s">
        <v>50</v>
      </c>
      <c r="J53" s="216" t="s">
        <v>158</v>
      </c>
      <c r="K53" s="217"/>
      <c r="L53" s="217"/>
      <c r="M53" s="217"/>
      <c r="N53" s="217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92" t="s">
        <v>138</v>
      </c>
      <c r="C55" s="293"/>
      <c r="D55" s="293"/>
      <c r="E55" s="293"/>
      <c r="F55" s="293"/>
      <c r="G55" s="293"/>
      <c r="H55" s="294"/>
      <c r="J55" s="245" t="s">
        <v>139</v>
      </c>
      <c r="K55" s="246"/>
      <c r="L55" s="246"/>
      <c r="M55" s="246"/>
      <c r="N55" s="246"/>
      <c r="O55" s="246"/>
      <c r="P55" s="247"/>
      <c r="S55" s="292" t="s">
        <v>138</v>
      </c>
      <c r="T55" s="293"/>
      <c r="U55" s="293"/>
      <c r="V55" s="293"/>
      <c r="W55" s="293"/>
      <c r="X55" s="293"/>
      <c r="Y55" s="294"/>
      <c r="AA55" s="245" t="s">
        <v>139</v>
      </c>
      <c r="AB55" s="246"/>
      <c r="AC55" s="246"/>
      <c r="AD55" s="246"/>
      <c r="AE55" s="246"/>
      <c r="AF55" s="246"/>
      <c r="AG55" s="247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301" t="s">
        <v>46</v>
      </c>
      <c r="C56" s="302"/>
      <c r="D56" s="302"/>
      <c r="E56" s="302"/>
      <c r="F56" s="302"/>
      <c r="G56" s="134">
        <v>400</v>
      </c>
      <c r="H56" s="135" t="s">
        <v>47</v>
      </c>
      <c r="J56" s="222" t="s">
        <v>46</v>
      </c>
      <c r="K56" s="223"/>
      <c r="L56" s="223"/>
      <c r="M56" s="223"/>
      <c r="N56" s="223"/>
      <c r="O56" s="30">
        <v>630</v>
      </c>
      <c r="P56" s="31" t="s">
        <v>47</v>
      </c>
      <c r="S56" s="295" t="s">
        <v>46</v>
      </c>
      <c r="T56" s="296"/>
      <c r="U56" s="296"/>
      <c r="V56" s="296"/>
      <c r="W56" s="297"/>
      <c r="X56" s="134">
        <v>500</v>
      </c>
      <c r="Y56" s="135" t="s">
        <v>47</v>
      </c>
      <c r="AA56" s="236" t="s">
        <v>46</v>
      </c>
      <c r="AB56" s="237"/>
      <c r="AC56" s="237"/>
      <c r="AD56" s="237"/>
      <c r="AE56" s="238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303" t="s">
        <v>49</v>
      </c>
      <c r="C57" s="304"/>
      <c r="D57" s="304"/>
      <c r="E57" s="304"/>
      <c r="F57" s="304"/>
      <c r="G57" s="144">
        <v>659</v>
      </c>
      <c r="H57" s="140" t="s">
        <v>50</v>
      </c>
      <c r="J57" s="224" t="s">
        <v>49</v>
      </c>
      <c r="K57" s="225"/>
      <c r="L57" s="225"/>
      <c r="M57" s="225"/>
      <c r="N57" s="225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303" t="s">
        <v>55</v>
      </c>
      <c r="C58" s="304"/>
      <c r="D58" s="304"/>
      <c r="E58" s="304"/>
      <c r="F58" s="304"/>
      <c r="G58" s="145">
        <f>G57/1.2</f>
        <v>549.16666666666674</v>
      </c>
      <c r="H58" s="140" t="s">
        <v>50</v>
      </c>
      <c r="J58" s="224" t="s">
        <v>55</v>
      </c>
      <c r="K58" s="225"/>
      <c r="L58" s="225"/>
      <c r="M58" s="225"/>
      <c r="N58" s="225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6" t="s">
        <v>58</v>
      </c>
      <c r="C59" s="227"/>
      <c r="D59" s="227"/>
      <c r="E59" s="227"/>
      <c r="F59" s="227"/>
      <c r="G59" s="146">
        <f>G57*0.87</f>
        <v>573.33000000000004</v>
      </c>
      <c r="H59" s="147" t="s">
        <v>50</v>
      </c>
      <c r="J59" s="220" t="s">
        <v>58</v>
      </c>
      <c r="K59" s="221"/>
      <c r="L59" s="221"/>
      <c r="M59" s="221"/>
      <c r="N59" s="221"/>
      <c r="O59" s="41">
        <f>O57*0.87</f>
        <v>627.27</v>
      </c>
      <c r="P59" s="42" t="s">
        <v>50</v>
      </c>
      <c r="S59" s="298" t="s">
        <v>59</v>
      </c>
      <c r="T59" s="299"/>
      <c r="U59" s="299"/>
      <c r="V59" s="299"/>
      <c r="W59" s="300"/>
      <c r="X59" s="142">
        <v>0.112</v>
      </c>
      <c r="Y59" s="143" t="s">
        <v>52</v>
      </c>
      <c r="AA59" s="233" t="s">
        <v>59</v>
      </c>
      <c r="AB59" s="234"/>
      <c r="AC59" s="234"/>
      <c r="AD59" s="234"/>
      <c r="AE59" s="235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6" t="s">
        <v>62</v>
      </c>
      <c r="C60" s="227"/>
      <c r="D60" s="227"/>
      <c r="E60" s="227"/>
      <c r="F60" s="227"/>
      <c r="G60" s="146">
        <f>G59/1.2</f>
        <v>477.77500000000003</v>
      </c>
      <c r="H60" s="147" t="s">
        <v>50</v>
      </c>
      <c r="J60" s="220" t="s">
        <v>62</v>
      </c>
      <c r="K60" s="221"/>
      <c r="L60" s="221"/>
      <c r="M60" s="221"/>
      <c r="N60" s="221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8" t="s">
        <v>64</v>
      </c>
      <c r="C61" s="229"/>
      <c r="D61" s="229"/>
      <c r="E61" s="229"/>
      <c r="F61" s="229"/>
      <c r="G61" s="148">
        <f>G57*0.76</f>
        <v>500.84000000000003</v>
      </c>
      <c r="H61" s="149" t="s">
        <v>50</v>
      </c>
      <c r="J61" s="231" t="s">
        <v>64</v>
      </c>
      <c r="K61" s="232"/>
      <c r="L61" s="232"/>
      <c r="M61" s="232"/>
      <c r="N61" s="232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90" t="s">
        <v>66</v>
      </c>
      <c r="C62" s="291"/>
      <c r="D62" s="291"/>
      <c r="E62" s="291"/>
      <c r="F62" s="291"/>
      <c r="G62" s="150">
        <f>G61/1.2</f>
        <v>417.36666666666673</v>
      </c>
      <c r="H62" s="151" t="s">
        <v>50</v>
      </c>
      <c r="J62" s="218" t="s">
        <v>66</v>
      </c>
      <c r="K62" s="219"/>
      <c r="L62" s="219"/>
      <c r="M62" s="219"/>
      <c r="N62" s="219"/>
      <c r="O62" s="56">
        <f>O61/1.2</f>
        <v>456.63333333333338</v>
      </c>
      <c r="P62" s="57" t="s">
        <v>50</v>
      </c>
    </row>
    <row r="63" spans="1:68" ht="15" customHeight="1" x14ac:dyDescent="0.25">
      <c r="B63" s="216" t="s">
        <v>158</v>
      </c>
      <c r="C63" s="217"/>
      <c r="D63" s="217"/>
      <c r="E63" s="217"/>
      <c r="F63" s="217"/>
      <c r="G63" s="191">
        <f>G57*0.708</f>
        <v>466.572</v>
      </c>
      <c r="H63" s="190" t="s">
        <v>50</v>
      </c>
      <c r="J63" s="216" t="s">
        <v>158</v>
      </c>
      <c r="K63" s="217"/>
      <c r="L63" s="217"/>
      <c r="M63" s="217"/>
      <c r="N63" s="217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2020-11-05T03:17:36Z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