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petrobrasbr-my.sharepoint.com/personal/diegobar_petrobras_com_br/Documents/Documents/1 - Tarefas/01 - E&amp;P Competências/Curso/BI MASTER/Dissertação/"/>
    </mc:Choice>
  </mc:AlternateContent>
  <xr:revisionPtr revIDLastSave="0" documentId="13_ncr:1_{533CEAAF-FEA3-437A-B62A-61362DB248AC}" xr6:coauthVersionLast="45" xr6:coauthVersionMax="45" xr10:uidLastSave="{00000000-0000-0000-0000-000000000000}"/>
  <bookViews>
    <workbookView xWindow="-1230" yWindow="-13620" windowWidth="21840" windowHeight="13140" xr2:uid="{00000000-000D-0000-FFFF-FFFF00000000}"/>
  </bookViews>
  <sheets>
    <sheet name="Calculo" sheetId="9" r:id="rId1"/>
    <sheet name="Avaliação" sheetId="1" state="hidden" r:id="rId2"/>
    <sheet name="Cabos" sheetId="3" r:id="rId3"/>
    <sheet name="Dados Típicos" sheetId="4" r:id="rId4"/>
  </sheets>
  <externalReferences>
    <externalReference r:id="rId5"/>
  </externalReferences>
  <definedNames>
    <definedName name="_xlnm.Print_Area" localSheetId="3">'Dados Típicos'!$A$1:$BP$66</definedName>
    <definedName name="solver_adj" localSheetId="1" hidden="1">Avaliação!$A$3:$A$4</definedName>
    <definedName name="solver_adj" localSheetId="0" hidden="1">Calculo!$I$6:$J$6</definedName>
    <definedName name="solver_cvg" localSheetId="1" hidden="1">0.0001</definedName>
    <definedName name="solver_cvg" localSheetId="0" hidden="1">0.0001</definedName>
    <definedName name="solver_drv" localSheetId="1" hidden="1">1</definedName>
    <definedName name="solver_drv" localSheetId="0" hidden="1">1</definedName>
    <definedName name="solver_eng" localSheetId="1" hidden="1">3</definedName>
    <definedName name="solver_eng" localSheetId="0" hidden="1">3</definedName>
    <definedName name="solver_est" localSheetId="1" hidden="1">1</definedName>
    <definedName name="solver_est" localSheetId="0" hidden="1">1</definedName>
    <definedName name="solver_itr" localSheetId="1" hidden="1">2147483647</definedName>
    <definedName name="solver_itr" localSheetId="0" hidden="1">2147483647</definedName>
    <definedName name="solver_lhs1" localSheetId="1" hidden="1">Avaliação!$A$3</definedName>
    <definedName name="solver_lhs1" localSheetId="0" hidden="1">Calculo!$AF$6</definedName>
    <definedName name="solver_lhs10" localSheetId="1" hidden="1">Avaliação!$AG$4</definedName>
    <definedName name="solver_lhs2" localSheetId="1" hidden="1">Avaliação!$A$3</definedName>
    <definedName name="solver_lhs2" localSheetId="0" hidden="1">Calculo!$I$6</definedName>
    <definedName name="solver_lhs3" localSheetId="1" hidden="1">Avaliação!$A$4</definedName>
    <definedName name="solver_lhs3" localSheetId="0" hidden="1">Calculo!$I$6</definedName>
    <definedName name="solver_lhs4" localSheetId="1" hidden="1">Avaliação!$A$4</definedName>
    <definedName name="solver_lhs4" localSheetId="0" hidden="1">Calculo!$J$6</definedName>
    <definedName name="solver_lhs5" localSheetId="1" hidden="1">Avaliação!$AA$3</definedName>
    <definedName name="solver_lhs5" localSheetId="0" hidden="1">Calculo!$J$6</definedName>
    <definedName name="solver_lhs6" localSheetId="1" hidden="1">Avaliação!$AA$4</definedName>
    <definedName name="solver_lhs7" localSheetId="1" hidden="1">Avaliação!#REF!</definedName>
    <definedName name="solver_lhs8" localSheetId="1" hidden="1">Avaliação!#REF!</definedName>
    <definedName name="solver_lhs9" localSheetId="1" hidden="1">Avaliação!$AG$3</definedName>
    <definedName name="solver_mip" localSheetId="1" hidden="1">2147483647</definedName>
    <definedName name="solver_mip" localSheetId="0" hidden="1">2147483647</definedName>
    <definedName name="solver_mni" localSheetId="1" hidden="1">30</definedName>
    <definedName name="solver_mni" localSheetId="0" hidden="1">30</definedName>
    <definedName name="solver_mrt" localSheetId="1" hidden="1">0.075</definedName>
    <definedName name="solver_mrt" localSheetId="0" hidden="1">0.075</definedName>
    <definedName name="solver_msl" localSheetId="1" hidden="1">2</definedName>
    <definedName name="solver_msl" localSheetId="0" hidden="1">2</definedName>
    <definedName name="solver_neg" localSheetId="1" hidden="1">1</definedName>
    <definedName name="solver_neg" localSheetId="0" hidden="1">1</definedName>
    <definedName name="solver_nod" localSheetId="1" hidden="1">2147483647</definedName>
    <definedName name="solver_nod" localSheetId="0" hidden="1">2147483647</definedName>
    <definedName name="solver_num" localSheetId="1" hidden="1">10</definedName>
    <definedName name="solver_num" localSheetId="0" hidden="1">5</definedName>
    <definedName name="solver_nwt" localSheetId="1" hidden="1">1</definedName>
    <definedName name="solver_nwt" localSheetId="0" hidden="1">1</definedName>
    <definedName name="solver_opt" localSheetId="1" hidden="1">Avaliação!$AC$4</definedName>
    <definedName name="solver_opt" localSheetId="0" hidden="1">Calculo!$AT$7</definedName>
    <definedName name="solver_pre" localSheetId="1" hidden="1">0.000001</definedName>
    <definedName name="solver_pre" localSheetId="0" hidden="1">0.000001</definedName>
    <definedName name="solver_rbv" localSheetId="1" hidden="1">1</definedName>
    <definedName name="solver_rbv" localSheetId="0" hidden="1">1</definedName>
    <definedName name="solver_rel1" localSheetId="1" hidden="1">1</definedName>
    <definedName name="solver_rel1" localSheetId="0" hidden="1">1</definedName>
    <definedName name="solver_rel10" localSheetId="1" hidden="1">1</definedName>
    <definedName name="solver_rel2" localSheetId="1" hidden="1">3</definedName>
    <definedName name="solver_rel2" localSheetId="0" hidden="1">1</definedName>
    <definedName name="solver_rel3" localSheetId="1" hidden="1">1</definedName>
    <definedName name="solver_rel3" localSheetId="0" hidden="1">3</definedName>
    <definedName name="solver_rel4" localSheetId="1" hidden="1">3</definedName>
    <definedName name="solver_rel4" localSheetId="0" hidden="1">1</definedName>
    <definedName name="solver_rel5" localSheetId="1" hidden="1">1</definedName>
    <definedName name="solver_rel5" localSheetId="0" hidden="1">3</definedName>
    <definedName name="solver_rel6" localSheetId="1" hidden="1">1</definedName>
    <definedName name="solver_rel7" localSheetId="1" hidden="1">2</definedName>
    <definedName name="solver_rel8" localSheetId="1" hidden="1">1</definedName>
    <definedName name="solver_rel9" localSheetId="1" hidden="1">1</definedName>
    <definedName name="solver_rhs1" localSheetId="1" hidden="1">5000</definedName>
    <definedName name="solver_rhs1" localSheetId="0" hidden="1">27</definedName>
    <definedName name="solver_rhs10" localSheetId="1" hidden="1">100%</definedName>
    <definedName name="solver_rhs2" localSheetId="1" hidden="1">0</definedName>
    <definedName name="solver_rhs2" localSheetId="0" hidden="1">30</definedName>
    <definedName name="solver_rhs3" localSheetId="1" hidden="1">5000</definedName>
    <definedName name="solver_rhs3" localSheetId="0" hidden="1">0</definedName>
    <definedName name="solver_rhs4" localSheetId="1" hidden="1">0</definedName>
    <definedName name="solver_rhs4" localSheetId="0" hidden="1">10</definedName>
    <definedName name="solver_rhs5" localSheetId="1" hidden="1">110%</definedName>
    <definedName name="solver_rhs5" localSheetId="0" hidden="1">0</definedName>
    <definedName name="solver_rhs6" localSheetId="1" hidden="1">110%</definedName>
    <definedName name="solver_rhs7" localSheetId="1" hidden="1">6.6</definedName>
    <definedName name="solver_rhs8" localSheetId="1" hidden="1">6.6</definedName>
    <definedName name="solver_rhs9" localSheetId="1" hidden="1">100%</definedName>
    <definedName name="solver_rlx" localSheetId="1" hidden="1">2</definedName>
    <definedName name="solver_rlx" localSheetId="0" hidden="1">2</definedName>
    <definedName name="solver_rsd" localSheetId="1" hidden="1">0</definedName>
    <definedName name="solver_rsd" localSheetId="0" hidden="1">0</definedName>
    <definedName name="solver_scl" localSheetId="1" hidden="1">1</definedName>
    <definedName name="solver_scl" localSheetId="0" hidden="1">1</definedName>
    <definedName name="solver_sho" localSheetId="1" hidden="1">2</definedName>
    <definedName name="solver_sho" localSheetId="0" hidden="1">2</definedName>
    <definedName name="solver_ssz" localSheetId="1" hidden="1">100</definedName>
    <definedName name="solver_ssz" localSheetId="0" hidden="1">100</definedName>
    <definedName name="solver_tim" localSheetId="1" hidden="1">2147483647</definedName>
    <definedName name="solver_tim" localSheetId="0" hidden="1">2147483647</definedName>
    <definedName name="solver_tol" localSheetId="1" hidden="1">0.01</definedName>
    <definedName name="solver_tol" localSheetId="0" hidden="1">0.01</definedName>
    <definedName name="solver_typ" localSheetId="1" hidden="1">1</definedName>
    <definedName name="solver_typ" localSheetId="0" hidden="1">2</definedName>
    <definedName name="solver_val" localSheetId="1" hidden="1">0</definedName>
    <definedName name="solver_val" localSheetId="0" hidden="1">0</definedName>
    <definedName name="solver_ver" localSheetId="1" hidden="1">3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U6" i="9" l="1"/>
  <c r="AW6" i="9" s="1"/>
  <c r="AX6" i="9" s="1"/>
  <c r="AU4" i="9"/>
  <c r="AW4" i="9" s="1"/>
  <c r="AX4" i="9" s="1"/>
  <c r="AZ6" i="9"/>
  <c r="AZ5" i="9"/>
  <c r="AU5" i="9"/>
  <c r="AW5" i="9" s="1"/>
  <c r="AX5" i="9" s="1"/>
  <c r="AZ4" i="9"/>
  <c r="AZ2" i="9"/>
  <c r="AY5" i="9" s="1"/>
  <c r="AY6" i="9" l="1"/>
  <c r="AY4" i="9"/>
  <c r="AV6" i="9"/>
  <c r="AV4" i="9"/>
  <c r="AV5" i="9"/>
  <c r="BA5" i="9" s="1"/>
  <c r="H60" i="3"/>
  <c r="H59" i="3"/>
  <c r="H58" i="3"/>
  <c r="H57" i="3"/>
  <c r="H56" i="3"/>
  <c r="H55" i="3"/>
  <c r="H54" i="3"/>
  <c r="H53" i="3"/>
  <c r="H52" i="3"/>
  <c r="H51" i="3"/>
  <c r="H50" i="3"/>
  <c r="H49" i="3"/>
  <c r="H18" i="3"/>
  <c r="H19" i="3" s="1"/>
  <c r="H20" i="3" s="1"/>
  <c r="H9" i="3"/>
  <c r="AT5" i="9"/>
  <c r="AT6" i="9"/>
  <c r="AT4" i="9"/>
  <c r="AT7" i="9" l="1"/>
  <c r="BA8" i="9"/>
  <c r="BB5" i="9"/>
  <c r="BA4" i="9"/>
  <c r="BB4" i="9" s="1"/>
  <c r="BA6" i="9"/>
  <c r="C32" i="3"/>
  <c r="K6" i="9"/>
  <c r="G4" i="9"/>
  <c r="H4" i="9"/>
  <c r="G5" i="9"/>
  <c r="H5" i="9"/>
  <c r="BA7" i="9" l="1"/>
  <c r="BB6" i="9"/>
  <c r="BB7" i="9" s="1"/>
  <c r="K5" i="9"/>
  <c r="K4" i="9"/>
  <c r="O17" i="4"/>
  <c r="G17" i="4"/>
  <c r="O26" i="4"/>
  <c r="G26" i="4"/>
  <c r="O35" i="4"/>
  <c r="G35" i="4"/>
  <c r="O44" i="4"/>
  <c r="G44" i="4"/>
  <c r="O53" i="4"/>
  <c r="G53" i="4"/>
  <c r="G63" i="4"/>
  <c r="O63" i="4"/>
  <c r="T6" i="9" l="1"/>
  <c r="S6" i="9"/>
  <c r="P6" i="9"/>
  <c r="A6" i="9"/>
  <c r="R6" i="9" s="1"/>
  <c r="AO5" i="9"/>
  <c r="T5" i="9"/>
  <c r="S5" i="9"/>
  <c r="P5" i="9"/>
  <c r="F5" i="9"/>
  <c r="A5" i="9"/>
  <c r="R5" i="9" s="1"/>
  <c r="AO4" i="9"/>
  <c r="T4" i="9"/>
  <c r="S4" i="9"/>
  <c r="P4" i="9"/>
  <c r="F4" i="9"/>
  <c r="A4" i="9"/>
  <c r="R4" i="9" s="1"/>
  <c r="U6" i="9" l="1"/>
  <c r="V4" i="9"/>
  <c r="U4" i="9"/>
  <c r="V5" i="9"/>
  <c r="U5" i="9"/>
  <c r="V6" i="9"/>
  <c r="X5" i="9" l="1"/>
  <c r="W5" i="9"/>
  <c r="X6" i="9"/>
  <c r="W6" i="9"/>
  <c r="W4" i="9"/>
  <c r="X4" i="9"/>
  <c r="Z4" i="9" l="1"/>
  <c r="Y4" i="9"/>
  <c r="AA4" i="9" s="1"/>
  <c r="Y5" i="9" l="1"/>
  <c r="AA5" i="9" s="1"/>
  <c r="Z5" i="9"/>
  <c r="AL4" i="9"/>
  <c r="AJ4" i="9"/>
  <c r="AB4" i="9"/>
  <c r="AC4" i="9" s="1"/>
  <c r="AL5" i="9" l="1"/>
  <c r="AJ5" i="9"/>
  <c r="AB5" i="9"/>
  <c r="AC5" i="9" s="1"/>
  <c r="AD4" i="9"/>
  <c r="AS4" i="9" s="1"/>
  <c r="AE4" i="9"/>
  <c r="AF4" i="9" s="1"/>
  <c r="AI4" i="9" l="1"/>
  <c r="AD5" i="9"/>
  <c r="AS5" i="9" s="1"/>
  <c r="AE5" i="9"/>
  <c r="AF5" i="9" s="1"/>
  <c r="AP4" i="9" l="1"/>
  <c r="AK4" i="9"/>
  <c r="AI5" i="9"/>
  <c r="AP5" i="9" l="1"/>
  <c r="AK5" i="9"/>
  <c r="AL60" i="4" l="1"/>
  <c r="AL59" i="4"/>
  <c r="AL58" i="4"/>
  <c r="AL57" i="4"/>
  <c r="AK56" i="4" l="1"/>
  <c r="AK57" i="4"/>
  <c r="AK58" i="4"/>
  <c r="AK59" i="4"/>
  <c r="AO60" i="4"/>
  <c r="AM60" i="4"/>
  <c r="AL55" i="4"/>
  <c r="AK55" i="4" s="1"/>
  <c r="AL56" i="4"/>
  <c r="C19" i="3"/>
  <c r="AL54" i="4"/>
  <c r="AM54" i="4"/>
  <c r="AM55" i="4"/>
  <c r="AM56" i="4"/>
  <c r="AM57" i="4"/>
  <c r="AM58" i="4"/>
  <c r="AM59" i="4"/>
  <c r="C20" i="3"/>
  <c r="S60" i="4"/>
  <c r="AK60" i="4" l="1"/>
  <c r="AK54" i="4"/>
  <c r="C31" i="3"/>
  <c r="Q6" i="9" s="1"/>
  <c r="C9" i="3"/>
  <c r="AB16" i="4" l="1"/>
  <c r="B62" i="3"/>
  <c r="B63" i="3"/>
  <c r="B64" i="3"/>
  <c r="B61" i="3"/>
  <c r="D61" i="3"/>
  <c r="E61" i="3"/>
  <c r="F61" i="3"/>
  <c r="D62" i="3"/>
  <c r="E62" i="3"/>
  <c r="F62" i="3"/>
  <c r="D63" i="3"/>
  <c r="E63" i="3"/>
  <c r="F63" i="3"/>
  <c r="D64" i="3"/>
  <c r="E64" i="3"/>
  <c r="F64" i="3"/>
  <c r="C61" i="3"/>
  <c r="D65" i="3"/>
  <c r="E65" i="3"/>
  <c r="D66" i="3"/>
  <c r="E66" i="3"/>
  <c r="D67" i="3"/>
  <c r="E67" i="3"/>
  <c r="D68" i="3"/>
  <c r="E68" i="3"/>
  <c r="D69" i="3"/>
  <c r="E69" i="3"/>
  <c r="D70" i="3"/>
  <c r="E70" i="3"/>
  <c r="D71" i="3"/>
  <c r="E71" i="3"/>
  <c r="F71" i="3"/>
  <c r="D72" i="3"/>
  <c r="E72" i="3"/>
  <c r="D73" i="3"/>
  <c r="E73" i="3"/>
  <c r="D74" i="3"/>
  <c r="E74" i="3"/>
  <c r="D75" i="3"/>
  <c r="E75" i="3"/>
  <c r="D76" i="3"/>
  <c r="E76" i="3"/>
  <c r="D77" i="3"/>
  <c r="E77" i="3"/>
  <c r="D78" i="3"/>
  <c r="E78" i="3"/>
  <c r="F78" i="3"/>
  <c r="D79" i="3"/>
  <c r="E79" i="3"/>
  <c r="D80" i="3"/>
  <c r="E80" i="3"/>
  <c r="D81" i="3"/>
  <c r="E81" i="3"/>
  <c r="D82" i="3"/>
  <c r="E82" i="3"/>
  <c r="D83" i="3"/>
  <c r="E83" i="3"/>
  <c r="D84" i="3"/>
  <c r="E84" i="3"/>
  <c r="D85" i="3"/>
  <c r="E85" i="3"/>
  <c r="F85" i="3"/>
  <c r="C71" i="3"/>
  <c r="C78" i="3"/>
  <c r="C85" i="3"/>
  <c r="V16" i="4"/>
  <c r="X16" i="4" s="1"/>
  <c r="Y16" i="4" s="1"/>
  <c r="F51" i="3"/>
  <c r="F50" i="3"/>
  <c r="O50" i="3" s="1"/>
  <c r="F49" i="3"/>
  <c r="E51" i="3"/>
  <c r="J51" i="3" s="1"/>
  <c r="E50" i="3"/>
  <c r="I50" i="3" s="1"/>
  <c r="E49" i="3"/>
  <c r="I49" i="3" s="1"/>
  <c r="F59" i="3"/>
  <c r="Q59" i="3" s="1"/>
  <c r="E59" i="3"/>
  <c r="J59" i="3" s="1"/>
  <c r="O61" i="4"/>
  <c r="O62" i="4" s="1"/>
  <c r="O59" i="4"/>
  <c r="O60" i="4" s="1"/>
  <c r="O58" i="4"/>
  <c r="G61" i="4"/>
  <c r="G62" i="4" s="1"/>
  <c r="G59" i="4"/>
  <c r="G60" i="4" s="1"/>
  <c r="G58" i="4"/>
  <c r="V4" i="1"/>
  <c r="F4" i="1"/>
  <c r="U4" i="1" s="1"/>
  <c r="W4" i="1" s="1"/>
  <c r="O59" i="3" l="1"/>
  <c r="K50" i="3"/>
  <c r="N59" i="3"/>
  <c r="J50" i="3"/>
  <c r="P50" i="3"/>
  <c r="K59" i="3"/>
  <c r="M50" i="3"/>
  <c r="N50" i="3"/>
  <c r="L50" i="3"/>
  <c r="Q50" i="3"/>
  <c r="P49" i="3"/>
  <c r="Q49" i="3"/>
  <c r="M49" i="3"/>
  <c r="O49" i="3"/>
  <c r="N49" i="3"/>
  <c r="D60" i="3"/>
  <c r="Q51" i="3"/>
  <c r="P51" i="3"/>
  <c r="M51" i="3"/>
  <c r="N51" i="3"/>
  <c r="L51" i="3"/>
  <c r="I51" i="3"/>
  <c r="K51" i="3"/>
  <c r="L59" i="3"/>
  <c r="I59" i="3"/>
  <c r="K49" i="3"/>
  <c r="L49" i="3"/>
  <c r="O51" i="3"/>
  <c r="J49" i="3"/>
  <c r="M59" i="3"/>
  <c r="P59" i="3"/>
  <c r="C60" i="3"/>
  <c r="C59" i="3"/>
  <c r="E60" i="3"/>
  <c r="E52" i="3"/>
  <c r="F60" i="3"/>
  <c r="F52" i="3"/>
  <c r="I66" i="1"/>
  <c r="I65" i="1"/>
  <c r="I57" i="1"/>
  <c r="I56" i="1"/>
  <c r="I55" i="1"/>
  <c r="I54" i="1"/>
  <c r="I53" i="1"/>
  <c r="I52" i="1"/>
  <c r="Q52" i="3" l="1"/>
  <c r="O52" i="3"/>
  <c r="N52" i="3"/>
  <c r="M52" i="3"/>
  <c r="P52" i="3"/>
  <c r="Q60" i="3"/>
  <c r="O60" i="3"/>
  <c r="N60" i="3"/>
  <c r="M60" i="3"/>
  <c r="P60" i="3"/>
  <c r="K52" i="3"/>
  <c r="L52" i="3"/>
  <c r="J52" i="3"/>
  <c r="I52" i="3"/>
  <c r="V60" i="3"/>
  <c r="U60" i="3"/>
  <c r="T60" i="3"/>
  <c r="S60" i="3"/>
  <c r="R60" i="3"/>
  <c r="L60" i="3"/>
  <c r="I60" i="3"/>
  <c r="J60" i="3"/>
  <c r="K60" i="3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D5" i="3"/>
  <c r="B4" i="1"/>
  <c r="C7" i="1" s="1"/>
  <c r="B3" i="1"/>
  <c r="D3" i="1" s="1"/>
  <c r="C6" i="1" s="1"/>
  <c r="AF4" i="1"/>
  <c r="F3" i="1" l="1"/>
  <c r="AH4" i="1"/>
  <c r="AH23" i="1"/>
  <c r="V23" i="1"/>
  <c r="U23" i="1"/>
  <c r="W23" i="1" s="1"/>
  <c r="O23" i="1"/>
  <c r="N23" i="1"/>
  <c r="AH22" i="1"/>
  <c r="V22" i="1"/>
  <c r="U22" i="1"/>
  <c r="W22" i="1" s="1"/>
  <c r="O22" i="1"/>
  <c r="N22" i="1"/>
  <c r="AH21" i="1"/>
  <c r="V21" i="1"/>
  <c r="U21" i="1"/>
  <c r="W21" i="1" s="1"/>
  <c r="O21" i="1"/>
  <c r="N21" i="1"/>
  <c r="AF23" i="1" l="1"/>
  <c r="AF22" i="1"/>
  <c r="AF21" i="1"/>
  <c r="O20" i="1"/>
  <c r="U5" i="1" l="1"/>
  <c r="W5" i="1" s="1"/>
  <c r="V5" i="1"/>
  <c r="AF5" i="1" s="1"/>
  <c r="AH5" i="1"/>
  <c r="U6" i="1"/>
  <c r="W6" i="1" s="1"/>
  <c r="V6" i="1"/>
  <c r="AF6" i="1" s="1"/>
  <c r="AH6" i="1"/>
  <c r="U7" i="1"/>
  <c r="W7" i="1" s="1"/>
  <c r="V7" i="1"/>
  <c r="AF7" i="1" s="1"/>
  <c r="AH7" i="1"/>
  <c r="U8" i="1"/>
  <c r="W8" i="1" s="1"/>
  <c r="V8" i="1"/>
  <c r="AF8" i="1" s="1"/>
  <c r="AH8" i="1"/>
  <c r="U9" i="1"/>
  <c r="W9" i="1" s="1"/>
  <c r="V9" i="1"/>
  <c r="AF9" i="1" s="1"/>
  <c r="AH9" i="1"/>
  <c r="U10" i="1"/>
  <c r="W10" i="1" s="1"/>
  <c r="V10" i="1"/>
  <c r="AF10" i="1" s="1"/>
  <c r="AH10" i="1"/>
  <c r="U11" i="1"/>
  <c r="W11" i="1" s="1"/>
  <c r="V11" i="1"/>
  <c r="AF11" i="1" s="1"/>
  <c r="AH11" i="1"/>
  <c r="U12" i="1"/>
  <c r="W12" i="1" s="1"/>
  <c r="V12" i="1"/>
  <c r="AF12" i="1" s="1"/>
  <c r="AH12" i="1"/>
  <c r="U13" i="1"/>
  <c r="W13" i="1" s="1"/>
  <c r="V13" i="1"/>
  <c r="AF13" i="1" s="1"/>
  <c r="AH13" i="1"/>
  <c r="U14" i="1"/>
  <c r="W14" i="1" s="1"/>
  <c r="V14" i="1"/>
  <c r="AF14" i="1" s="1"/>
  <c r="AH14" i="1"/>
  <c r="U15" i="1"/>
  <c r="W15" i="1" s="1"/>
  <c r="V15" i="1"/>
  <c r="AF15" i="1" s="1"/>
  <c r="AH15" i="1"/>
  <c r="U16" i="1"/>
  <c r="W16" i="1" s="1"/>
  <c r="V16" i="1"/>
  <c r="AF16" i="1" s="1"/>
  <c r="AH16" i="1"/>
  <c r="U17" i="1"/>
  <c r="W17" i="1" s="1"/>
  <c r="V17" i="1"/>
  <c r="AF17" i="1" s="1"/>
  <c r="AH17" i="1"/>
  <c r="U18" i="1"/>
  <c r="W18" i="1" s="1"/>
  <c r="V18" i="1"/>
  <c r="AF18" i="1" s="1"/>
  <c r="AH18" i="1"/>
  <c r="AI18" i="1" s="1"/>
  <c r="N20" i="1"/>
  <c r="U20" i="1"/>
  <c r="W20" i="1" s="1"/>
  <c r="V20" i="1"/>
  <c r="AF20" i="1" s="1"/>
  <c r="AH20" i="1"/>
  <c r="AH3" i="1"/>
  <c r="F56" i="3" l="1"/>
  <c r="E56" i="3"/>
  <c r="F55" i="3"/>
  <c r="E55" i="3"/>
  <c r="F54" i="3"/>
  <c r="E54" i="3"/>
  <c r="V3" i="1"/>
  <c r="AF3" i="1" s="1"/>
  <c r="U3" i="1"/>
  <c r="W3" i="1" s="1"/>
  <c r="I54" i="3" l="1"/>
  <c r="J54" i="3"/>
  <c r="L54" i="3"/>
  <c r="K54" i="3"/>
  <c r="K56" i="3"/>
  <c r="L56" i="3"/>
  <c r="I56" i="3"/>
  <c r="J56" i="3"/>
  <c r="O54" i="3"/>
  <c r="N54" i="3"/>
  <c r="P54" i="3"/>
  <c r="Q54" i="3"/>
  <c r="M54" i="3"/>
  <c r="Q56" i="3"/>
  <c r="P56" i="3"/>
  <c r="M56" i="3"/>
  <c r="N56" i="3"/>
  <c r="O56" i="3"/>
  <c r="L55" i="3"/>
  <c r="I55" i="3"/>
  <c r="K55" i="3"/>
  <c r="J55" i="3"/>
  <c r="Q55" i="3"/>
  <c r="P55" i="3"/>
  <c r="M55" i="3"/>
  <c r="N55" i="3"/>
  <c r="O55" i="3"/>
  <c r="F58" i="3"/>
  <c r="F57" i="3"/>
  <c r="E58" i="3"/>
  <c r="E57" i="3"/>
  <c r="O4" i="1"/>
  <c r="P4" i="1"/>
  <c r="F42" i="3"/>
  <c r="F81" i="3" s="1"/>
  <c r="F67" i="3"/>
  <c r="F35" i="3"/>
  <c r="F74" i="3" s="1"/>
  <c r="O5" i="1"/>
  <c r="O6" i="1"/>
  <c r="O3" i="1"/>
  <c r="F37" i="3"/>
  <c r="F76" i="3" s="1"/>
  <c r="F44" i="3"/>
  <c r="F83" i="3" s="1"/>
  <c r="P5" i="1"/>
  <c r="P6" i="1"/>
  <c r="F69" i="3"/>
  <c r="P3" i="1"/>
  <c r="O11" i="1"/>
  <c r="O12" i="1"/>
  <c r="O13" i="1"/>
  <c r="O17" i="1"/>
  <c r="O15" i="1"/>
  <c r="O16" i="1"/>
  <c r="O14" i="1"/>
  <c r="O18" i="1"/>
  <c r="O10" i="1"/>
  <c r="P10" i="1"/>
  <c r="P15" i="1"/>
  <c r="F34" i="3"/>
  <c r="F73" i="3" s="1"/>
  <c r="P16" i="1"/>
  <c r="P13" i="1"/>
  <c r="P14" i="1"/>
  <c r="P17" i="1"/>
  <c r="F41" i="3"/>
  <c r="F80" i="3" s="1"/>
  <c r="F66" i="3"/>
  <c r="P11" i="1"/>
  <c r="P12" i="1"/>
  <c r="P18" i="1"/>
  <c r="F38" i="3"/>
  <c r="F77" i="3" s="1"/>
  <c r="F45" i="3"/>
  <c r="F84" i="3" s="1"/>
  <c r="F70" i="3"/>
  <c r="O8" i="1"/>
  <c r="O9" i="1"/>
  <c r="O7" i="1"/>
  <c r="P9" i="1"/>
  <c r="F68" i="3"/>
  <c r="P8" i="1"/>
  <c r="F36" i="3"/>
  <c r="F75" i="3" s="1"/>
  <c r="F43" i="3"/>
  <c r="F82" i="3" s="1"/>
  <c r="P7" i="1"/>
  <c r="F53" i="3"/>
  <c r="E53" i="3"/>
  <c r="O51" i="4"/>
  <c r="O52" i="4" s="1"/>
  <c r="G51" i="4"/>
  <c r="G52" i="4" s="1"/>
  <c r="O49" i="4"/>
  <c r="O50" i="4" s="1"/>
  <c r="C18" i="3" s="1"/>
  <c r="G49" i="4"/>
  <c r="G50" i="4" s="1"/>
  <c r="C17" i="3" s="1"/>
  <c r="AF48" i="4"/>
  <c r="X48" i="4"/>
  <c r="O48" i="4"/>
  <c r="G48" i="4"/>
  <c r="O42" i="4"/>
  <c r="O43" i="4" s="1"/>
  <c r="D4" i="3" s="1"/>
  <c r="G42" i="4"/>
  <c r="G43" i="4" s="1"/>
  <c r="O40" i="4"/>
  <c r="O41" i="4" s="1"/>
  <c r="C16" i="3" s="1"/>
  <c r="G40" i="4"/>
  <c r="AF39" i="4"/>
  <c r="D56" i="3" s="1"/>
  <c r="X39" i="4"/>
  <c r="D55" i="3" s="1"/>
  <c r="O39" i="4"/>
  <c r="G39" i="4"/>
  <c r="AS37" i="4"/>
  <c r="AS40" i="4" s="1"/>
  <c r="O33" i="4"/>
  <c r="O34" i="4" s="1"/>
  <c r="G33" i="4"/>
  <c r="G34" i="4" s="1"/>
  <c r="O31" i="4"/>
  <c r="O32" i="4" s="1"/>
  <c r="G31" i="4"/>
  <c r="AF30" i="4"/>
  <c r="D54" i="3" s="1"/>
  <c r="X30" i="4"/>
  <c r="D53" i="3" s="1"/>
  <c r="O30" i="4"/>
  <c r="G30" i="4"/>
  <c r="AS26" i="4"/>
  <c r="AS29" i="4" s="1"/>
  <c r="AM26" i="4"/>
  <c r="AM29" i="4" s="1"/>
  <c r="O24" i="4"/>
  <c r="O25" i="4" s="1"/>
  <c r="G24" i="4"/>
  <c r="G25" i="4" s="1"/>
  <c r="O22" i="4"/>
  <c r="O23" i="4" s="1"/>
  <c r="C12" i="3" s="1"/>
  <c r="C24" i="3" s="1"/>
  <c r="C64" i="3" s="1"/>
  <c r="G22" i="4"/>
  <c r="G23" i="4" s="1"/>
  <c r="C11" i="3" s="1"/>
  <c r="C23" i="3" s="1"/>
  <c r="C63" i="3" s="1"/>
  <c r="AF21" i="4"/>
  <c r="X21" i="4"/>
  <c r="D51" i="3" s="1"/>
  <c r="O21" i="4"/>
  <c r="G21" i="4"/>
  <c r="O15" i="4"/>
  <c r="O16" i="4" s="1"/>
  <c r="G15" i="4"/>
  <c r="G16" i="4" s="1"/>
  <c r="O13" i="4"/>
  <c r="O14" i="4" s="1"/>
  <c r="C10" i="3" s="1"/>
  <c r="C22" i="3" s="1"/>
  <c r="G13" i="4"/>
  <c r="G14" i="4" s="1"/>
  <c r="AF12" i="4"/>
  <c r="D50" i="3" s="1"/>
  <c r="X12" i="4"/>
  <c r="D49" i="3" s="1"/>
  <c r="O12" i="4"/>
  <c r="G12" i="4"/>
  <c r="AN10" i="4"/>
  <c r="AN15" i="4" s="1"/>
  <c r="C62" i="3" l="1"/>
  <c r="Q5" i="9"/>
  <c r="Q4" i="9"/>
  <c r="C57" i="3"/>
  <c r="V53" i="3"/>
  <c r="T53" i="3"/>
  <c r="R53" i="3"/>
  <c r="U53" i="3"/>
  <c r="S53" i="3"/>
  <c r="V55" i="3"/>
  <c r="U55" i="3"/>
  <c r="T55" i="3"/>
  <c r="S55" i="3"/>
  <c r="R55" i="3"/>
  <c r="O58" i="3"/>
  <c r="P58" i="3"/>
  <c r="Q58" i="3"/>
  <c r="M58" i="3"/>
  <c r="N58" i="3"/>
  <c r="V49" i="3"/>
  <c r="T49" i="3"/>
  <c r="R49" i="3"/>
  <c r="U49" i="3"/>
  <c r="S49" i="3"/>
  <c r="V51" i="3"/>
  <c r="U51" i="3"/>
  <c r="T51" i="3"/>
  <c r="S51" i="3"/>
  <c r="R51" i="3"/>
  <c r="V56" i="3"/>
  <c r="U56" i="3"/>
  <c r="T56" i="3"/>
  <c r="S56" i="3"/>
  <c r="R56" i="3"/>
  <c r="C58" i="3"/>
  <c r="J57" i="3"/>
  <c r="K57" i="3"/>
  <c r="I57" i="3"/>
  <c r="L57" i="3"/>
  <c r="N57" i="3"/>
  <c r="O57" i="3"/>
  <c r="M57" i="3"/>
  <c r="Q57" i="3"/>
  <c r="P57" i="3"/>
  <c r="N53" i="3"/>
  <c r="Q53" i="3"/>
  <c r="O53" i="3"/>
  <c r="P53" i="3"/>
  <c r="M53" i="3"/>
  <c r="R54" i="3"/>
  <c r="V54" i="3"/>
  <c r="T54" i="3"/>
  <c r="U54" i="3"/>
  <c r="S54" i="3"/>
  <c r="R50" i="3"/>
  <c r="V50" i="3"/>
  <c r="U50" i="3"/>
  <c r="S50" i="3"/>
  <c r="T50" i="3"/>
  <c r="J53" i="3"/>
  <c r="K53" i="3"/>
  <c r="I53" i="3"/>
  <c r="L53" i="3"/>
  <c r="I58" i="3"/>
  <c r="J58" i="3"/>
  <c r="L58" i="3"/>
  <c r="K58" i="3"/>
  <c r="C30" i="3"/>
  <c r="C29" i="3"/>
  <c r="C28" i="3"/>
  <c r="C56" i="3"/>
  <c r="C14" i="3"/>
  <c r="C26" i="3" s="1"/>
  <c r="S26" i="4"/>
  <c r="C52" i="3"/>
  <c r="C51" i="3"/>
  <c r="C50" i="3"/>
  <c r="C49" i="3"/>
  <c r="D57" i="3"/>
  <c r="D52" i="3"/>
  <c r="X58" i="4"/>
  <c r="D59" i="3" s="1"/>
  <c r="AN13" i="4"/>
  <c r="AN14" i="4" s="1"/>
  <c r="M4" i="1"/>
  <c r="AG4" i="1" s="1"/>
  <c r="N4" i="1"/>
  <c r="P22" i="1"/>
  <c r="P21" i="1"/>
  <c r="P23" i="1"/>
  <c r="P20" i="1"/>
  <c r="N16" i="1"/>
  <c r="N10" i="1"/>
  <c r="N12" i="1"/>
  <c r="R12" i="1" s="1"/>
  <c r="N13" i="1"/>
  <c r="N14" i="1"/>
  <c r="N17" i="1"/>
  <c r="R17" i="1" s="1"/>
  <c r="N18" i="1"/>
  <c r="N15" i="1"/>
  <c r="N11" i="1"/>
  <c r="N6" i="1"/>
  <c r="N3" i="1"/>
  <c r="N5" i="1"/>
  <c r="R5" i="1" s="1"/>
  <c r="F40" i="3"/>
  <c r="F79" i="3" s="1"/>
  <c r="F65" i="3"/>
  <c r="F33" i="3"/>
  <c r="F72" i="3" s="1"/>
  <c r="N9" i="1"/>
  <c r="R9" i="1" s="1"/>
  <c r="N7" i="1"/>
  <c r="N8" i="1"/>
  <c r="Q12" i="1"/>
  <c r="G32" i="4"/>
  <c r="G41" i="4"/>
  <c r="C15" i="3" s="1"/>
  <c r="C27" i="3" s="1"/>
  <c r="AN16" i="4"/>
  <c r="AS27" i="4"/>
  <c r="AS38" i="4"/>
  <c r="AM27" i="4"/>
  <c r="AM4" i="9" l="1"/>
  <c r="AN4" i="9" s="1"/>
  <c r="AR4" i="9" s="1"/>
  <c r="AG4" i="9"/>
  <c r="AH4" i="9" s="1"/>
  <c r="AQ4" i="9" s="1"/>
  <c r="AM5" i="9"/>
  <c r="AN5" i="9" s="1"/>
  <c r="AR5" i="9" s="1"/>
  <c r="AG5" i="9"/>
  <c r="AH5" i="9" s="1"/>
  <c r="AQ5" i="9" s="1"/>
  <c r="V59" i="3"/>
  <c r="U59" i="3"/>
  <c r="T59" i="3"/>
  <c r="S59" i="3"/>
  <c r="R59" i="3"/>
  <c r="C66" i="3"/>
  <c r="C34" i="3"/>
  <c r="C69" i="3"/>
  <c r="C37" i="3"/>
  <c r="C70" i="3"/>
  <c r="C38" i="3"/>
  <c r="V52" i="3"/>
  <c r="U52" i="3"/>
  <c r="T52" i="3"/>
  <c r="S52" i="3"/>
  <c r="R52" i="3"/>
  <c r="C67" i="3"/>
  <c r="C35" i="3"/>
  <c r="U57" i="3"/>
  <c r="S57" i="3"/>
  <c r="V57" i="3"/>
  <c r="T57" i="3"/>
  <c r="R57" i="3"/>
  <c r="C68" i="3"/>
  <c r="C36" i="3"/>
  <c r="C55" i="3"/>
  <c r="C54" i="3"/>
  <c r="C13" i="3"/>
  <c r="T26" i="4"/>
  <c r="D58" i="3"/>
  <c r="Q4" i="1"/>
  <c r="R4" i="1"/>
  <c r="Q5" i="1"/>
  <c r="T5" i="1" s="1"/>
  <c r="Q8" i="1"/>
  <c r="R8" i="1"/>
  <c r="R6" i="1"/>
  <c r="Q6" i="1"/>
  <c r="Q21" i="1"/>
  <c r="R21" i="1"/>
  <c r="M3" i="1"/>
  <c r="AG3" i="1" s="1"/>
  <c r="M6" i="1"/>
  <c r="M5" i="1"/>
  <c r="Q7" i="1"/>
  <c r="R7" i="1"/>
  <c r="R14" i="1"/>
  <c r="Q14" i="1"/>
  <c r="Q16" i="1"/>
  <c r="R16" i="1"/>
  <c r="S5" i="1"/>
  <c r="R15" i="1"/>
  <c r="Q15" i="1"/>
  <c r="Q13" i="1"/>
  <c r="R13" i="1"/>
  <c r="R20" i="1"/>
  <c r="Q20" i="1"/>
  <c r="Q17" i="1"/>
  <c r="S17" i="1" s="1"/>
  <c r="Q10" i="1"/>
  <c r="R10" i="1"/>
  <c r="R11" i="1"/>
  <c r="Q11" i="1"/>
  <c r="R22" i="1"/>
  <c r="Q22" i="1"/>
  <c r="M12" i="1"/>
  <c r="M13" i="1"/>
  <c r="M14" i="1"/>
  <c r="M17" i="1"/>
  <c r="M18" i="1"/>
  <c r="M16" i="1"/>
  <c r="M10" i="1"/>
  <c r="M15" i="1"/>
  <c r="M11" i="1"/>
  <c r="M7" i="1"/>
  <c r="M8" i="1"/>
  <c r="M9" i="1"/>
  <c r="R3" i="1"/>
  <c r="Q3" i="1"/>
  <c r="Q18" i="1"/>
  <c r="R18" i="1"/>
  <c r="S12" i="1"/>
  <c r="T12" i="1"/>
  <c r="Q23" i="1"/>
  <c r="R23" i="1"/>
  <c r="Q9" i="1"/>
  <c r="T9" i="1" s="1"/>
  <c r="AM28" i="4"/>
  <c r="AM30" i="4"/>
  <c r="AS30" i="4"/>
  <c r="AS28" i="4"/>
  <c r="AS41" i="4"/>
  <c r="AS39" i="4"/>
  <c r="C42" i="3" l="1"/>
  <c r="C81" i="3" s="1"/>
  <c r="C74" i="3"/>
  <c r="C45" i="3"/>
  <c r="C84" i="3" s="1"/>
  <c r="C77" i="3"/>
  <c r="C41" i="3"/>
  <c r="C80" i="3" s="1"/>
  <c r="C73" i="3"/>
  <c r="C43" i="3"/>
  <c r="C82" i="3" s="1"/>
  <c r="C75" i="3"/>
  <c r="R58" i="3"/>
  <c r="U58" i="3"/>
  <c r="S58" i="3"/>
  <c r="V58" i="3"/>
  <c r="T58" i="3"/>
  <c r="C44" i="3"/>
  <c r="C76" i="3"/>
  <c r="C25" i="3"/>
  <c r="C33" i="3" s="1"/>
  <c r="C53" i="3"/>
  <c r="T4" i="1"/>
  <c r="S4" i="1"/>
  <c r="X12" i="1"/>
  <c r="Y12" i="1" s="1"/>
  <c r="AA12" i="1" s="1"/>
  <c r="S15" i="1"/>
  <c r="S9" i="1"/>
  <c r="X9" i="1" s="1"/>
  <c r="Y9" i="1" s="1"/>
  <c r="T18" i="1"/>
  <c r="S18" i="1"/>
  <c r="AG15" i="1"/>
  <c r="AG7" i="1"/>
  <c r="AG16" i="1"/>
  <c r="AG13" i="1"/>
  <c r="T17" i="1"/>
  <c r="X17" i="1" s="1"/>
  <c r="Y17" i="1" s="1"/>
  <c r="S20" i="1"/>
  <c r="T20" i="1"/>
  <c r="T15" i="1"/>
  <c r="T14" i="1"/>
  <c r="S14" i="1"/>
  <c r="AG6" i="1"/>
  <c r="S3" i="1"/>
  <c r="T3" i="1"/>
  <c r="AG11" i="1"/>
  <c r="AG18" i="1"/>
  <c r="AG12" i="1"/>
  <c r="S11" i="1"/>
  <c r="T11" i="1"/>
  <c r="T13" i="1"/>
  <c r="S13" i="1"/>
  <c r="X5" i="1"/>
  <c r="Y5" i="1" s="1"/>
  <c r="T16" i="1"/>
  <c r="S16" i="1"/>
  <c r="S7" i="1"/>
  <c r="T7" i="1"/>
  <c r="T6" i="1"/>
  <c r="S6" i="1"/>
  <c r="T21" i="1"/>
  <c r="S21" i="1"/>
  <c r="S8" i="1"/>
  <c r="T8" i="1"/>
  <c r="T23" i="1"/>
  <c r="S23" i="1"/>
  <c r="AG9" i="1"/>
  <c r="AG17" i="1"/>
  <c r="T10" i="1"/>
  <c r="S10" i="1"/>
  <c r="AG8" i="1"/>
  <c r="AG10" i="1"/>
  <c r="AG14" i="1"/>
  <c r="T22" i="1"/>
  <c r="S22" i="1"/>
  <c r="AG5" i="1"/>
  <c r="C40" i="3" l="1"/>
  <c r="C79" i="3" s="1"/>
  <c r="C72" i="3"/>
  <c r="C83" i="3"/>
  <c r="M22" i="1"/>
  <c r="AG22" i="1" s="1"/>
  <c r="M23" i="1"/>
  <c r="AG23" i="1" s="1"/>
  <c r="M21" i="1"/>
  <c r="AG21" i="1" s="1"/>
  <c r="M20" i="1"/>
  <c r="AG20" i="1" s="1"/>
  <c r="C65" i="3"/>
  <c r="X4" i="1"/>
  <c r="Y4" i="1" s="1"/>
  <c r="AA4" i="1" s="1"/>
  <c r="AB4" i="1" s="1"/>
  <c r="X15" i="1"/>
  <c r="Y15" i="1" s="1"/>
  <c r="AA15" i="1" s="1"/>
  <c r="Z12" i="1"/>
  <c r="AE12" i="1" s="1"/>
  <c r="AI12" i="1" s="1"/>
  <c r="X14" i="1"/>
  <c r="Y14" i="1" s="1"/>
  <c r="Z14" i="1" s="1"/>
  <c r="X8" i="1"/>
  <c r="Y8" i="1" s="1"/>
  <c r="Z8" i="1" s="1"/>
  <c r="X13" i="1"/>
  <c r="Y13" i="1" s="1"/>
  <c r="AA13" i="1" s="1"/>
  <c r="X22" i="1"/>
  <c r="Y22" i="1" s="1"/>
  <c r="AA22" i="1" s="1"/>
  <c r="Z9" i="1"/>
  <c r="AA9" i="1"/>
  <c r="X10" i="1"/>
  <c r="Y10" i="1" s="1"/>
  <c r="AA10" i="1" s="1"/>
  <c r="X7" i="1"/>
  <c r="Y7" i="1" s="1"/>
  <c r="Z7" i="1" s="1"/>
  <c r="X6" i="1"/>
  <c r="Y6" i="1" s="1"/>
  <c r="X16" i="1"/>
  <c r="Y16" i="1" s="1"/>
  <c r="X11" i="1"/>
  <c r="Y11" i="1" s="1"/>
  <c r="X3" i="1"/>
  <c r="Y3" i="1" s="1"/>
  <c r="AA3" i="1" s="1"/>
  <c r="Z17" i="1"/>
  <c r="AA17" i="1"/>
  <c r="X18" i="1"/>
  <c r="Y18" i="1" s="1"/>
  <c r="Z5" i="1"/>
  <c r="AA5" i="1"/>
  <c r="X23" i="1"/>
  <c r="Y23" i="1" s="1"/>
  <c r="X21" i="1"/>
  <c r="Y21" i="1" s="1"/>
  <c r="X20" i="1"/>
  <c r="Y20" i="1" s="1"/>
  <c r="AC12" i="1" l="1"/>
  <c r="Z4" i="1"/>
  <c r="AC4" i="1" s="1"/>
  <c r="AD4" i="1" s="1"/>
  <c r="Z15" i="1"/>
  <c r="AC15" i="1" s="1"/>
  <c r="AA8" i="1"/>
  <c r="Z13" i="1"/>
  <c r="AC13" i="1" s="1"/>
  <c r="AB3" i="1"/>
  <c r="AA14" i="1"/>
  <c r="Z22" i="1"/>
  <c r="AE22" i="1" s="1"/>
  <c r="AI22" i="1" s="1"/>
  <c r="Z10" i="1"/>
  <c r="AE10" i="1" s="1"/>
  <c r="AI10" i="1" s="1"/>
  <c r="AA7" i="1"/>
  <c r="AE9" i="1"/>
  <c r="AI9" i="1" s="1"/>
  <c r="AC9" i="1"/>
  <c r="AE5" i="1"/>
  <c r="AI5" i="1" s="1"/>
  <c r="AC5" i="1"/>
  <c r="AE17" i="1"/>
  <c r="AI17" i="1" s="1"/>
  <c r="AC17" i="1"/>
  <c r="AA6" i="1"/>
  <c r="Z6" i="1"/>
  <c r="Z16" i="1"/>
  <c r="AA16" i="1"/>
  <c r="AE14" i="1"/>
  <c r="AI14" i="1" s="1"/>
  <c r="AC14" i="1"/>
  <c r="AE7" i="1"/>
  <c r="AI7" i="1" s="1"/>
  <c r="AC7" i="1"/>
  <c r="Z3" i="1"/>
  <c r="AC3" i="1" s="1"/>
  <c r="Z23" i="1"/>
  <c r="AA23" i="1"/>
  <c r="AE8" i="1"/>
  <c r="AI8" i="1" s="1"/>
  <c r="AC8" i="1"/>
  <c r="Z20" i="1"/>
  <c r="AA20" i="1"/>
  <c r="AA21" i="1"/>
  <c r="Z21" i="1"/>
  <c r="AA18" i="1"/>
  <c r="Z18" i="1"/>
  <c r="Z11" i="1"/>
  <c r="AA11" i="1"/>
  <c r="AE4" i="1" l="1"/>
  <c r="AI4" i="1" s="1"/>
  <c r="AE13" i="1"/>
  <c r="AI13" i="1" s="1"/>
  <c r="AC22" i="1"/>
  <c r="AE15" i="1"/>
  <c r="AI15" i="1" s="1"/>
  <c r="AC10" i="1"/>
  <c r="AE3" i="1"/>
  <c r="AI3" i="1" s="1"/>
  <c r="AC20" i="1"/>
  <c r="AE20" i="1"/>
  <c r="AI20" i="1" s="1"/>
  <c r="AE16" i="1"/>
  <c r="AI16" i="1" s="1"/>
  <c r="AC16" i="1"/>
  <c r="AE21" i="1"/>
  <c r="AI21" i="1" s="1"/>
  <c r="AC21" i="1"/>
  <c r="AE18" i="1"/>
  <c r="AC18" i="1"/>
  <c r="AE6" i="1"/>
  <c r="AI6" i="1" s="1"/>
  <c r="AC6" i="1"/>
  <c r="AE23" i="1"/>
  <c r="AI23" i="1" s="1"/>
  <c r="AC23" i="1"/>
  <c r="AE11" i="1"/>
  <c r="AI11" i="1" s="1"/>
  <c r="AC11" i="1"/>
  <c r="L6" i="9" l="1"/>
  <c r="Z6" i="9" s="1"/>
  <c r="AL6" i="9" l="1"/>
  <c r="AJ6" i="9"/>
  <c r="D6" i="9" l="1"/>
  <c r="AO6" i="9" s="1"/>
  <c r="E6" i="9"/>
  <c r="F6" i="9" l="1"/>
  <c r="Y6" i="9" s="1"/>
  <c r="AA6" i="9" s="1"/>
  <c r="AM6" i="9" s="1"/>
  <c r="AN6" i="9" s="1"/>
  <c r="AR6" i="9" s="1"/>
  <c r="AB6" i="9" l="1"/>
  <c r="AC6" i="9" s="1"/>
  <c r="AD6" i="9" s="1"/>
  <c r="AS6" i="9" s="1"/>
  <c r="AE6" i="9" l="1"/>
  <c r="AF6" i="9" s="1"/>
  <c r="AI6" i="9"/>
  <c r="AG6" i="9"/>
  <c r="AH6" i="9" s="1"/>
  <c r="AQ6" i="9" l="1"/>
  <c r="AP6" i="9"/>
  <c r="AK6" i="9"/>
</calcChain>
</file>

<file path=xl/sharedStrings.xml><?xml version="1.0" encoding="utf-8"?>
<sst xmlns="http://schemas.openxmlformats.org/spreadsheetml/2006/main" count="643" uniqueCount="181">
  <si>
    <t>MW</t>
  </si>
  <si>
    <t>Fat. Pot.</t>
  </si>
  <si>
    <t>km</t>
  </si>
  <si>
    <t>Distância</t>
  </si>
  <si>
    <t>kV</t>
  </si>
  <si>
    <t>Tensão Nominal</t>
  </si>
  <si>
    <t>Cabos</t>
  </si>
  <si>
    <t>Seção</t>
  </si>
  <si>
    <t># Cabos</t>
  </si>
  <si>
    <t>Cabo</t>
  </si>
  <si>
    <r>
      <t>20/35kV EPR 120mm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</si>
  <si>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20/35kV EPR 150mm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</si>
  <si>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20/35kV EPR 185mm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</si>
  <si>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20/35kV EPR 240mm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</si>
  <si>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20/35kV EPR 300mm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</si>
  <si>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20/35kV EPR 500mm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</si>
  <si>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20/35kV EPR 400mm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</si>
  <si>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t>Rca (Ohm/km)</t>
  </si>
  <si>
    <t>Nominal</t>
  </si>
  <si>
    <t>Corrente</t>
  </si>
  <si>
    <t>Carga (A)</t>
  </si>
  <si>
    <r>
      <t>36/69kV EPR 120mm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</si>
  <si>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36/69kV EPR 150mm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</si>
  <si>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36/69kV EPR 185mm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</si>
  <si>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36/69kV EPR 240mm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</si>
  <si>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36/69kV EPR 300mm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</si>
  <si>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36/69kV EPR 400mm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</si>
  <si>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36/69kV EPR 500mm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</si>
  <si>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t>Determinação da Bitola (seção transversal) do CEP</t>
  </si>
  <si>
    <t>Impedância típica para determinação de queda de tensão</t>
  </si>
  <si>
    <t>Dados Típicos BCS
Cabo de poço: 1/0 AWG
1/0 AWG: 0,4372 Ω/km a 110oC</t>
  </si>
  <si>
    <t>Exemplos de Caixa de Junção de Alta Tensão (CJ-AT)</t>
  </si>
  <si>
    <r>
      <t xml:space="preserve">Dados Típicos de Ampacidade para CEP (ref. IEC 60502-2 Tabela B.8)
Cabo trifásico 12/20(24)kV instalado no ar, temperatura no condutor 90oC
</t>
    </r>
    <r>
      <rPr>
        <b/>
        <sz val="10"/>
        <color indexed="30"/>
        <rFont val="Calibri"/>
        <family val="2"/>
      </rPr>
      <t>Temperatura do ambiente para dimensionamento no convés da UEP: 45oC</t>
    </r>
    <r>
      <rPr>
        <b/>
        <sz val="10"/>
        <rFont val="Calibri"/>
        <family val="2"/>
      </rPr>
      <t xml:space="preserve">
</t>
    </r>
    <r>
      <rPr>
        <b/>
        <sz val="10"/>
        <color indexed="10"/>
        <rFont val="Calibri"/>
        <family val="2"/>
      </rPr>
      <t>Quando sujeito a radiação solar, recomenda-se usar temperatura ambiente 55oC</t>
    </r>
  </si>
  <si>
    <t>Dados Típicos de Impedância para CEP
(ref. cabo EPROTENAX COMPACT - 12/20(24)kV da PRYSMIAN)
Temperatura no condutor 40oC
Temperatura do ambiente para dimensionamento da queda de tensão: 4oC</t>
  </si>
  <si>
    <t>Fabricante ABTECH: www.abtech.eu</t>
  </si>
  <si>
    <t>Modelos:</t>
  </si>
  <si>
    <t>MJB7, MJB7/3, MJB8, MJB8/3</t>
  </si>
  <si>
    <t>Motor BCSS 1500bhp</t>
  </si>
  <si>
    <t>DPJB</t>
  </si>
  <si>
    <t>Motor de Indução - 2 pólos</t>
  </si>
  <si>
    <t>HVJB</t>
  </si>
  <si>
    <t>Potência de Eixo</t>
  </si>
  <si>
    <t>bhp</t>
  </si>
  <si>
    <t>CEP 3# 35mm2</t>
  </si>
  <si>
    <t>CEP 3# 50mm2</t>
  </si>
  <si>
    <t>V</t>
  </si>
  <si>
    <t>Seção Transversal</t>
  </si>
  <si>
    <t>mm2</t>
  </si>
  <si>
    <t>kW</t>
  </si>
  <si>
    <t>Ampacidade máxima a 30oC</t>
  </si>
  <si>
    <t>A</t>
  </si>
  <si>
    <t>Reatância Capacitiva a 60Hz</t>
  </si>
  <si>
    <t>Ω/km</t>
  </si>
  <si>
    <t>Fator de potência 100%</t>
  </si>
  <si>
    <t>%</t>
  </si>
  <si>
    <t>Corrente operacional máx. a 30oC</t>
  </si>
  <si>
    <t>Resistência CA a 60Hz</t>
  </si>
  <si>
    <t>Rendimento 100%</t>
  </si>
  <si>
    <t>Ampacidade máxima a 45oC</t>
  </si>
  <si>
    <t>Reatância Indutiva a 60Hz</t>
  </si>
  <si>
    <t>Potência Total</t>
  </si>
  <si>
    <t>kVA</t>
  </si>
  <si>
    <t>Corrente operacional máx. a 45oC</t>
  </si>
  <si>
    <t>Corrente nominal</t>
  </si>
  <si>
    <t>Ampacidade máxima a 55oC</t>
  </si>
  <si>
    <t>Potência Ativa</t>
  </si>
  <si>
    <t>Corrente operacional máx. a 55oC</t>
  </si>
  <si>
    <t>Potência Reativa</t>
  </si>
  <si>
    <t>kVAr</t>
  </si>
  <si>
    <t>CEP 3# 70mm2</t>
  </si>
  <si>
    <t>CEP 3# 95mm2</t>
  </si>
  <si>
    <t>Dados Típicos
Bomba FRAMO, Motor de Indução com FP x Rend ≈ 0,71</t>
  </si>
  <si>
    <t>Mesma potência BCS 1500bhp</t>
  </si>
  <si>
    <t>Potência Limite para 3#120mm2</t>
  </si>
  <si>
    <t>Fator de Potência</t>
  </si>
  <si>
    <t>Rendimento</t>
  </si>
  <si>
    <t>CEP 3# 120mm2</t>
  </si>
  <si>
    <t>CEP 3# 150mm2</t>
  </si>
  <si>
    <t>Potência Limite para 3#240mm2</t>
  </si>
  <si>
    <t>CEP 3# 185mm2</t>
  </si>
  <si>
    <t>CEP 3# 240mm2</t>
  </si>
  <si>
    <t>OBSERVAÇÃO:
A bomba Sulzer / FMC utiliza Motor de Ímãs Permanentes, tipicamente com FP x Rend ≈ 0,75</t>
  </si>
  <si>
    <t>CEP 3# 300mm2</t>
  </si>
  <si>
    <t>CEP 3# 400mm2</t>
  </si>
  <si>
    <r>
      <t>12/20kV EPR 3x120mm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</si>
  <si>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12/20kV EPR 3x150mm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</si>
  <si>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12/20kV EPR 3x185mm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</si>
  <si>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12/20kV EPR 3x240mm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</si>
  <si>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12/20kV EPR 3x300mm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</si>
  <si>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12/20kV EPR 3x400mm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</si>
  <si>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12/20kV EPR 3x500mm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</si>
  <si>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t>XL (Ohm/km)</t>
  </si>
  <si>
    <t>XC (Ohm.km)</t>
  </si>
  <si>
    <t>R</t>
  </si>
  <si>
    <t>X</t>
  </si>
  <si>
    <t>Y</t>
  </si>
  <si>
    <t>Zc</t>
  </si>
  <si>
    <t>Zeq</t>
  </si>
  <si>
    <t>Vr</t>
  </si>
  <si>
    <t>Ir</t>
  </si>
  <si>
    <t>Vs</t>
  </si>
  <si>
    <t>Yeq / 2</t>
  </si>
  <si>
    <t>Is</t>
  </si>
  <si>
    <r>
      <rPr>
        <b/>
        <sz val="11"/>
        <color theme="1"/>
        <rFont val="Symbol"/>
        <family val="1"/>
        <charset val="2"/>
      </rPr>
      <t>D</t>
    </r>
    <r>
      <rPr>
        <b/>
        <sz val="11"/>
        <color theme="1"/>
        <rFont val="Calibri"/>
        <family val="2"/>
      </rPr>
      <t>V</t>
    </r>
  </si>
  <si>
    <t>Vr [%]</t>
  </si>
  <si>
    <t>Ir [%]</t>
  </si>
  <si>
    <t>Vs [%]</t>
  </si>
  <si>
    <t>Is[%]</t>
  </si>
  <si>
    <t xml:space="preserve">Amp </t>
  </si>
  <si>
    <t>Fator</t>
  </si>
  <si>
    <r>
      <t>76/138kV XLPE 120mm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</si>
  <si>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76/138kV XLPE 150mm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</si>
  <si>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76/138kV XLPE 185mm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</si>
  <si>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76/138kV XLPE 240mm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</si>
  <si>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76/138kV XLPE 300mm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</si>
  <si>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76/138kV XLPE 400mm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</si>
  <si>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76/138kV XLPE 500mm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</si>
  <si>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t xml:space="preserve">Tensão </t>
  </si>
  <si>
    <t>Carga (%)</t>
  </si>
  <si>
    <t>12/20kV EPR 3x150mm2 Cu</t>
  </si>
  <si>
    <t>12/20kV EPR 3x240mm2 Cu</t>
  </si>
  <si>
    <t>12/20kV EPR 3x300mm2 Cu</t>
  </si>
  <si>
    <t>Ps [MW]</t>
  </si>
  <si>
    <t>Potência Carga</t>
  </si>
  <si>
    <t>Perd[%]</t>
  </si>
  <si>
    <r>
      <t>g</t>
    </r>
    <r>
      <rPr>
        <b/>
        <sz val="12"/>
        <color theme="1"/>
        <rFont val="Calibri"/>
        <family val="2"/>
        <scheme val="minor"/>
      </rPr>
      <t>l</t>
    </r>
  </si>
  <si>
    <t>Pr [MW]</t>
  </si>
  <si>
    <t>76/138kV XLPE 300mm2 Cu</t>
  </si>
  <si>
    <t>EFF</t>
  </si>
  <si>
    <t>MVA</t>
  </si>
  <si>
    <t xml:space="preserve">Icarga </t>
  </si>
  <si>
    <t>I (A)</t>
  </si>
  <si>
    <t>V (kV)</t>
  </si>
  <si>
    <t>MW eixo HP</t>
  </si>
  <si>
    <t>HP CW</t>
  </si>
  <si>
    <t>Vfonte</t>
  </si>
  <si>
    <t>Vabs</t>
  </si>
  <si>
    <r>
      <t>12/20kV EPR 3x630mm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</si>
  <si>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t>CEP 3# 500mm2</t>
  </si>
  <si>
    <t>CEP 3# 630mm2</t>
  </si>
  <si>
    <r>
      <t>12/20kV EPR 3x95mm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</si>
  <si>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12/20kV EPR 3x70mm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</si>
  <si>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12/20kV EPR 3x50mm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</si>
  <si>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12/20kV EPR 3x35mm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</si>
  <si>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Amperes (55</t>
    </r>
    <r>
      <rPr>
        <vertAlign val="superscript"/>
        <sz val="11"/>
        <color theme="1"/>
        <rFont val="Calibri"/>
        <family val="2"/>
        <scheme val="minor"/>
      </rPr>
      <t>o</t>
    </r>
    <r>
      <rPr>
        <sz val="11"/>
        <color theme="1"/>
        <rFont val="Calibri"/>
        <family val="2"/>
        <scheme val="minor"/>
      </rPr>
      <t>C)</t>
    </r>
  </si>
  <si>
    <t>Xl=</t>
  </si>
  <si>
    <t>l=</t>
  </si>
  <si>
    <r>
      <t>20/35kV EPR 35mm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</si>
  <si>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20/35kV EPR 50mm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</si>
  <si>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20/35kV EPR 70mm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</si>
  <si>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r>
      <t>20/35kV EPR 95mm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</si>
  <si>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t>%R/Freq</t>
  </si>
  <si>
    <t>F(Hz)</t>
  </si>
  <si>
    <t>não</t>
  </si>
  <si>
    <t>sim</t>
  </si>
  <si>
    <t>f &gt; R</t>
  </si>
  <si>
    <t>Ss</t>
  </si>
  <si>
    <t>Sr</t>
  </si>
  <si>
    <t>Ampacidade máxima a 60oC</t>
  </si>
  <si>
    <t>20/35kV EPR 50mm2 Cu</t>
  </si>
  <si>
    <t>y</t>
  </si>
  <si>
    <t>x</t>
  </si>
  <si>
    <r>
      <t>20/35kV EPR 630mm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Cu</t>
    </r>
  </si>
  <si>
    <t>Qs(Var)</t>
  </si>
  <si>
    <t>$/m</t>
  </si>
  <si>
    <t>CAP. FAB (t)</t>
  </si>
  <si>
    <t>CAP. PLSV (t)</t>
  </si>
  <si>
    <t>Viagens</t>
  </si>
  <si>
    <t>t (emendas)</t>
  </si>
  <si>
    <t>km/dia</t>
  </si>
  <si>
    <t>$/dia</t>
  </si>
  <si>
    <t>$ Aquisição</t>
  </si>
  <si>
    <t>$ Instalação</t>
  </si>
  <si>
    <t>kg/m</t>
  </si>
  <si>
    <t>peso umb</t>
  </si>
  <si>
    <t>dias viagem</t>
  </si>
  <si>
    <t>n° emendas</t>
  </si>
  <si>
    <t>dias emenda</t>
  </si>
  <si>
    <t>dias spool</t>
  </si>
  <si>
    <t>dias instalação</t>
  </si>
  <si>
    <t>20/35kV EPR 70mm2 Cu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</si>
</sst>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0.0000"/>
    <numFmt numFmtId="165" formatCode="0.0"/>
    <numFmt numFmtId="166" formatCode="_-* #,##0.0_-;\-* #,##0.0_-;_-* &quot;-&quot;??_-;_-@_-"/>
    <numFmt numFmtId="167" formatCode="0.0%"/>
    <numFmt numFmtId="168" formatCode="0.00000"/>
    <numFmt numFmtId="169" formatCode="_-[$$-409]* #,##0.00_ ;_-[$$-409]* \-#,##0.00\ ;_-[$$-409]* &quot;-&quot;??_ ;_-@_ "/>
  </numFmts>
  <fonts count="18" x14ac:knownFonts="1"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</font>
    <font>
      <b/>
      <sz val="10"/>
      <name val="Calibri"/>
      <family val="2"/>
    </font>
    <font>
      <b/>
      <sz val="10"/>
      <color indexed="30"/>
      <name val="Calibri"/>
      <family val="2"/>
    </font>
    <font>
      <b/>
      <sz val="10"/>
      <color indexed="10"/>
      <name val="Calibri"/>
      <family val="2"/>
    </font>
    <font>
      <b/>
      <sz val="10"/>
      <color rgb="FF0070C0"/>
      <name val="Calibri"/>
      <family val="2"/>
    </font>
    <font>
      <b/>
      <sz val="10"/>
      <color rgb="FFFF0000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Symbol"/>
      <family val="1"/>
      <charset val="2"/>
    </font>
    <font>
      <b/>
      <sz val="11"/>
      <color theme="1"/>
      <name val="Calibri"/>
      <family val="2"/>
    </font>
    <font>
      <b/>
      <sz val="12"/>
      <color theme="1"/>
      <name val="Symbol"/>
      <family val="1"/>
      <charset val="2"/>
    </font>
    <font>
      <b/>
      <sz val="12"/>
      <color theme="1"/>
      <name val="Calibri"/>
      <family val="2"/>
      <scheme val="minor"/>
    </font>
    <font>
      <b/>
      <sz val="10"/>
      <color theme="6"/>
      <name val="Calibri"/>
      <family val="2"/>
    </font>
    <font>
      <sz val="10"/>
      <color theme="6"/>
      <name val="Calibri"/>
      <family val="2"/>
    </font>
    <font>
      <sz val="11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</fills>
  <borders count="4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43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44" fontId="9" fillId="0" borderId="0" applyFont="0" applyFill="0" applyBorder="0" applyAlignment="0" applyProtection="0"/>
  </cellStyleXfs>
  <cellXfs count="30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1" fontId="0" fillId="0" borderId="0" xfId="0" applyNumberFormat="1"/>
    <xf numFmtId="0" fontId="3" fillId="2" borderId="1" xfId="1" applyFont="1" applyFill="1" applyBorder="1" applyAlignment="1">
      <alignment vertical="center"/>
    </xf>
    <xf numFmtId="0" fontId="3" fillId="2" borderId="2" xfId="1" applyFont="1" applyFill="1" applyBorder="1" applyAlignment="1">
      <alignment vertical="center"/>
    </xf>
    <xf numFmtId="0" fontId="3" fillId="3" borderId="2" xfId="1" applyFont="1" applyFill="1" applyBorder="1" applyAlignment="1">
      <alignment vertical="center"/>
    </xf>
    <xf numFmtId="0" fontId="3" fillId="3" borderId="1" xfId="1" applyFont="1" applyFill="1" applyBorder="1" applyAlignment="1">
      <alignment vertical="center"/>
    </xf>
    <xf numFmtId="0" fontId="3" fillId="3" borderId="3" xfId="1" applyFont="1" applyFill="1" applyBorder="1" applyAlignment="1">
      <alignment vertical="center"/>
    </xf>
    <xf numFmtId="0" fontId="3" fillId="2" borderId="0" xfId="1" applyFont="1" applyFill="1" applyAlignment="1">
      <alignment vertical="center"/>
    </xf>
    <xf numFmtId="0" fontId="3" fillId="2" borderId="4" xfId="1" applyFont="1" applyFill="1" applyBorder="1" applyAlignment="1">
      <alignment vertical="center"/>
    </xf>
    <xf numFmtId="0" fontId="4" fillId="3" borderId="0" xfId="1" applyFont="1" applyFill="1" applyBorder="1" applyAlignment="1">
      <alignment horizontal="center" vertical="center"/>
    </xf>
    <xf numFmtId="0" fontId="4" fillId="3" borderId="4" xfId="1" applyFont="1" applyFill="1" applyBorder="1" applyAlignment="1">
      <alignment horizontal="center" vertical="center"/>
    </xf>
    <xf numFmtId="0" fontId="4" fillId="3" borderId="8" xfId="1" applyFont="1" applyFill="1" applyBorder="1" applyAlignment="1">
      <alignment horizontal="center" vertical="center"/>
    </xf>
    <xf numFmtId="0" fontId="3" fillId="2" borderId="0" xfId="1" applyFont="1" applyFill="1" applyBorder="1" applyAlignment="1">
      <alignment vertical="center"/>
    </xf>
    <xf numFmtId="0" fontId="3" fillId="3" borderId="0" xfId="1" applyFont="1" applyFill="1" applyBorder="1" applyAlignment="1">
      <alignment vertical="center"/>
    </xf>
    <xf numFmtId="0" fontId="3" fillId="3" borderId="4" xfId="1" applyFont="1" applyFill="1" applyBorder="1" applyAlignment="1">
      <alignment vertical="center"/>
    </xf>
    <xf numFmtId="0" fontId="3" fillId="3" borderId="8" xfId="1" applyFont="1" applyFill="1" applyBorder="1" applyAlignment="1">
      <alignment vertical="center"/>
    </xf>
    <xf numFmtId="0" fontId="4" fillId="3" borderId="0" xfId="1" applyFont="1" applyFill="1" applyBorder="1" applyAlignment="1">
      <alignment vertical="center" wrapText="1"/>
    </xf>
    <xf numFmtId="0" fontId="3" fillId="3" borderId="4" xfId="1" applyFont="1" applyFill="1" applyBorder="1" applyAlignment="1">
      <alignment vertical="center" wrapText="1"/>
    </xf>
    <xf numFmtId="0" fontId="4" fillId="3" borderId="0" xfId="1" applyFont="1" applyFill="1" applyBorder="1" applyAlignment="1">
      <alignment horizontal="center" vertical="center" wrapText="1"/>
    </xf>
    <xf numFmtId="0" fontId="4" fillId="3" borderId="4" xfId="1" applyFont="1" applyFill="1" applyBorder="1" applyAlignment="1">
      <alignment horizontal="center" vertical="center" wrapText="1"/>
    </xf>
    <xf numFmtId="0" fontId="4" fillId="3" borderId="8" xfId="1" applyFont="1" applyFill="1" applyBorder="1" applyAlignment="1">
      <alignment horizontal="center" vertical="center" wrapText="1"/>
    </xf>
    <xf numFmtId="0" fontId="3" fillId="3" borderId="0" xfId="1" applyFont="1" applyFill="1" applyAlignment="1">
      <alignment vertical="center" wrapText="1"/>
    </xf>
    <xf numFmtId="0" fontId="4" fillId="3" borderId="0" xfId="1" applyFont="1" applyFill="1" applyBorder="1" applyAlignment="1">
      <alignment vertical="center"/>
    </xf>
    <xf numFmtId="0" fontId="3" fillId="3" borderId="0" xfId="1" applyFont="1" applyFill="1" applyBorder="1" applyAlignment="1">
      <alignment vertical="center" wrapText="1"/>
    </xf>
    <xf numFmtId="3" fontId="3" fillId="2" borderId="16" xfId="1" applyNumberFormat="1" applyFont="1" applyFill="1" applyBorder="1" applyAlignment="1">
      <alignment horizontal="right" vertical="center"/>
    </xf>
    <xf numFmtId="0" fontId="3" fillId="2" borderId="17" xfId="1" applyFont="1" applyFill="1" applyBorder="1" applyAlignment="1">
      <alignment horizontal="right" vertical="center"/>
    </xf>
    <xf numFmtId="3" fontId="3" fillId="3" borderId="0" xfId="1" applyNumberFormat="1" applyFont="1" applyFill="1" applyBorder="1" applyAlignment="1">
      <alignment horizontal="right" vertical="center"/>
    </xf>
    <xf numFmtId="0" fontId="3" fillId="3" borderId="0" xfId="1" applyFont="1" applyFill="1" applyBorder="1" applyAlignment="1">
      <alignment horizontal="right" vertical="center"/>
    </xf>
    <xf numFmtId="0" fontId="3" fillId="2" borderId="13" xfId="1" applyFont="1" applyFill="1" applyBorder="1" applyAlignment="1">
      <alignment horizontal="right" vertical="center"/>
    </xf>
    <xf numFmtId="0" fontId="3" fillId="2" borderId="14" xfId="1" applyFont="1" applyFill="1" applyBorder="1" applyAlignment="1">
      <alignment horizontal="right" vertical="center"/>
    </xf>
    <xf numFmtId="0" fontId="3" fillId="3" borderId="4" xfId="1" applyFont="1" applyFill="1" applyBorder="1" applyAlignment="1">
      <alignment horizontal="right" vertical="center"/>
    </xf>
    <xf numFmtId="0" fontId="3" fillId="3" borderId="8" xfId="1" applyFont="1" applyFill="1" applyBorder="1" applyAlignment="1">
      <alignment horizontal="right" vertical="center"/>
    </xf>
    <xf numFmtId="0" fontId="3" fillId="2" borderId="16" xfId="1" applyFont="1" applyFill="1" applyBorder="1" applyAlignment="1">
      <alignment horizontal="right" vertical="center"/>
    </xf>
    <xf numFmtId="0" fontId="3" fillId="3" borderId="21" xfId="1" applyFont="1" applyFill="1" applyBorder="1" applyAlignment="1">
      <alignment horizontal="left" vertical="center"/>
    </xf>
    <xf numFmtId="0" fontId="3" fillId="3" borderId="22" xfId="1" applyFont="1" applyFill="1" applyBorder="1" applyAlignment="1">
      <alignment horizontal="left" vertical="center"/>
    </xf>
    <xf numFmtId="0" fontId="3" fillId="3" borderId="23" xfId="1" applyFont="1" applyFill="1" applyBorder="1" applyAlignment="1">
      <alignment horizontal="left" vertical="center"/>
    </xf>
    <xf numFmtId="1" fontId="3" fillId="2" borderId="16" xfId="1" applyNumberFormat="1" applyFont="1" applyFill="1" applyBorder="1" applyAlignment="1">
      <alignment horizontal="right" vertical="center"/>
    </xf>
    <xf numFmtId="1" fontId="3" fillId="3" borderId="0" xfId="1" applyNumberFormat="1" applyFont="1" applyFill="1" applyBorder="1" applyAlignment="1">
      <alignment horizontal="right" vertical="center"/>
    </xf>
    <xf numFmtId="164" fontId="3" fillId="2" borderId="16" xfId="1" applyNumberFormat="1" applyFont="1" applyFill="1" applyBorder="1" applyAlignment="1">
      <alignment horizontal="right" vertical="center"/>
    </xf>
    <xf numFmtId="1" fontId="7" fillId="2" borderId="16" xfId="1" applyNumberFormat="1" applyFont="1" applyFill="1" applyBorder="1" applyAlignment="1">
      <alignment horizontal="right" vertical="center"/>
    </xf>
    <xf numFmtId="0" fontId="7" fillId="2" borderId="17" xfId="1" applyFont="1" applyFill="1" applyBorder="1" applyAlignment="1">
      <alignment horizontal="right" vertical="center"/>
    </xf>
    <xf numFmtId="0" fontId="7" fillId="3" borderId="0" xfId="1" applyFont="1" applyFill="1" applyBorder="1" applyAlignment="1">
      <alignment horizontal="right" vertical="center"/>
    </xf>
    <xf numFmtId="0" fontId="7" fillId="3" borderId="4" xfId="1" applyFont="1" applyFill="1" applyBorder="1" applyAlignment="1">
      <alignment horizontal="right" vertical="center"/>
    </xf>
    <xf numFmtId="164" fontId="3" fillId="2" borderId="27" xfId="1" applyNumberFormat="1" applyFont="1" applyFill="1" applyBorder="1" applyAlignment="1">
      <alignment horizontal="right" vertical="center"/>
    </xf>
    <xf numFmtId="0" fontId="3" fillId="2" borderId="28" xfId="1" applyFont="1" applyFill="1" applyBorder="1" applyAlignment="1">
      <alignment horizontal="right" vertical="center"/>
    </xf>
    <xf numFmtId="0" fontId="7" fillId="3" borderId="8" xfId="1" applyFont="1" applyFill="1" applyBorder="1" applyAlignment="1">
      <alignment horizontal="right" vertical="center"/>
    </xf>
    <xf numFmtId="164" fontId="3" fillId="2" borderId="0" xfId="1" applyNumberFormat="1" applyFont="1" applyFill="1" applyBorder="1" applyAlignment="1">
      <alignment horizontal="right" vertical="center"/>
    </xf>
    <xf numFmtId="165" fontId="3" fillId="2" borderId="16" xfId="1" applyNumberFormat="1" applyFont="1" applyFill="1" applyBorder="1" applyAlignment="1">
      <alignment vertical="center"/>
    </xf>
    <xf numFmtId="165" fontId="3" fillId="3" borderId="0" xfId="1" applyNumberFormat="1" applyFont="1" applyFill="1" applyBorder="1" applyAlignment="1">
      <alignment vertical="center"/>
    </xf>
    <xf numFmtId="1" fontId="8" fillId="2" borderId="16" xfId="1" applyNumberFormat="1" applyFont="1" applyFill="1" applyBorder="1" applyAlignment="1">
      <alignment horizontal="right" vertical="center"/>
    </xf>
    <xf numFmtId="0" fontId="8" fillId="2" borderId="17" xfId="1" applyFont="1" applyFill="1" applyBorder="1" applyAlignment="1">
      <alignment horizontal="right" vertical="center"/>
    </xf>
    <xf numFmtId="0" fontId="8" fillId="3" borderId="0" xfId="1" applyFont="1" applyFill="1" applyBorder="1" applyAlignment="1">
      <alignment horizontal="right" vertical="center"/>
    </xf>
    <xf numFmtId="0" fontId="8" fillId="3" borderId="4" xfId="1" applyFont="1" applyFill="1" applyBorder="1" applyAlignment="1">
      <alignment horizontal="right" vertical="center"/>
    </xf>
    <xf numFmtId="0" fontId="8" fillId="3" borderId="8" xfId="1" applyFont="1" applyFill="1" applyBorder="1" applyAlignment="1">
      <alignment horizontal="right" vertical="center"/>
    </xf>
    <xf numFmtId="1" fontId="8" fillId="2" borderId="27" xfId="1" applyNumberFormat="1" applyFont="1" applyFill="1" applyBorder="1" applyAlignment="1">
      <alignment horizontal="right" vertical="center"/>
    </xf>
    <xf numFmtId="0" fontId="8" fillId="2" borderId="28" xfId="1" applyFont="1" applyFill="1" applyBorder="1" applyAlignment="1">
      <alignment horizontal="right" vertical="center"/>
    </xf>
    <xf numFmtId="1" fontId="3" fillId="2" borderId="27" xfId="1" applyNumberFormat="1" applyFont="1" applyFill="1" applyBorder="1" applyAlignment="1">
      <alignment vertical="center"/>
    </xf>
    <xf numFmtId="1" fontId="3" fillId="3" borderId="0" xfId="1" applyNumberFormat="1" applyFont="1" applyFill="1" applyBorder="1" applyAlignment="1">
      <alignment vertical="center"/>
    </xf>
    <xf numFmtId="0" fontId="3" fillId="3" borderId="17" xfId="1" applyFont="1" applyFill="1" applyBorder="1" applyAlignment="1">
      <alignment horizontal="right" vertical="center"/>
    </xf>
    <xf numFmtId="0" fontId="3" fillId="3" borderId="16" xfId="1" applyFont="1" applyFill="1" applyBorder="1" applyAlignment="1">
      <alignment horizontal="right" vertical="center"/>
    </xf>
    <xf numFmtId="165" fontId="3" fillId="3" borderId="16" xfId="1" applyNumberFormat="1" applyFont="1" applyFill="1" applyBorder="1" applyAlignment="1">
      <alignment horizontal="right" vertical="center"/>
    </xf>
    <xf numFmtId="165" fontId="3" fillId="3" borderId="0" xfId="1" applyNumberFormat="1" applyFont="1" applyFill="1" applyBorder="1" applyAlignment="1">
      <alignment horizontal="right" vertical="center"/>
    </xf>
    <xf numFmtId="3" fontId="3" fillId="3" borderId="16" xfId="1" applyNumberFormat="1" applyFont="1" applyFill="1" applyBorder="1" applyAlignment="1">
      <alignment horizontal="right" vertical="center"/>
    </xf>
    <xf numFmtId="3" fontId="3" fillId="3" borderId="27" xfId="1" applyNumberFormat="1" applyFont="1" applyFill="1" applyBorder="1" applyAlignment="1">
      <alignment horizontal="right" vertical="center"/>
    </xf>
    <xf numFmtId="0" fontId="3" fillId="3" borderId="28" xfId="1" applyFont="1" applyFill="1" applyBorder="1" applyAlignment="1">
      <alignment horizontal="right" vertical="center"/>
    </xf>
    <xf numFmtId="165" fontId="7" fillId="3" borderId="0" xfId="1" applyNumberFormat="1" applyFont="1" applyFill="1" applyBorder="1" applyAlignment="1">
      <alignment vertical="center"/>
    </xf>
    <xf numFmtId="0" fontId="3" fillId="2" borderId="9" xfId="1" applyFont="1" applyFill="1" applyBorder="1" applyAlignment="1">
      <alignment vertical="center"/>
    </xf>
    <xf numFmtId="0" fontId="3" fillId="3" borderId="10" xfId="1" applyFont="1" applyFill="1" applyBorder="1" applyAlignment="1">
      <alignment horizontal="right" vertical="center"/>
    </xf>
    <xf numFmtId="0" fontId="8" fillId="3" borderId="10" xfId="1" applyFont="1" applyFill="1" applyBorder="1" applyAlignment="1">
      <alignment horizontal="right" vertical="center"/>
    </xf>
    <xf numFmtId="0" fontId="3" fillId="3" borderId="0" xfId="1" applyFont="1" applyFill="1" applyAlignment="1">
      <alignment vertical="center"/>
    </xf>
    <xf numFmtId="0" fontId="3" fillId="3" borderId="9" xfId="1" applyFont="1" applyFill="1" applyBorder="1" applyAlignment="1">
      <alignment vertical="center"/>
    </xf>
    <xf numFmtId="0" fontId="3" fillId="2" borderId="10" xfId="1" applyFont="1" applyFill="1" applyBorder="1" applyAlignment="1">
      <alignment vertical="center"/>
    </xf>
    <xf numFmtId="0" fontId="3" fillId="3" borderId="10" xfId="1" applyFont="1" applyFill="1" applyBorder="1" applyAlignment="1">
      <alignment vertical="center"/>
    </xf>
    <xf numFmtId="0" fontId="3" fillId="3" borderId="11" xfId="1" applyFont="1" applyFill="1" applyBorder="1" applyAlignment="1">
      <alignment vertical="center"/>
    </xf>
    <xf numFmtId="164" fontId="0" fillId="0" borderId="0" xfId="0" applyNumberFormat="1"/>
    <xf numFmtId="3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" fontId="0" fillId="6" borderId="0" xfId="0" applyNumberFormat="1" applyFill="1"/>
    <xf numFmtId="0" fontId="0" fillId="6" borderId="0" xfId="0" applyFill="1"/>
    <xf numFmtId="9" fontId="0" fillId="0" borderId="0" xfId="3" applyFont="1"/>
    <xf numFmtId="9" fontId="0" fillId="6" borderId="0" xfId="3" applyFont="1" applyFill="1"/>
    <xf numFmtId="0" fontId="0" fillId="6" borderId="0" xfId="0" applyFill="1" applyAlignment="1">
      <alignment horizontal="center" vertical="center"/>
    </xf>
    <xf numFmtId="164" fontId="0" fillId="6" borderId="0" xfId="0" applyNumberFormat="1" applyFill="1"/>
    <xf numFmtId="0" fontId="12" fillId="7" borderId="0" xfId="0" applyFont="1" applyFill="1" applyAlignment="1">
      <alignment horizontal="center"/>
    </xf>
    <xf numFmtId="0" fontId="10" fillId="7" borderId="0" xfId="0" applyFont="1" applyFill="1" applyAlignment="1">
      <alignment horizontal="center"/>
    </xf>
    <xf numFmtId="166" fontId="0" fillId="6" borderId="0" xfId="2" applyNumberFormat="1" applyFont="1" applyFill="1"/>
    <xf numFmtId="167" fontId="0" fillId="6" borderId="0" xfId="3" applyNumberFormat="1" applyFont="1" applyFill="1"/>
    <xf numFmtId="0" fontId="10" fillId="7" borderId="0" xfId="0" applyFont="1" applyFill="1"/>
    <xf numFmtId="0" fontId="10" fillId="7" borderId="0" xfId="0" applyFont="1" applyFill="1" applyAlignment="1">
      <alignment horizontal="center" vertical="center"/>
    </xf>
    <xf numFmtId="0" fontId="13" fillId="7" borderId="0" xfId="0" applyFont="1" applyFill="1" applyAlignment="1">
      <alignment horizontal="center"/>
    </xf>
    <xf numFmtId="1" fontId="0" fillId="3" borderId="0" xfId="0" applyNumberFormat="1" applyFill="1"/>
    <xf numFmtId="164" fontId="0" fillId="3" borderId="0" xfId="0" applyNumberFormat="1" applyFill="1"/>
    <xf numFmtId="0" fontId="0" fillId="3" borderId="0" xfId="0" applyFill="1"/>
    <xf numFmtId="3" fontId="0" fillId="6" borderId="0" xfId="0" applyNumberFormat="1" applyFill="1"/>
    <xf numFmtId="0" fontId="0" fillId="0" borderId="0" xfId="0" applyAlignment="1">
      <alignment horizontal="center"/>
    </xf>
    <xf numFmtId="164" fontId="0" fillId="8" borderId="0" xfId="0" applyNumberFormat="1" applyFill="1"/>
    <xf numFmtId="0" fontId="10" fillId="7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0" fillId="7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3" fillId="3" borderId="21" xfId="1" applyFont="1" applyFill="1" applyBorder="1" applyAlignment="1">
      <alignment horizontal="left" vertical="center"/>
    </xf>
    <xf numFmtId="0" fontId="3" fillId="3" borderId="22" xfId="1" applyFont="1" applyFill="1" applyBorder="1" applyAlignment="1">
      <alignment horizontal="left" vertical="center"/>
    </xf>
    <xf numFmtId="0" fontId="3" fillId="3" borderId="23" xfId="1" applyFont="1" applyFill="1" applyBorder="1" applyAlignment="1">
      <alignment horizontal="left" vertical="center"/>
    </xf>
    <xf numFmtId="0" fontId="0" fillId="6" borderId="0" xfId="3" applyNumberFormat="1" applyFont="1" applyFill="1"/>
    <xf numFmtId="2" fontId="0" fillId="0" borderId="0" xfId="0" applyNumberFormat="1"/>
    <xf numFmtId="0" fontId="0" fillId="0" borderId="31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2" fontId="0" fillId="0" borderId="16" xfId="0" applyNumberFormat="1" applyBorder="1" applyAlignment="1">
      <alignment horizontal="center"/>
    </xf>
    <xf numFmtId="9" fontId="0" fillId="0" borderId="16" xfId="3" applyFont="1" applyBorder="1" applyAlignment="1">
      <alignment horizontal="center"/>
    </xf>
    <xf numFmtId="2" fontId="0" fillId="0" borderId="27" xfId="0" applyNumberFormat="1" applyBorder="1" applyAlignment="1">
      <alignment horizontal="center"/>
    </xf>
    <xf numFmtId="9" fontId="0" fillId="0" borderId="27" xfId="3" applyFont="1" applyBorder="1" applyAlignment="1">
      <alignment horizontal="center"/>
    </xf>
    <xf numFmtId="2" fontId="0" fillId="0" borderId="17" xfId="3" applyNumberFormat="1" applyFont="1" applyBorder="1" applyAlignment="1">
      <alignment horizontal="center"/>
    </xf>
    <xf numFmtId="2" fontId="0" fillId="0" borderId="28" xfId="3" applyNumberFormat="1" applyFont="1" applyBorder="1" applyAlignment="1">
      <alignment horizontal="center"/>
    </xf>
    <xf numFmtId="2" fontId="0" fillId="0" borderId="31" xfId="0" applyNumberFormat="1" applyBorder="1" applyAlignment="1">
      <alignment horizontal="center"/>
    </xf>
    <xf numFmtId="9" fontId="0" fillId="0" borderId="31" xfId="3" applyFont="1" applyBorder="1" applyAlignment="1">
      <alignment horizontal="center"/>
    </xf>
    <xf numFmtId="2" fontId="0" fillId="0" borderId="32" xfId="3" applyNumberFormat="1" applyFon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9" fontId="0" fillId="0" borderId="13" xfId="3" applyFont="1" applyBorder="1" applyAlignment="1">
      <alignment horizontal="center"/>
    </xf>
    <xf numFmtId="2" fontId="0" fillId="0" borderId="14" xfId="3" applyNumberFormat="1" applyFont="1" applyBorder="1" applyAlignment="1">
      <alignment horizontal="center"/>
    </xf>
    <xf numFmtId="2" fontId="0" fillId="0" borderId="34" xfId="0" applyNumberFormat="1" applyBorder="1" applyAlignment="1">
      <alignment horizontal="center"/>
    </xf>
    <xf numFmtId="0" fontId="0" fillId="0" borderId="34" xfId="0" applyBorder="1" applyAlignment="1">
      <alignment horizontal="center"/>
    </xf>
    <xf numFmtId="9" fontId="0" fillId="0" borderId="34" xfId="3" applyFont="1" applyBorder="1" applyAlignment="1">
      <alignment horizontal="center"/>
    </xf>
    <xf numFmtId="2" fontId="0" fillId="0" borderId="35" xfId="3" applyNumberFormat="1" applyFont="1" applyBorder="1" applyAlignment="1">
      <alignment horizontal="center"/>
    </xf>
    <xf numFmtId="0" fontId="10" fillId="7" borderId="36" xfId="0" applyFont="1" applyFill="1" applyBorder="1" applyAlignment="1">
      <alignment horizontal="center"/>
    </xf>
    <xf numFmtId="0" fontId="10" fillId="7" borderId="37" xfId="0" applyFont="1" applyFill="1" applyBorder="1" applyAlignment="1">
      <alignment horizontal="center"/>
    </xf>
    <xf numFmtId="0" fontId="10" fillId="7" borderId="38" xfId="0" applyFont="1" applyFill="1" applyBorder="1" applyAlignment="1">
      <alignment horizontal="center"/>
    </xf>
    <xf numFmtId="10" fontId="0" fillId="0" borderId="0" xfId="0" applyNumberFormat="1"/>
    <xf numFmtId="0" fontId="3" fillId="9" borderId="13" xfId="1" applyFont="1" applyFill="1" applyBorder="1" applyAlignment="1">
      <alignment horizontal="right" vertical="center"/>
    </xf>
    <xf numFmtId="0" fontId="3" fillId="9" borderId="14" xfId="1" applyFont="1" applyFill="1" applyBorder="1" applyAlignment="1">
      <alignment horizontal="right" vertical="center"/>
    </xf>
    <xf numFmtId="0" fontId="3" fillId="9" borderId="21" xfId="1" applyFont="1" applyFill="1" applyBorder="1" applyAlignment="1">
      <alignment horizontal="left" vertical="center"/>
    </xf>
    <xf numFmtId="0" fontId="3" fillId="9" borderId="22" xfId="1" applyFont="1" applyFill="1" applyBorder="1" applyAlignment="1">
      <alignment horizontal="left" vertical="center"/>
    </xf>
    <xf numFmtId="0" fontId="3" fillId="9" borderId="23" xfId="1" applyFont="1" applyFill="1" applyBorder="1" applyAlignment="1">
      <alignment horizontal="left" vertical="center"/>
    </xf>
    <xf numFmtId="3" fontId="3" fillId="9" borderId="16" xfId="1" applyNumberFormat="1" applyFont="1" applyFill="1" applyBorder="1" applyAlignment="1">
      <alignment horizontal="right" vertical="center"/>
    </xf>
    <xf numFmtId="0" fontId="3" fillId="9" borderId="17" xfId="1" applyFont="1" applyFill="1" applyBorder="1" applyAlignment="1">
      <alignment horizontal="right" vertical="center"/>
    </xf>
    <xf numFmtId="164" fontId="3" fillId="9" borderId="16" xfId="1" applyNumberFormat="1" applyFont="1" applyFill="1" applyBorder="1" applyAlignment="1">
      <alignment horizontal="right" vertical="center"/>
    </xf>
    <xf numFmtId="164" fontId="3" fillId="9" borderId="27" xfId="1" applyNumberFormat="1" applyFont="1" applyFill="1" applyBorder="1" applyAlignment="1">
      <alignment horizontal="right" vertical="center"/>
    </xf>
    <xf numFmtId="0" fontId="3" fillId="9" borderId="28" xfId="1" applyFont="1" applyFill="1" applyBorder="1" applyAlignment="1">
      <alignment horizontal="right" vertical="center"/>
    </xf>
    <xf numFmtId="0" fontId="3" fillId="9" borderId="16" xfId="1" applyFont="1" applyFill="1" applyBorder="1" applyAlignment="1">
      <alignment horizontal="right" vertical="center"/>
    </xf>
    <xf numFmtId="1" fontId="3" fillId="9" borderId="16" xfId="1" applyNumberFormat="1" applyFont="1" applyFill="1" applyBorder="1" applyAlignment="1">
      <alignment horizontal="right" vertical="center"/>
    </xf>
    <xf numFmtId="1" fontId="7" fillId="9" borderId="16" xfId="1" applyNumberFormat="1" applyFont="1" applyFill="1" applyBorder="1" applyAlignment="1">
      <alignment horizontal="right" vertical="center"/>
    </xf>
    <xf numFmtId="0" fontId="7" fillId="9" borderId="17" xfId="1" applyFont="1" applyFill="1" applyBorder="1" applyAlignment="1">
      <alignment horizontal="right" vertical="center"/>
    </xf>
    <xf numFmtId="1" fontId="8" fillId="9" borderId="16" xfId="1" applyNumberFormat="1" applyFont="1" applyFill="1" applyBorder="1" applyAlignment="1">
      <alignment horizontal="right" vertical="center"/>
    </xf>
    <xf numFmtId="0" fontId="8" fillId="9" borderId="17" xfId="1" applyFont="1" applyFill="1" applyBorder="1" applyAlignment="1">
      <alignment horizontal="right" vertical="center"/>
    </xf>
    <xf numFmtId="1" fontId="8" fillId="9" borderId="27" xfId="1" applyNumberFormat="1" applyFont="1" applyFill="1" applyBorder="1" applyAlignment="1">
      <alignment horizontal="right" vertical="center"/>
    </xf>
    <xf numFmtId="0" fontId="8" fillId="9" borderId="28" xfId="1" applyFont="1" applyFill="1" applyBorder="1" applyAlignment="1">
      <alignment horizontal="right" vertical="center"/>
    </xf>
    <xf numFmtId="168" fontId="0" fillId="0" borderId="0" xfId="0" applyNumberFormat="1"/>
    <xf numFmtId="9" fontId="0" fillId="0" borderId="0" xfId="0" applyNumberFormat="1"/>
    <xf numFmtId="0" fontId="10" fillId="7" borderId="0" xfId="0" applyFont="1" applyFill="1" applyAlignment="1">
      <alignment horizontal="center"/>
    </xf>
    <xf numFmtId="0" fontId="0" fillId="0" borderId="40" xfId="0" applyBorder="1"/>
    <xf numFmtId="0" fontId="0" fillId="0" borderId="0" xfId="0" applyBorder="1"/>
    <xf numFmtId="2" fontId="0" fillId="0" borderId="0" xfId="0" applyNumberFormat="1" applyBorder="1"/>
    <xf numFmtId="9" fontId="0" fillId="0" borderId="0" xfId="3" applyFont="1" applyBorder="1"/>
    <xf numFmtId="0" fontId="0" fillId="0" borderId="0" xfId="0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164" fontId="0" fillId="6" borderId="0" xfId="0" applyNumberFormat="1" applyFill="1" applyBorder="1"/>
    <xf numFmtId="1" fontId="0" fillId="6" borderId="0" xfId="0" applyNumberFormat="1" applyFill="1" applyBorder="1"/>
    <xf numFmtId="0" fontId="0" fillId="6" borderId="0" xfId="0" applyFill="1" applyBorder="1"/>
    <xf numFmtId="9" fontId="0" fillId="6" borderId="0" xfId="3" applyFont="1" applyFill="1" applyBorder="1"/>
    <xf numFmtId="0" fontId="0" fillId="6" borderId="0" xfId="3" applyNumberFormat="1" applyFont="1" applyFill="1" applyBorder="1"/>
    <xf numFmtId="43" fontId="0" fillId="6" borderId="0" xfId="2" applyNumberFormat="1" applyFont="1" applyFill="1" applyBorder="1"/>
    <xf numFmtId="166" fontId="0" fillId="6" borderId="0" xfId="2" applyNumberFormat="1" applyFont="1" applyFill="1" applyBorder="1"/>
    <xf numFmtId="2" fontId="0" fillId="0" borderId="40" xfId="0" applyNumberFormat="1" applyBorder="1"/>
    <xf numFmtId="9" fontId="0" fillId="0" borderId="40" xfId="3" applyFont="1" applyBorder="1"/>
    <xf numFmtId="0" fontId="0" fillId="6" borderId="40" xfId="0" applyFill="1" applyBorder="1" applyAlignment="1">
      <alignment horizontal="center" vertical="center"/>
    </xf>
    <xf numFmtId="164" fontId="0" fillId="6" borderId="40" xfId="0" applyNumberFormat="1" applyFill="1" applyBorder="1"/>
    <xf numFmtId="1" fontId="0" fillId="6" borderId="40" xfId="0" applyNumberFormat="1" applyFill="1" applyBorder="1"/>
    <xf numFmtId="0" fontId="0" fillId="6" borderId="40" xfId="0" applyFill="1" applyBorder="1"/>
    <xf numFmtId="9" fontId="0" fillId="6" borderId="40" xfId="3" applyFont="1" applyFill="1" applyBorder="1"/>
    <xf numFmtId="0" fontId="0" fillId="6" borderId="40" xfId="3" applyNumberFormat="1" applyFont="1" applyFill="1" applyBorder="1"/>
    <xf numFmtId="43" fontId="0" fillId="6" borderId="40" xfId="2" applyNumberFormat="1" applyFont="1" applyFill="1" applyBorder="1"/>
    <xf numFmtId="166" fontId="0" fillId="6" borderId="40" xfId="2" applyNumberFormat="1" applyFont="1" applyFill="1" applyBorder="1"/>
    <xf numFmtId="0" fontId="0" fillId="0" borderId="39" xfId="0" applyBorder="1"/>
    <xf numFmtId="2" fontId="0" fillId="0" borderId="39" xfId="0" applyNumberFormat="1" applyBorder="1"/>
    <xf numFmtId="9" fontId="0" fillId="0" borderId="39" xfId="3" applyFont="1" applyBorder="1"/>
    <xf numFmtId="0" fontId="0" fillId="6" borderId="39" xfId="0" applyFill="1" applyBorder="1" applyAlignment="1">
      <alignment horizontal="center" vertical="center"/>
    </xf>
    <xf numFmtId="164" fontId="0" fillId="6" borderId="39" xfId="0" applyNumberFormat="1" applyFill="1" applyBorder="1"/>
    <xf numFmtId="1" fontId="0" fillId="6" borderId="39" xfId="0" applyNumberFormat="1" applyFill="1" applyBorder="1"/>
    <xf numFmtId="0" fontId="0" fillId="6" borderId="39" xfId="0" applyFill="1" applyBorder="1"/>
    <xf numFmtId="9" fontId="0" fillId="6" borderId="39" xfId="3" applyFont="1" applyFill="1" applyBorder="1"/>
    <xf numFmtId="0" fontId="0" fillId="6" borderId="39" xfId="3" applyNumberFormat="1" applyFont="1" applyFill="1" applyBorder="1"/>
    <xf numFmtId="43" fontId="0" fillId="6" borderId="39" xfId="2" applyNumberFormat="1" applyFont="1" applyFill="1" applyBorder="1"/>
    <xf numFmtId="166" fontId="0" fillId="6" borderId="39" xfId="2" applyNumberFormat="1" applyFont="1" applyFill="1" applyBorder="1"/>
    <xf numFmtId="0" fontId="10" fillId="7" borderId="0" xfId="0" applyFont="1" applyFill="1" applyAlignment="1">
      <alignment horizontal="center"/>
    </xf>
    <xf numFmtId="0" fontId="16" fillId="3" borderId="0" xfId="1" applyFont="1" applyFill="1" applyAlignment="1">
      <alignment horizontal="right" vertical="center"/>
    </xf>
    <xf numFmtId="1" fontId="16" fillId="3" borderId="0" xfId="1" applyNumberFormat="1" applyFont="1" applyFill="1" applyAlignment="1">
      <alignment vertical="center"/>
    </xf>
    <xf numFmtId="2" fontId="0" fillId="0" borderId="0" xfId="0" applyNumberFormat="1" applyBorder="1" applyAlignment="1">
      <alignment horizontal="center"/>
    </xf>
    <xf numFmtId="43" fontId="0" fillId="6" borderId="0" xfId="0" applyNumberFormat="1" applyFill="1"/>
    <xf numFmtId="164" fontId="0" fillId="0" borderId="40" xfId="0" applyNumberFormat="1" applyBorder="1"/>
    <xf numFmtId="2" fontId="0" fillId="9" borderId="0" xfId="0" applyNumberFormat="1" applyFill="1" applyBorder="1"/>
    <xf numFmtId="44" fontId="0" fillId="0" borderId="0" xfId="4" applyFont="1"/>
    <xf numFmtId="44" fontId="0" fillId="0" borderId="0" xfId="0" applyNumberFormat="1"/>
    <xf numFmtId="0" fontId="10" fillId="7" borderId="0" xfId="0" applyFont="1" applyFill="1" applyAlignment="1">
      <alignment horizontal="center"/>
    </xf>
    <xf numFmtId="0" fontId="10" fillId="7" borderId="0" xfId="0" applyFont="1" applyFill="1" applyAlignment="1">
      <alignment horizontal="center"/>
    </xf>
    <xf numFmtId="169" fontId="0" fillId="0" borderId="0" xfId="0" applyNumberFormat="1"/>
    <xf numFmtId="43" fontId="0" fillId="0" borderId="0" xfId="0" applyNumberFormat="1"/>
    <xf numFmtId="0" fontId="0" fillId="10" borderId="0" xfId="0" applyFill="1" applyAlignment="1">
      <alignment horizontal="center" vertical="center"/>
    </xf>
    <xf numFmtId="0" fontId="17" fillId="9" borderId="0" xfId="0" applyFont="1" applyFill="1" applyAlignment="1">
      <alignment horizontal="center" vertical="center"/>
    </xf>
    <xf numFmtId="165" fontId="0" fillId="11" borderId="0" xfId="0" applyNumberFormat="1" applyFill="1" applyAlignment="1">
      <alignment horizontal="center"/>
    </xf>
    <xf numFmtId="0" fontId="10" fillId="7" borderId="0" xfId="0" applyFont="1" applyFill="1" applyAlignment="1">
      <alignment horizont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15" fillId="2" borderId="15" xfId="1" applyFont="1" applyFill="1" applyBorder="1" applyAlignment="1">
      <alignment horizontal="left" vertical="center"/>
    </xf>
    <xf numFmtId="0" fontId="15" fillId="2" borderId="16" xfId="1" applyFont="1" applyFill="1" applyBorder="1" applyAlignment="1">
      <alignment horizontal="left" vertical="center"/>
    </xf>
    <xf numFmtId="0" fontId="8" fillId="2" borderId="29" xfId="1" applyFont="1" applyFill="1" applyBorder="1" applyAlignment="1">
      <alignment horizontal="left" vertical="center"/>
    </xf>
    <xf numFmtId="0" fontId="8" fillId="2" borderId="27" xfId="1" applyFont="1" applyFill="1" applyBorder="1" applyAlignment="1">
      <alignment horizontal="left" vertical="center"/>
    </xf>
    <xf numFmtId="0" fontId="7" fillId="2" borderId="15" xfId="1" applyFont="1" applyFill="1" applyBorder="1" applyAlignment="1">
      <alignment horizontal="left" vertical="center"/>
    </xf>
    <xf numFmtId="0" fontId="7" fillId="2" borderId="16" xfId="1" applyFont="1" applyFill="1" applyBorder="1" applyAlignment="1">
      <alignment horizontal="left" vertical="center"/>
    </xf>
    <xf numFmtId="0" fontId="3" fillId="2" borderId="12" xfId="1" applyFont="1" applyFill="1" applyBorder="1" applyAlignment="1">
      <alignment horizontal="left" vertical="center"/>
    </xf>
    <xf numFmtId="0" fontId="3" fillId="2" borderId="13" xfId="1" applyFont="1" applyFill="1" applyBorder="1" applyAlignment="1">
      <alignment horizontal="left" vertical="center"/>
    </xf>
    <xf numFmtId="0" fontId="3" fillId="3" borderId="15" xfId="1" applyFont="1" applyFill="1" applyBorder="1" applyAlignment="1">
      <alignment horizontal="left" vertical="center"/>
    </xf>
    <xf numFmtId="0" fontId="3" fillId="3" borderId="16" xfId="1" applyFont="1" applyFill="1" applyBorder="1" applyAlignment="1">
      <alignment horizontal="left" vertical="center"/>
    </xf>
    <xf numFmtId="0" fontId="7" fillId="9" borderId="15" xfId="1" applyFont="1" applyFill="1" applyBorder="1" applyAlignment="1">
      <alignment horizontal="left" vertical="center"/>
    </xf>
    <xf numFmtId="0" fontId="7" fillId="9" borderId="16" xfId="1" applyFont="1" applyFill="1" applyBorder="1" applyAlignment="1">
      <alignment horizontal="left" vertical="center"/>
    </xf>
    <xf numFmtId="0" fontId="8" fillId="9" borderId="15" xfId="1" applyFont="1" applyFill="1" applyBorder="1" applyAlignment="1">
      <alignment horizontal="left" vertical="center"/>
    </xf>
    <xf numFmtId="0" fontId="8" fillId="9" borderId="16" xfId="1" applyFont="1" applyFill="1" applyBorder="1" applyAlignment="1">
      <alignment horizontal="left" vertical="center"/>
    </xf>
    <xf numFmtId="0" fontId="3" fillId="2" borderId="0" xfId="1" applyFont="1" applyFill="1" applyBorder="1" applyAlignment="1">
      <alignment horizontal="left" vertical="center"/>
    </xf>
    <xf numFmtId="0" fontId="8" fillId="2" borderId="15" xfId="1" applyFont="1" applyFill="1" applyBorder="1" applyAlignment="1">
      <alignment horizontal="left" vertical="center"/>
    </xf>
    <xf numFmtId="0" fontId="8" fillId="2" borderId="16" xfId="1" applyFont="1" applyFill="1" applyBorder="1" applyAlignment="1">
      <alignment horizontal="left" vertical="center"/>
    </xf>
    <xf numFmtId="0" fontId="3" fillId="2" borderId="24" xfId="1" applyFont="1" applyFill="1" applyBorder="1" applyAlignment="1">
      <alignment horizontal="left" vertical="center"/>
    </xf>
    <xf numFmtId="0" fontId="3" fillId="2" borderId="25" xfId="1" applyFont="1" applyFill="1" applyBorder="1" applyAlignment="1">
      <alignment horizontal="left" vertical="center"/>
    </xf>
    <xf numFmtId="0" fontId="3" fillId="2" borderId="26" xfId="1" applyFont="1" applyFill="1" applyBorder="1" applyAlignment="1">
      <alignment horizontal="left" vertical="center"/>
    </xf>
    <xf numFmtId="0" fontId="3" fillId="2" borderId="18" xfId="1" applyFont="1" applyFill="1" applyBorder="1" applyAlignment="1">
      <alignment horizontal="left" vertical="center"/>
    </xf>
    <xf numFmtId="0" fontId="3" fillId="2" borderId="19" xfId="1" applyFont="1" applyFill="1" applyBorder="1" applyAlignment="1">
      <alignment horizontal="left" vertical="center"/>
    </xf>
    <xf numFmtId="0" fontId="3" fillId="2" borderId="20" xfId="1" applyFont="1" applyFill="1" applyBorder="1" applyAlignment="1">
      <alignment horizontal="left" vertical="center"/>
    </xf>
    <xf numFmtId="0" fontId="4" fillId="4" borderId="1" xfId="1" applyFont="1" applyFill="1" applyBorder="1" applyAlignment="1">
      <alignment horizontal="left" vertical="center" wrapText="1"/>
    </xf>
    <xf numFmtId="0" fontId="4" fillId="4" borderId="2" xfId="1" applyFont="1" applyFill="1" applyBorder="1" applyAlignment="1">
      <alignment horizontal="left" vertical="center" wrapText="1"/>
    </xf>
    <xf numFmtId="0" fontId="4" fillId="4" borderId="3" xfId="1" applyFont="1" applyFill="1" applyBorder="1" applyAlignment="1">
      <alignment horizontal="left" vertical="center" wrapText="1"/>
    </xf>
    <xf numFmtId="0" fontId="4" fillId="4" borderId="9" xfId="1" applyFont="1" applyFill="1" applyBorder="1" applyAlignment="1">
      <alignment horizontal="left" vertical="center" wrapText="1"/>
    </xf>
    <xf numFmtId="0" fontId="4" fillId="4" borderId="10" xfId="1" applyFont="1" applyFill="1" applyBorder="1" applyAlignment="1">
      <alignment horizontal="left" vertical="center" wrapText="1"/>
    </xf>
    <xf numFmtId="0" fontId="4" fillId="4" borderId="11" xfId="1" applyFont="1" applyFill="1" applyBorder="1" applyAlignment="1">
      <alignment horizontal="left" vertical="center" wrapText="1"/>
    </xf>
    <xf numFmtId="0" fontId="4" fillId="5" borderId="5" xfId="1" applyFont="1" applyFill="1" applyBorder="1" applyAlignment="1">
      <alignment horizontal="center" vertical="center"/>
    </xf>
    <xf numFmtId="0" fontId="4" fillId="5" borderId="6" xfId="1" applyFont="1" applyFill="1" applyBorder="1" applyAlignment="1">
      <alignment horizontal="center" vertical="center"/>
    </xf>
    <xf numFmtId="0" fontId="4" fillId="5" borderId="7" xfId="1" applyFont="1" applyFill="1" applyBorder="1" applyAlignment="1">
      <alignment horizontal="center" vertical="center"/>
    </xf>
    <xf numFmtId="0" fontId="3" fillId="3" borderId="29" xfId="1" applyFont="1" applyFill="1" applyBorder="1" applyAlignment="1">
      <alignment horizontal="left" vertical="center"/>
    </xf>
    <xf numFmtId="0" fontId="3" fillId="3" borderId="27" xfId="1" applyFont="1" applyFill="1" applyBorder="1" applyAlignment="1">
      <alignment horizontal="left" vertical="center"/>
    </xf>
    <xf numFmtId="0" fontId="3" fillId="3" borderId="21" xfId="1" applyFont="1" applyFill="1" applyBorder="1" applyAlignment="1">
      <alignment horizontal="left" vertical="center"/>
    </xf>
    <xf numFmtId="0" fontId="3" fillId="3" borderId="22" xfId="1" applyFont="1" applyFill="1" applyBorder="1" applyAlignment="1">
      <alignment horizontal="left" vertical="center"/>
    </xf>
    <xf numFmtId="0" fontId="3" fillId="3" borderId="23" xfId="1" applyFont="1" applyFill="1" applyBorder="1" applyAlignment="1">
      <alignment horizontal="left" vertical="center"/>
    </xf>
    <xf numFmtId="165" fontId="7" fillId="3" borderId="0" xfId="1" applyNumberFormat="1" applyFont="1" applyFill="1" applyBorder="1" applyAlignment="1">
      <alignment horizontal="center" vertical="center"/>
    </xf>
    <xf numFmtId="0" fontId="3" fillId="2" borderId="12" xfId="1" applyFont="1" applyFill="1" applyBorder="1" applyAlignment="1">
      <alignment horizontal="center" vertical="center"/>
    </xf>
    <xf numFmtId="0" fontId="3" fillId="2" borderId="13" xfId="1" applyFont="1" applyFill="1" applyBorder="1" applyAlignment="1">
      <alignment horizontal="center" vertical="center"/>
    </xf>
    <xf numFmtId="0" fontId="3" fillId="2" borderId="14" xfId="1" applyFont="1" applyFill="1" applyBorder="1" applyAlignment="1">
      <alignment horizontal="center" vertical="center"/>
    </xf>
    <xf numFmtId="0" fontId="4" fillId="4" borderId="1" xfId="1" applyFont="1" applyFill="1" applyBorder="1" applyAlignment="1">
      <alignment horizontal="center" vertical="center" wrapText="1"/>
    </xf>
    <xf numFmtId="0" fontId="4" fillId="4" borderId="2" xfId="1" applyFont="1" applyFill="1" applyBorder="1" applyAlignment="1">
      <alignment horizontal="center" vertical="center" wrapText="1"/>
    </xf>
    <xf numFmtId="0" fontId="4" fillId="4" borderId="3" xfId="1" applyFont="1" applyFill="1" applyBorder="1" applyAlignment="1">
      <alignment horizontal="center" vertical="center" wrapText="1"/>
    </xf>
    <xf numFmtId="0" fontId="4" fillId="4" borderId="9" xfId="1" applyFont="1" applyFill="1" applyBorder="1" applyAlignment="1">
      <alignment horizontal="center" vertical="center" wrapText="1"/>
    </xf>
    <xf numFmtId="0" fontId="4" fillId="4" borderId="10" xfId="1" applyFont="1" applyFill="1" applyBorder="1" applyAlignment="1">
      <alignment horizontal="center" vertical="center" wrapText="1"/>
    </xf>
    <xf numFmtId="0" fontId="4" fillId="4" borderId="11" xfId="1" applyFont="1" applyFill="1" applyBorder="1" applyAlignment="1">
      <alignment horizontal="center" vertical="center" wrapText="1"/>
    </xf>
    <xf numFmtId="0" fontId="4" fillId="5" borderId="1" xfId="1" applyFont="1" applyFill="1" applyBorder="1" applyAlignment="1">
      <alignment horizontal="center" vertical="center"/>
    </xf>
    <xf numFmtId="0" fontId="4" fillId="5" borderId="2" xfId="1" applyFont="1" applyFill="1" applyBorder="1" applyAlignment="1">
      <alignment horizontal="center" vertical="center"/>
    </xf>
    <xf numFmtId="0" fontId="4" fillId="5" borderId="3" xfId="1" applyFont="1" applyFill="1" applyBorder="1" applyAlignment="1">
      <alignment horizontal="center" vertical="center"/>
    </xf>
    <xf numFmtId="0" fontId="4" fillId="4" borderId="5" xfId="1" applyFont="1" applyFill="1" applyBorder="1" applyAlignment="1">
      <alignment horizontal="center" vertical="center"/>
    </xf>
    <xf numFmtId="0" fontId="4" fillId="4" borderId="6" xfId="1" applyFont="1" applyFill="1" applyBorder="1" applyAlignment="1">
      <alignment horizontal="center" vertical="center"/>
    </xf>
    <xf numFmtId="0" fontId="4" fillId="4" borderId="7" xfId="1" applyFont="1" applyFill="1" applyBorder="1" applyAlignment="1">
      <alignment horizontal="center" vertical="center"/>
    </xf>
    <xf numFmtId="0" fontId="4" fillId="4" borderId="4" xfId="1" applyFont="1" applyFill="1" applyBorder="1" applyAlignment="1">
      <alignment horizontal="center" vertical="center" wrapText="1"/>
    </xf>
    <xf numFmtId="0" fontId="4" fillId="4" borderId="0" xfId="1" applyFont="1" applyFill="1" applyBorder="1" applyAlignment="1">
      <alignment horizontal="center" vertical="center" wrapText="1"/>
    </xf>
    <xf numFmtId="0" fontId="4" fillId="4" borderId="8" xfId="1" applyFont="1" applyFill="1" applyBorder="1" applyAlignment="1">
      <alignment horizontal="center" vertical="center" wrapText="1"/>
    </xf>
    <xf numFmtId="0" fontId="4" fillId="3" borderId="1" xfId="1" applyFont="1" applyFill="1" applyBorder="1" applyAlignment="1">
      <alignment horizontal="center" vertical="center" wrapText="1"/>
    </xf>
    <xf numFmtId="0" fontId="4" fillId="3" borderId="2" xfId="1" applyFont="1" applyFill="1" applyBorder="1" applyAlignment="1">
      <alignment horizontal="center" vertical="center" wrapText="1"/>
    </xf>
    <xf numFmtId="0" fontId="4" fillId="3" borderId="3" xfId="1" applyFont="1" applyFill="1" applyBorder="1" applyAlignment="1">
      <alignment horizontal="center" vertical="center" wrapText="1"/>
    </xf>
    <xf numFmtId="0" fontId="4" fillId="3" borderId="4" xfId="1" applyFont="1" applyFill="1" applyBorder="1" applyAlignment="1">
      <alignment horizontal="center" vertical="center" wrapText="1"/>
    </xf>
    <xf numFmtId="0" fontId="4" fillId="3" borderId="0" xfId="1" applyFont="1" applyFill="1" applyBorder="1" applyAlignment="1">
      <alignment horizontal="center" vertical="center" wrapText="1"/>
    </xf>
    <xf numFmtId="0" fontId="4" fillId="3" borderId="8" xfId="1" applyFont="1" applyFill="1" applyBorder="1" applyAlignment="1">
      <alignment horizontal="center" vertical="center" wrapText="1"/>
    </xf>
    <xf numFmtId="0" fontId="4" fillId="3" borderId="9" xfId="1" applyFont="1" applyFill="1" applyBorder="1" applyAlignment="1">
      <alignment horizontal="center" vertical="center" wrapText="1"/>
    </xf>
    <xf numFmtId="0" fontId="4" fillId="3" borderId="10" xfId="1" applyFont="1" applyFill="1" applyBorder="1" applyAlignment="1">
      <alignment horizontal="center" vertical="center" wrapText="1"/>
    </xf>
    <xf numFmtId="0" fontId="4" fillId="3" borderId="11" xfId="1" applyFont="1" applyFill="1" applyBorder="1" applyAlignment="1">
      <alignment horizontal="center" vertical="center" wrapText="1"/>
    </xf>
    <xf numFmtId="0" fontId="4" fillId="3" borderId="2" xfId="1" applyFont="1" applyFill="1" applyBorder="1" applyAlignment="1">
      <alignment horizontal="center" vertical="center"/>
    </xf>
    <xf numFmtId="0" fontId="4" fillId="3" borderId="3" xfId="1" applyFont="1" applyFill="1" applyBorder="1" applyAlignment="1">
      <alignment horizontal="center" vertical="center"/>
    </xf>
    <xf numFmtId="0" fontId="4" fillId="3" borderId="4" xfId="1" applyFont="1" applyFill="1" applyBorder="1" applyAlignment="1">
      <alignment horizontal="center" vertical="center"/>
    </xf>
    <xf numFmtId="0" fontId="4" fillId="3" borderId="0" xfId="1" applyFont="1" applyFill="1" applyBorder="1" applyAlignment="1">
      <alignment horizontal="center" vertical="center"/>
    </xf>
    <xf numFmtId="0" fontId="4" fillId="3" borderId="8" xfId="1" applyFont="1" applyFill="1" applyBorder="1" applyAlignment="1">
      <alignment horizontal="center" vertical="center"/>
    </xf>
    <xf numFmtId="0" fontId="4" fillId="3" borderId="9" xfId="1" applyFont="1" applyFill="1" applyBorder="1" applyAlignment="1">
      <alignment horizontal="center" vertical="center"/>
    </xf>
    <xf numFmtId="0" fontId="4" fillId="3" borderId="10" xfId="1" applyFont="1" applyFill="1" applyBorder="1" applyAlignment="1">
      <alignment horizontal="center" vertical="center"/>
    </xf>
    <xf numFmtId="0" fontId="4" fillId="3" borderId="11" xfId="1" applyFont="1" applyFill="1" applyBorder="1" applyAlignment="1">
      <alignment horizontal="center" vertical="center"/>
    </xf>
    <xf numFmtId="0" fontId="4" fillId="3" borderId="0" xfId="1" applyFont="1" applyFill="1" applyBorder="1" applyAlignment="1">
      <alignment horizontal="left" vertical="center" wrapText="1"/>
    </xf>
    <xf numFmtId="0" fontId="8" fillId="9" borderId="29" xfId="1" applyFont="1" applyFill="1" applyBorder="1" applyAlignment="1">
      <alignment horizontal="left" vertical="center"/>
    </xf>
    <xf numFmtId="0" fontId="8" fillId="9" borderId="27" xfId="1" applyFont="1" applyFill="1" applyBorder="1" applyAlignment="1">
      <alignment horizontal="left" vertical="center"/>
    </xf>
    <xf numFmtId="0" fontId="4" fillId="9" borderId="5" xfId="1" applyFont="1" applyFill="1" applyBorder="1" applyAlignment="1">
      <alignment horizontal="center" vertical="center"/>
    </xf>
    <xf numFmtId="0" fontId="4" fillId="9" borderId="6" xfId="1" applyFont="1" applyFill="1" applyBorder="1" applyAlignment="1">
      <alignment horizontal="center" vertical="center"/>
    </xf>
    <xf numFmtId="0" fontId="4" fillId="9" borderId="7" xfId="1" applyFont="1" applyFill="1" applyBorder="1" applyAlignment="1">
      <alignment horizontal="center" vertical="center"/>
    </xf>
    <xf numFmtId="0" fontId="3" fillId="9" borderId="18" xfId="1" applyFont="1" applyFill="1" applyBorder="1" applyAlignment="1">
      <alignment horizontal="left" vertical="center"/>
    </xf>
    <xf numFmtId="0" fontId="3" fillId="9" borderId="19" xfId="1" applyFont="1" applyFill="1" applyBorder="1" applyAlignment="1">
      <alignment horizontal="left" vertical="center"/>
    </xf>
    <xf numFmtId="0" fontId="3" fillId="9" borderId="20" xfId="1" applyFont="1" applyFill="1" applyBorder="1" applyAlignment="1">
      <alignment horizontal="left" vertical="center"/>
    </xf>
    <xf numFmtId="0" fontId="3" fillId="9" borderId="24" xfId="1" applyFont="1" applyFill="1" applyBorder="1" applyAlignment="1">
      <alignment horizontal="left" vertical="center"/>
    </xf>
    <xf numFmtId="0" fontId="3" fillId="9" borderId="25" xfId="1" applyFont="1" applyFill="1" applyBorder="1" applyAlignment="1">
      <alignment horizontal="left" vertical="center"/>
    </xf>
    <xf numFmtId="0" fontId="3" fillId="9" borderId="26" xfId="1" applyFont="1" applyFill="1" applyBorder="1" applyAlignment="1">
      <alignment horizontal="left" vertical="center"/>
    </xf>
    <xf numFmtId="0" fontId="3" fillId="9" borderId="12" xfId="1" applyFont="1" applyFill="1" applyBorder="1" applyAlignment="1">
      <alignment horizontal="left" vertical="center"/>
    </xf>
    <xf numFmtId="0" fontId="3" fillId="9" borderId="13" xfId="1" applyFont="1" applyFill="1" applyBorder="1" applyAlignment="1">
      <alignment horizontal="left" vertical="center"/>
    </xf>
    <xf numFmtId="0" fontId="3" fillId="9" borderId="15" xfId="1" applyFont="1" applyFill="1" applyBorder="1" applyAlignment="1">
      <alignment horizontal="left" vertical="center"/>
    </xf>
    <xf numFmtId="0" fontId="3" fillId="9" borderId="16" xfId="1" applyFont="1" applyFill="1" applyBorder="1" applyAlignment="1">
      <alignment horizontal="left" vertical="center"/>
    </xf>
  </cellXfs>
  <cellStyles count="5">
    <cellStyle name="Moeda" xfId="4" builtinId="4"/>
    <cellStyle name="Normal" xfId="0" builtinId="0"/>
    <cellStyle name="Normal 2" xfId="1" xr:uid="{00000000-0005-0000-0000-000001000000}"/>
    <cellStyle name="Porcentagem" xfId="3" builtinId="5"/>
    <cellStyle name="Vírgula" xfId="2" builtinId="3"/>
  </cellStyles>
  <dxfs count="3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image" Target="../media/image2.png"/><Relationship Id="rId1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46</xdr:col>
      <xdr:colOff>409575</xdr:colOff>
      <xdr:row>6</xdr:row>
      <xdr:rowOff>0</xdr:rowOff>
    </xdr:from>
    <xdr:ext cx="1219048" cy="0"/>
    <xdr:pic>
      <xdr:nvPicPr>
        <xdr:cNvPr id="7" name="Imagem 6">
          <a:extLst>
            <a:ext uri="{FF2B5EF4-FFF2-40B4-BE49-F238E27FC236}">
              <a16:creationId xmlns:a16="http://schemas.microsoft.com/office/drawing/2014/main" id="{670FEFF8-D18C-48BA-BAB4-BCFDBF5538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924992" y="1877483"/>
          <a:ext cx="1219048" cy="0"/>
        </a:xfrm>
        <a:prstGeom prst="rect">
          <a:avLst/>
        </a:prstGeom>
      </xdr:spPr>
    </xdr:pic>
    <xdr:clientData/>
  </xdr:oneCellAnchor>
  <xdr:oneCellAnchor>
    <xdr:from>
      <xdr:col>42</xdr:col>
      <xdr:colOff>104775</xdr:colOff>
      <xdr:row>6</xdr:row>
      <xdr:rowOff>0</xdr:rowOff>
    </xdr:from>
    <xdr:ext cx="2666668" cy="0"/>
    <xdr:pic>
      <xdr:nvPicPr>
        <xdr:cNvPr id="8" name="Imagem 7">
          <a:extLst>
            <a:ext uri="{FF2B5EF4-FFF2-40B4-BE49-F238E27FC236}">
              <a16:creationId xmlns:a16="http://schemas.microsoft.com/office/drawing/2014/main" id="{E8439219-F80A-4F43-9689-FD5B4E8DF5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143692" y="2144183"/>
          <a:ext cx="2666668" cy="0"/>
        </a:xfrm>
        <a:prstGeom prst="rect">
          <a:avLst/>
        </a:prstGeom>
      </xdr:spPr>
    </xdr:pic>
    <xdr:clientData/>
  </xdr:oneCellAnchor>
  <xdr:oneCellAnchor>
    <xdr:from>
      <xdr:col>46</xdr:col>
      <xdr:colOff>409575</xdr:colOff>
      <xdr:row>6</xdr:row>
      <xdr:rowOff>0</xdr:rowOff>
    </xdr:from>
    <xdr:ext cx="1227514" cy="0"/>
    <xdr:pic>
      <xdr:nvPicPr>
        <xdr:cNvPr id="9" name="Imagem 8">
          <a:extLst>
            <a:ext uri="{FF2B5EF4-FFF2-40B4-BE49-F238E27FC236}">
              <a16:creationId xmlns:a16="http://schemas.microsoft.com/office/drawing/2014/main" id="{8194A9C2-7A4F-498B-BACA-504187A364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924992" y="2067983"/>
          <a:ext cx="1227514" cy="0"/>
        </a:xfrm>
        <a:prstGeom prst="rect">
          <a:avLst/>
        </a:prstGeom>
      </xdr:spPr>
    </xdr:pic>
    <xdr:clientData/>
  </xdr:oneCellAnchor>
  <xdr:oneCellAnchor>
    <xdr:from>
      <xdr:col>46</xdr:col>
      <xdr:colOff>419100</xdr:colOff>
      <xdr:row>6</xdr:row>
      <xdr:rowOff>0</xdr:rowOff>
    </xdr:from>
    <xdr:ext cx="1450795" cy="0"/>
    <xdr:pic>
      <xdr:nvPicPr>
        <xdr:cNvPr id="10" name="Imagem 9">
          <a:extLst>
            <a:ext uri="{FF2B5EF4-FFF2-40B4-BE49-F238E27FC236}">
              <a16:creationId xmlns:a16="http://schemas.microsoft.com/office/drawing/2014/main" id="{E4093008-2874-4707-B854-D75B449A6C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934517" y="2401358"/>
          <a:ext cx="1450795" cy="0"/>
        </a:xfrm>
        <a:prstGeom prst="rect">
          <a:avLst/>
        </a:prstGeom>
      </xdr:spPr>
    </xdr:pic>
    <xdr:clientData/>
  </xdr:oneCellAnchor>
  <xdr:oneCellAnchor>
    <xdr:from>
      <xdr:col>46</xdr:col>
      <xdr:colOff>409575</xdr:colOff>
      <xdr:row>6</xdr:row>
      <xdr:rowOff>0</xdr:rowOff>
    </xdr:from>
    <xdr:ext cx="1219048" cy="0"/>
    <xdr:pic>
      <xdr:nvPicPr>
        <xdr:cNvPr id="11" name="Imagem 10">
          <a:extLst>
            <a:ext uri="{FF2B5EF4-FFF2-40B4-BE49-F238E27FC236}">
              <a16:creationId xmlns:a16="http://schemas.microsoft.com/office/drawing/2014/main" id="{9B995D02-B5F8-40B3-91BA-2FD39C17BC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924992" y="1877483"/>
          <a:ext cx="1219048" cy="0"/>
        </a:xfrm>
        <a:prstGeom prst="rect">
          <a:avLst/>
        </a:prstGeom>
      </xdr:spPr>
    </xdr:pic>
    <xdr:clientData/>
  </xdr:oneCellAnchor>
  <xdr:oneCellAnchor>
    <xdr:from>
      <xdr:col>46</xdr:col>
      <xdr:colOff>409575</xdr:colOff>
      <xdr:row>6</xdr:row>
      <xdr:rowOff>0</xdr:rowOff>
    </xdr:from>
    <xdr:ext cx="1219048" cy="0"/>
    <xdr:pic>
      <xdr:nvPicPr>
        <xdr:cNvPr id="12" name="Imagem 11">
          <a:extLst>
            <a:ext uri="{FF2B5EF4-FFF2-40B4-BE49-F238E27FC236}">
              <a16:creationId xmlns:a16="http://schemas.microsoft.com/office/drawing/2014/main" id="{E8BB5EFA-9130-4156-AD3B-AEFA0D9A4A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924992" y="2639483"/>
          <a:ext cx="1219048" cy="0"/>
        </a:xfrm>
        <a:prstGeom prst="rect">
          <a:avLst/>
        </a:prstGeom>
      </xdr:spPr>
    </xdr:pic>
    <xdr:clientData/>
  </xdr:oneCellAnchor>
  <xdr:oneCellAnchor>
    <xdr:from>
      <xdr:col>42</xdr:col>
      <xdr:colOff>104775</xdr:colOff>
      <xdr:row>6</xdr:row>
      <xdr:rowOff>0</xdr:rowOff>
    </xdr:from>
    <xdr:ext cx="2666668" cy="0"/>
    <xdr:pic>
      <xdr:nvPicPr>
        <xdr:cNvPr id="13" name="Imagem 12">
          <a:extLst>
            <a:ext uri="{FF2B5EF4-FFF2-40B4-BE49-F238E27FC236}">
              <a16:creationId xmlns:a16="http://schemas.microsoft.com/office/drawing/2014/main" id="{6A08D3E3-532D-489B-9795-9D0F8CB95F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143692" y="4430183"/>
          <a:ext cx="2666668" cy="0"/>
        </a:xfrm>
        <a:prstGeom prst="rect">
          <a:avLst/>
        </a:prstGeom>
      </xdr:spPr>
    </xdr:pic>
    <xdr:clientData/>
  </xdr:oneCellAnchor>
  <xdr:oneCellAnchor>
    <xdr:from>
      <xdr:col>46</xdr:col>
      <xdr:colOff>409575</xdr:colOff>
      <xdr:row>6</xdr:row>
      <xdr:rowOff>0</xdr:rowOff>
    </xdr:from>
    <xdr:ext cx="1227514" cy="0"/>
    <xdr:pic>
      <xdr:nvPicPr>
        <xdr:cNvPr id="14" name="Imagem 13">
          <a:extLst>
            <a:ext uri="{FF2B5EF4-FFF2-40B4-BE49-F238E27FC236}">
              <a16:creationId xmlns:a16="http://schemas.microsoft.com/office/drawing/2014/main" id="{92285AC7-5019-4A5A-86C8-2762754DEB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924992" y="4353983"/>
          <a:ext cx="1227514" cy="0"/>
        </a:xfrm>
        <a:prstGeom prst="rect">
          <a:avLst/>
        </a:prstGeom>
      </xdr:spPr>
    </xdr:pic>
    <xdr:clientData/>
  </xdr:oneCellAnchor>
  <xdr:oneCellAnchor>
    <xdr:from>
      <xdr:col>46</xdr:col>
      <xdr:colOff>419100</xdr:colOff>
      <xdr:row>6</xdr:row>
      <xdr:rowOff>0</xdr:rowOff>
    </xdr:from>
    <xdr:ext cx="1450795" cy="0"/>
    <xdr:pic>
      <xdr:nvPicPr>
        <xdr:cNvPr id="15" name="Imagem 14">
          <a:extLst>
            <a:ext uri="{FF2B5EF4-FFF2-40B4-BE49-F238E27FC236}">
              <a16:creationId xmlns:a16="http://schemas.microsoft.com/office/drawing/2014/main" id="{1F0A1AC7-997C-4584-8ADD-3F517C217C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934517" y="4687358"/>
          <a:ext cx="1450795" cy="0"/>
        </a:xfrm>
        <a:prstGeom prst="rect">
          <a:avLst/>
        </a:prstGeom>
      </xdr:spPr>
    </xdr:pic>
    <xdr:clientData/>
  </xdr:oneCellAnchor>
  <xdr:oneCellAnchor>
    <xdr:from>
      <xdr:col>46</xdr:col>
      <xdr:colOff>409575</xdr:colOff>
      <xdr:row>6</xdr:row>
      <xdr:rowOff>0</xdr:rowOff>
    </xdr:from>
    <xdr:ext cx="1219048" cy="0"/>
    <xdr:pic>
      <xdr:nvPicPr>
        <xdr:cNvPr id="16" name="Imagem 15">
          <a:extLst>
            <a:ext uri="{FF2B5EF4-FFF2-40B4-BE49-F238E27FC236}">
              <a16:creationId xmlns:a16="http://schemas.microsoft.com/office/drawing/2014/main" id="{1D81E8E6-F117-4085-B3F6-20D1CB13F5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924992" y="4163483"/>
          <a:ext cx="1219048" cy="0"/>
        </a:xfrm>
        <a:prstGeom prst="rect">
          <a:avLst/>
        </a:prstGeom>
      </xdr:spPr>
    </xdr:pic>
    <xdr:clientData/>
  </xdr:oneCellAnchor>
  <xdr:oneCellAnchor>
    <xdr:from>
      <xdr:col>46</xdr:col>
      <xdr:colOff>409575</xdr:colOff>
      <xdr:row>6</xdr:row>
      <xdr:rowOff>0</xdr:rowOff>
    </xdr:from>
    <xdr:ext cx="1219048" cy="0"/>
    <xdr:pic>
      <xdr:nvPicPr>
        <xdr:cNvPr id="17" name="Imagem 16">
          <a:extLst>
            <a:ext uri="{FF2B5EF4-FFF2-40B4-BE49-F238E27FC236}">
              <a16:creationId xmlns:a16="http://schemas.microsoft.com/office/drawing/2014/main" id="{5FD8D3FB-761C-47CD-8696-38729ED9F4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924992" y="4925483"/>
          <a:ext cx="1219048" cy="0"/>
        </a:xfrm>
        <a:prstGeom prst="rect">
          <a:avLst/>
        </a:prstGeom>
      </xdr:spPr>
    </xdr:pic>
    <xdr:clientData/>
  </xdr:oneCellAnchor>
  <xdr:oneCellAnchor>
    <xdr:from>
      <xdr:col>41</xdr:col>
      <xdr:colOff>534459</xdr:colOff>
      <xdr:row>21</xdr:row>
      <xdr:rowOff>52917</xdr:rowOff>
    </xdr:from>
    <xdr:ext cx="4648749" cy="2219325"/>
    <xdr:pic>
      <xdr:nvPicPr>
        <xdr:cNvPr id="18" name="Imagem 17">
          <a:extLst>
            <a:ext uri="{FF2B5EF4-FFF2-40B4-BE49-F238E27FC236}">
              <a16:creationId xmlns:a16="http://schemas.microsoft.com/office/drawing/2014/main" id="{32063E8C-BB30-4FCA-9DC1-ADAA3D5E02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6525876" y="5778500"/>
          <a:ext cx="4648749" cy="2219325"/>
        </a:xfrm>
        <a:prstGeom prst="rect">
          <a:avLst/>
        </a:prstGeom>
      </xdr:spPr>
    </xdr:pic>
    <xdr:clientData/>
  </xdr:oneCellAnchor>
  <xdr:oneCellAnchor>
    <xdr:from>
      <xdr:col>42</xdr:col>
      <xdr:colOff>104775</xdr:colOff>
      <xdr:row>6</xdr:row>
      <xdr:rowOff>0</xdr:rowOff>
    </xdr:from>
    <xdr:ext cx="2666668" cy="0"/>
    <xdr:pic>
      <xdr:nvPicPr>
        <xdr:cNvPr id="19" name="Imagem 18">
          <a:extLst>
            <a:ext uri="{FF2B5EF4-FFF2-40B4-BE49-F238E27FC236}">
              <a16:creationId xmlns:a16="http://schemas.microsoft.com/office/drawing/2014/main" id="{2F02CC8C-8464-4C6D-9753-B746A19028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143692" y="6716183"/>
          <a:ext cx="2666668" cy="0"/>
        </a:xfrm>
        <a:prstGeom prst="rect">
          <a:avLst/>
        </a:prstGeom>
      </xdr:spPr>
    </xdr:pic>
    <xdr:clientData/>
  </xdr:oneCellAnchor>
  <xdr:oneCellAnchor>
    <xdr:from>
      <xdr:col>46</xdr:col>
      <xdr:colOff>409575</xdr:colOff>
      <xdr:row>6</xdr:row>
      <xdr:rowOff>0</xdr:rowOff>
    </xdr:from>
    <xdr:ext cx="1227514" cy="0"/>
    <xdr:pic>
      <xdr:nvPicPr>
        <xdr:cNvPr id="20" name="Imagem 19">
          <a:extLst>
            <a:ext uri="{FF2B5EF4-FFF2-40B4-BE49-F238E27FC236}">
              <a16:creationId xmlns:a16="http://schemas.microsoft.com/office/drawing/2014/main" id="{DF5492BF-8B52-46E8-9DC9-D2C7BE1CFA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924992" y="6639983"/>
          <a:ext cx="1227514" cy="0"/>
        </a:xfrm>
        <a:prstGeom prst="rect">
          <a:avLst/>
        </a:prstGeom>
      </xdr:spPr>
    </xdr:pic>
    <xdr:clientData/>
  </xdr:oneCellAnchor>
  <xdr:oneCellAnchor>
    <xdr:from>
      <xdr:col>46</xdr:col>
      <xdr:colOff>419100</xdr:colOff>
      <xdr:row>6</xdr:row>
      <xdr:rowOff>0</xdr:rowOff>
    </xdr:from>
    <xdr:ext cx="1450795" cy="0"/>
    <xdr:pic>
      <xdr:nvPicPr>
        <xdr:cNvPr id="21" name="Imagem 20">
          <a:extLst>
            <a:ext uri="{FF2B5EF4-FFF2-40B4-BE49-F238E27FC236}">
              <a16:creationId xmlns:a16="http://schemas.microsoft.com/office/drawing/2014/main" id="{FFB5D39A-9FFD-4128-9697-21CC2062D9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934517" y="6973358"/>
          <a:ext cx="1450795" cy="0"/>
        </a:xfrm>
        <a:prstGeom prst="rect">
          <a:avLst/>
        </a:prstGeom>
      </xdr:spPr>
    </xdr:pic>
    <xdr:clientData/>
  </xdr:oneCellAnchor>
  <xdr:oneCellAnchor>
    <xdr:from>
      <xdr:col>46</xdr:col>
      <xdr:colOff>409575</xdr:colOff>
      <xdr:row>6</xdr:row>
      <xdr:rowOff>0</xdr:rowOff>
    </xdr:from>
    <xdr:ext cx="1219048" cy="0"/>
    <xdr:pic>
      <xdr:nvPicPr>
        <xdr:cNvPr id="22" name="Imagem 21">
          <a:extLst>
            <a:ext uri="{FF2B5EF4-FFF2-40B4-BE49-F238E27FC236}">
              <a16:creationId xmlns:a16="http://schemas.microsoft.com/office/drawing/2014/main" id="{F87A836F-65B8-4893-93F5-A773A9C7F9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924992" y="6449483"/>
          <a:ext cx="1219048" cy="0"/>
        </a:xfrm>
        <a:prstGeom prst="rect">
          <a:avLst/>
        </a:prstGeom>
      </xdr:spPr>
    </xdr:pic>
    <xdr:clientData/>
  </xdr:oneCellAnchor>
  <xdr:oneCellAnchor>
    <xdr:from>
      <xdr:col>46</xdr:col>
      <xdr:colOff>409575</xdr:colOff>
      <xdr:row>6</xdr:row>
      <xdr:rowOff>0</xdr:rowOff>
    </xdr:from>
    <xdr:ext cx="1219048" cy="0"/>
    <xdr:pic>
      <xdr:nvPicPr>
        <xdr:cNvPr id="23" name="Imagem 22">
          <a:extLst>
            <a:ext uri="{FF2B5EF4-FFF2-40B4-BE49-F238E27FC236}">
              <a16:creationId xmlns:a16="http://schemas.microsoft.com/office/drawing/2014/main" id="{CD078986-733C-49B0-964B-C6789C65E5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924992" y="7211483"/>
          <a:ext cx="1219048" cy="0"/>
        </a:xfrm>
        <a:prstGeom prst="rect">
          <a:avLst/>
        </a:prstGeom>
      </xdr:spPr>
    </xdr:pic>
    <xdr:clientData/>
  </xdr:oneCellAnchor>
  <xdr:twoCellAnchor editAs="oneCell">
    <xdr:from>
      <xdr:col>53</xdr:col>
      <xdr:colOff>10583</xdr:colOff>
      <xdr:row>9</xdr:row>
      <xdr:rowOff>125942</xdr:rowOff>
    </xdr:from>
    <xdr:to>
      <xdr:col>55</xdr:col>
      <xdr:colOff>89778</xdr:colOff>
      <xdr:row>9</xdr:row>
      <xdr:rowOff>125942</xdr:rowOff>
    </xdr:to>
    <xdr:pic>
      <xdr:nvPicPr>
        <xdr:cNvPr id="24" name="Imagem 23">
          <a:extLst>
            <a:ext uri="{FF2B5EF4-FFF2-40B4-BE49-F238E27FC236}">
              <a16:creationId xmlns:a16="http://schemas.microsoft.com/office/drawing/2014/main" id="{1C3F7EBF-0C5B-4879-A3DA-5B528989A6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4366008" y="1659467"/>
          <a:ext cx="1446562" cy="0"/>
        </a:xfrm>
        <a:prstGeom prst="rect">
          <a:avLst/>
        </a:prstGeom>
      </xdr:spPr>
    </xdr:pic>
    <xdr:clientData/>
  </xdr:twoCellAnchor>
  <xdr:oneCellAnchor>
    <xdr:from>
      <xdr:col>46</xdr:col>
      <xdr:colOff>398992</xdr:colOff>
      <xdr:row>8</xdr:row>
      <xdr:rowOff>179916</xdr:rowOff>
    </xdr:from>
    <xdr:ext cx="1219048" cy="0"/>
    <xdr:pic>
      <xdr:nvPicPr>
        <xdr:cNvPr id="25" name="Imagem 24">
          <a:extLst>
            <a:ext uri="{FF2B5EF4-FFF2-40B4-BE49-F238E27FC236}">
              <a16:creationId xmlns:a16="http://schemas.microsoft.com/office/drawing/2014/main" id="{D4A111A4-6308-46E3-AA95-27C9157A3B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591867" y="1522941"/>
          <a:ext cx="1219048" cy="0"/>
        </a:xfrm>
        <a:prstGeom prst="rect">
          <a:avLst/>
        </a:prstGeom>
      </xdr:spPr>
    </xdr:pic>
    <xdr:clientData/>
  </xdr:oneCellAnchor>
  <xdr:oneCellAnchor>
    <xdr:from>
      <xdr:col>46</xdr:col>
      <xdr:colOff>398992</xdr:colOff>
      <xdr:row>9</xdr:row>
      <xdr:rowOff>95250</xdr:rowOff>
    </xdr:from>
    <xdr:ext cx="1219048" cy="0"/>
    <xdr:pic>
      <xdr:nvPicPr>
        <xdr:cNvPr id="26" name="Imagem 25">
          <a:extLst>
            <a:ext uri="{FF2B5EF4-FFF2-40B4-BE49-F238E27FC236}">
              <a16:creationId xmlns:a16="http://schemas.microsoft.com/office/drawing/2014/main" id="{F30DE720-B8CB-4BDE-B708-ED53E10909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591867" y="1628775"/>
          <a:ext cx="1219048" cy="0"/>
        </a:xfrm>
        <a:prstGeom prst="rect">
          <a:avLst/>
        </a:prstGeom>
      </xdr:spPr>
    </xdr:pic>
    <xdr:clientData/>
  </xdr:oneCellAnchor>
  <xdr:oneCellAnchor>
    <xdr:from>
      <xdr:col>50</xdr:col>
      <xdr:colOff>599017</xdr:colOff>
      <xdr:row>22</xdr:row>
      <xdr:rowOff>63500</xdr:rowOff>
    </xdr:from>
    <xdr:ext cx="1450795" cy="1121833"/>
    <xdr:pic>
      <xdr:nvPicPr>
        <xdr:cNvPr id="27" name="Imagem 26">
          <a:extLst>
            <a:ext uri="{FF2B5EF4-FFF2-40B4-BE49-F238E27FC236}">
              <a16:creationId xmlns:a16="http://schemas.microsoft.com/office/drawing/2014/main" id="{4795942B-2D26-4C7D-974D-3767841A77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2858942" y="4073525"/>
          <a:ext cx="1450795" cy="1121833"/>
        </a:xfrm>
        <a:prstGeom prst="rect">
          <a:avLst/>
        </a:prstGeom>
      </xdr:spPr>
    </xdr:pic>
    <xdr:clientData/>
  </xdr:oneCellAnchor>
  <xdr:oneCellAnchor>
    <xdr:from>
      <xdr:col>51</xdr:col>
      <xdr:colOff>84666</xdr:colOff>
      <xdr:row>17</xdr:row>
      <xdr:rowOff>183300</xdr:rowOff>
    </xdr:from>
    <xdr:ext cx="1131207" cy="906782"/>
    <xdr:pic>
      <xdr:nvPicPr>
        <xdr:cNvPr id="28" name="Imagem 27">
          <a:extLst>
            <a:ext uri="{FF2B5EF4-FFF2-40B4-BE49-F238E27FC236}">
              <a16:creationId xmlns:a16="http://schemas.microsoft.com/office/drawing/2014/main" id="{EDCDC7B6-16C8-428E-B960-CFC0157B36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954191" y="3240825"/>
          <a:ext cx="1131207" cy="906782"/>
        </a:xfrm>
        <a:prstGeom prst="rect">
          <a:avLst/>
        </a:prstGeom>
      </xdr:spPr>
    </xdr:pic>
    <xdr:clientData/>
  </xdr:oneCellAnchor>
  <xdr:oneCellAnchor>
    <xdr:from>
      <xdr:col>46</xdr:col>
      <xdr:colOff>356659</xdr:colOff>
      <xdr:row>9</xdr:row>
      <xdr:rowOff>84666</xdr:rowOff>
    </xdr:from>
    <xdr:ext cx="1227514" cy="0"/>
    <xdr:pic>
      <xdr:nvPicPr>
        <xdr:cNvPr id="29" name="Imagem 28">
          <a:extLst>
            <a:ext uri="{FF2B5EF4-FFF2-40B4-BE49-F238E27FC236}">
              <a16:creationId xmlns:a16="http://schemas.microsoft.com/office/drawing/2014/main" id="{63B346BD-74CA-4F48-BFF2-A4DB9C9EEC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549534" y="1618191"/>
          <a:ext cx="1227514" cy="0"/>
        </a:xfrm>
        <a:prstGeom prst="rect">
          <a:avLst/>
        </a:prstGeom>
      </xdr:spPr>
    </xdr:pic>
    <xdr:clientData/>
  </xdr:oneCellAnchor>
  <xdr:oneCellAnchor>
    <xdr:from>
      <xdr:col>46</xdr:col>
      <xdr:colOff>397933</xdr:colOff>
      <xdr:row>12</xdr:row>
      <xdr:rowOff>52916</xdr:rowOff>
    </xdr:from>
    <xdr:ext cx="1450795" cy="0"/>
    <xdr:pic>
      <xdr:nvPicPr>
        <xdr:cNvPr id="30" name="Imagem 29">
          <a:extLst>
            <a:ext uri="{FF2B5EF4-FFF2-40B4-BE49-F238E27FC236}">
              <a16:creationId xmlns:a16="http://schemas.microsoft.com/office/drawing/2014/main" id="{8BF82D36-08B7-4C06-9CC6-D1150FB029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590808" y="2157941"/>
          <a:ext cx="1450795" cy="0"/>
        </a:xfrm>
        <a:prstGeom prst="rect">
          <a:avLst/>
        </a:prstGeom>
      </xdr:spPr>
    </xdr:pic>
    <xdr:clientData/>
  </xdr:oneCellAnchor>
  <xdr:oneCellAnchor>
    <xdr:from>
      <xdr:col>53</xdr:col>
      <xdr:colOff>52916</xdr:colOff>
      <xdr:row>8</xdr:row>
      <xdr:rowOff>42334</xdr:rowOff>
    </xdr:from>
    <xdr:ext cx="1227514" cy="0"/>
    <xdr:pic>
      <xdr:nvPicPr>
        <xdr:cNvPr id="31" name="Imagem 30">
          <a:extLst>
            <a:ext uri="{FF2B5EF4-FFF2-40B4-BE49-F238E27FC236}">
              <a16:creationId xmlns:a16="http://schemas.microsoft.com/office/drawing/2014/main" id="{57166B30-F277-40E6-8989-7CB6ED59E7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408341" y="1385359"/>
          <a:ext cx="1227514" cy="0"/>
        </a:xfrm>
        <a:prstGeom prst="rect">
          <a:avLst/>
        </a:prstGeom>
      </xdr:spPr>
    </xdr:pic>
    <xdr:clientData/>
  </xdr:oneCellAnchor>
  <xdr:oneCellAnchor>
    <xdr:from>
      <xdr:col>53</xdr:col>
      <xdr:colOff>42333</xdr:colOff>
      <xdr:row>8</xdr:row>
      <xdr:rowOff>148167</xdr:rowOff>
    </xdr:from>
    <xdr:ext cx="1450795" cy="0"/>
    <xdr:pic>
      <xdr:nvPicPr>
        <xdr:cNvPr id="32" name="Imagem 31">
          <a:extLst>
            <a:ext uri="{FF2B5EF4-FFF2-40B4-BE49-F238E27FC236}">
              <a16:creationId xmlns:a16="http://schemas.microsoft.com/office/drawing/2014/main" id="{0B2E22DB-1E64-49FF-AA72-C69B8B3C31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4397758" y="1491192"/>
          <a:ext cx="1450795" cy="0"/>
        </a:xfrm>
        <a:prstGeom prst="rect">
          <a:avLst/>
        </a:prstGeom>
      </xdr:spPr>
    </xdr:pic>
    <xdr:clientData/>
  </xdr:oneCellAnchor>
  <xdr:oneCellAnchor>
    <xdr:from>
      <xdr:col>53</xdr:col>
      <xdr:colOff>179917</xdr:colOff>
      <xdr:row>9</xdr:row>
      <xdr:rowOff>137583</xdr:rowOff>
    </xdr:from>
    <xdr:ext cx="1227514" cy="0"/>
    <xdr:pic>
      <xdr:nvPicPr>
        <xdr:cNvPr id="33" name="Imagem 32">
          <a:extLst>
            <a:ext uri="{FF2B5EF4-FFF2-40B4-BE49-F238E27FC236}">
              <a16:creationId xmlns:a16="http://schemas.microsoft.com/office/drawing/2014/main" id="{5991AE77-5DAD-4486-A473-A2FA4B1C95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535342" y="1671108"/>
          <a:ext cx="1227514" cy="0"/>
        </a:xfrm>
        <a:prstGeom prst="rect">
          <a:avLst/>
        </a:prstGeom>
      </xdr:spPr>
    </xdr:pic>
    <xdr:clientData/>
  </xdr:oneCellAnchor>
  <xdr:oneCellAnchor>
    <xdr:from>
      <xdr:col>46</xdr:col>
      <xdr:colOff>409575</xdr:colOff>
      <xdr:row>6</xdr:row>
      <xdr:rowOff>0</xdr:rowOff>
    </xdr:from>
    <xdr:ext cx="1219048" cy="0"/>
    <xdr:pic>
      <xdr:nvPicPr>
        <xdr:cNvPr id="34" name="Imagem 33">
          <a:extLst>
            <a:ext uri="{FF2B5EF4-FFF2-40B4-BE49-F238E27FC236}">
              <a16:creationId xmlns:a16="http://schemas.microsoft.com/office/drawing/2014/main" id="{5C320A0B-84D7-4EDD-BF7C-2BD86F5EE0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02450" y="1152525"/>
          <a:ext cx="1219048" cy="0"/>
        </a:xfrm>
        <a:prstGeom prst="rect">
          <a:avLst/>
        </a:prstGeom>
      </xdr:spPr>
    </xdr:pic>
    <xdr:clientData/>
  </xdr:oneCellAnchor>
  <xdr:oneCellAnchor>
    <xdr:from>
      <xdr:col>46</xdr:col>
      <xdr:colOff>409575</xdr:colOff>
      <xdr:row>6</xdr:row>
      <xdr:rowOff>0</xdr:rowOff>
    </xdr:from>
    <xdr:ext cx="1227514" cy="0"/>
    <xdr:pic>
      <xdr:nvPicPr>
        <xdr:cNvPr id="35" name="Imagem 34">
          <a:extLst>
            <a:ext uri="{FF2B5EF4-FFF2-40B4-BE49-F238E27FC236}">
              <a16:creationId xmlns:a16="http://schemas.microsoft.com/office/drawing/2014/main" id="{8D265879-6622-4CE9-812B-8E2D1A37E9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02450" y="1152525"/>
          <a:ext cx="1227514" cy="0"/>
        </a:xfrm>
        <a:prstGeom prst="rect">
          <a:avLst/>
        </a:prstGeom>
      </xdr:spPr>
    </xdr:pic>
    <xdr:clientData/>
  </xdr:oneCellAnchor>
  <xdr:oneCellAnchor>
    <xdr:from>
      <xdr:col>46</xdr:col>
      <xdr:colOff>419100</xdr:colOff>
      <xdr:row>6</xdr:row>
      <xdr:rowOff>0</xdr:rowOff>
    </xdr:from>
    <xdr:ext cx="1450795" cy="0"/>
    <xdr:pic>
      <xdr:nvPicPr>
        <xdr:cNvPr id="36" name="Imagem 35">
          <a:extLst>
            <a:ext uri="{FF2B5EF4-FFF2-40B4-BE49-F238E27FC236}">
              <a16:creationId xmlns:a16="http://schemas.microsoft.com/office/drawing/2014/main" id="{87E21EB7-997D-4A6E-8C27-495494FDC9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611975" y="1152525"/>
          <a:ext cx="1450795" cy="0"/>
        </a:xfrm>
        <a:prstGeom prst="rect">
          <a:avLst/>
        </a:prstGeom>
      </xdr:spPr>
    </xdr:pic>
    <xdr:clientData/>
  </xdr:oneCellAnchor>
  <xdr:oneCellAnchor>
    <xdr:from>
      <xdr:col>46</xdr:col>
      <xdr:colOff>409575</xdr:colOff>
      <xdr:row>6</xdr:row>
      <xdr:rowOff>0</xdr:rowOff>
    </xdr:from>
    <xdr:ext cx="1219048" cy="0"/>
    <xdr:pic>
      <xdr:nvPicPr>
        <xdr:cNvPr id="37" name="Imagem 36">
          <a:extLst>
            <a:ext uri="{FF2B5EF4-FFF2-40B4-BE49-F238E27FC236}">
              <a16:creationId xmlns:a16="http://schemas.microsoft.com/office/drawing/2014/main" id="{30AD173D-A1F4-4558-B5F4-9D6EED2BA0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02450" y="1152525"/>
          <a:ext cx="1219048" cy="0"/>
        </a:xfrm>
        <a:prstGeom prst="rect">
          <a:avLst/>
        </a:prstGeom>
      </xdr:spPr>
    </xdr:pic>
    <xdr:clientData/>
  </xdr:oneCellAnchor>
  <xdr:oneCellAnchor>
    <xdr:from>
      <xdr:col>46</xdr:col>
      <xdr:colOff>409575</xdr:colOff>
      <xdr:row>6</xdr:row>
      <xdr:rowOff>0</xdr:rowOff>
    </xdr:from>
    <xdr:ext cx="1219048" cy="0"/>
    <xdr:pic>
      <xdr:nvPicPr>
        <xdr:cNvPr id="38" name="Imagem 37">
          <a:extLst>
            <a:ext uri="{FF2B5EF4-FFF2-40B4-BE49-F238E27FC236}">
              <a16:creationId xmlns:a16="http://schemas.microsoft.com/office/drawing/2014/main" id="{4A4456D0-2AD1-428E-BDC3-8BAD18E024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02450" y="1152525"/>
          <a:ext cx="1219048" cy="0"/>
        </a:xfrm>
        <a:prstGeom prst="rect">
          <a:avLst/>
        </a:prstGeom>
      </xdr:spPr>
    </xdr:pic>
    <xdr:clientData/>
  </xdr:oneCellAnchor>
  <xdr:oneCellAnchor>
    <xdr:from>
      <xdr:col>46</xdr:col>
      <xdr:colOff>409575</xdr:colOff>
      <xdr:row>6</xdr:row>
      <xdr:rowOff>0</xdr:rowOff>
    </xdr:from>
    <xdr:ext cx="1227514" cy="0"/>
    <xdr:pic>
      <xdr:nvPicPr>
        <xdr:cNvPr id="39" name="Imagem 38">
          <a:extLst>
            <a:ext uri="{FF2B5EF4-FFF2-40B4-BE49-F238E27FC236}">
              <a16:creationId xmlns:a16="http://schemas.microsoft.com/office/drawing/2014/main" id="{5D8D88A3-32FE-46B8-935E-AE537F16A9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02450" y="1152525"/>
          <a:ext cx="1227514" cy="0"/>
        </a:xfrm>
        <a:prstGeom prst="rect">
          <a:avLst/>
        </a:prstGeom>
      </xdr:spPr>
    </xdr:pic>
    <xdr:clientData/>
  </xdr:oneCellAnchor>
  <xdr:oneCellAnchor>
    <xdr:from>
      <xdr:col>46</xdr:col>
      <xdr:colOff>419100</xdr:colOff>
      <xdr:row>6</xdr:row>
      <xdr:rowOff>0</xdr:rowOff>
    </xdr:from>
    <xdr:ext cx="1450795" cy="0"/>
    <xdr:pic>
      <xdr:nvPicPr>
        <xdr:cNvPr id="40" name="Imagem 39">
          <a:extLst>
            <a:ext uri="{FF2B5EF4-FFF2-40B4-BE49-F238E27FC236}">
              <a16:creationId xmlns:a16="http://schemas.microsoft.com/office/drawing/2014/main" id="{F04F67E9-3E28-404D-8483-B6DACC3D65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611975" y="1152525"/>
          <a:ext cx="1450795" cy="0"/>
        </a:xfrm>
        <a:prstGeom prst="rect">
          <a:avLst/>
        </a:prstGeom>
      </xdr:spPr>
    </xdr:pic>
    <xdr:clientData/>
  </xdr:oneCellAnchor>
  <xdr:oneCellAnchor>
    <xdr:from>
      <xdr:col>46</xdr:col>
      <xdr:colOff>409575</xdr:colOff>
      <xdr:row>6</xdr:row>
      <xdr:rowOff>0</xdr:rowOff>
    </xdr:from>
    <xdr:ext cx="1219048" cy="0"/>
    <xdr:pic>
      <xdr:nvPicPr>
        <xdr:cNvPr id="41" name="Imagem 40">
          <a:extLst>
            <a:ext uri="{FF2B5EF4-FFF2-40B4-BE49-F238E27FC236}">
              <a16:creationId xmlns:a16="http://schemas.microsoft.com/office/drawing/2014/main" id="{4266521E-1E82-409C-85E2-BFBF13082C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02450" y="1152525"/>
          <a:ext cx="1219048" cy="0"/>
        </a:xfrm>
        <a:prstGeom prst="rect">
          <a:avLst/>
        </a:prstGeom>
      </xdr:spPr>
    </xdr:pic>
    <xdr:clientData/>
  </xdr:oneCellAnchor>
  <xdr:oneCellAnchor>
    <xdr:from>
      <xdr:col>46</xdr:col>
      <xdr:colOff>409575</xdr:colOff>
      <xdr:row>6</xdr:row>
      <xdr:rowOff>0</xdr:rowOff>
    </xdr:from>
    <xdr:ext cx="1219048" cy="0"/>
    <xdr:pic>
      <xdr:nvPicPr>
        <xdr:cNvPr id="42" name="Imagem 41">
          <a:extLst>
            <a:ext uri="{FF2B5EF4-FFF2-40B4-BE49-F238E27FC236}">
              <a16:creationId xmlns:a16="http://schemas.microsoft.com/office/drawing/2014/main" id="{25F382B0-7B7E-4E7F-8513-DDBAD9DB46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02450" y="1152525"/>
          <a:ext cx="1219048" cy="0"/>
        </a:xfrm>
        <a:prstGeom prst="rect">
          <a:avLst/>
        </a:prstGeom>
      </xdr:spPr>
    </xdr:pic>
    <xdr:clientData/>
  </xdr:oneCellAnchor>
  <xdr:oneCellAnchor>
    <xdr:from>
      <xdr:col>46</xdr:col>
      <xdr:colOff>409575</xdr:colOff>
      <xdr:row>6</xdr:row>
      <xdr:rowOff>0</xdr:rowOff>
    </xdr:from>
    <xdr:ext cx="1227514" cy="0"/>
    <xdr:pic>
      <xdr:nvPicPr>
        <xdr:cNvPr id="43" name="Imagem 42">
          <a:extLst>
            <a:ext uri="{FF2B5EF4-FFF2-40B4-BE49-F238E27FC236}">
              <a16:creationId xmlns:a16="http://schemas.microsoft.com/office/drawing/2014/main" id="{D6A24800-6D50-4F91-B52C-FD03A7EECE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02450" y="1152525"/>
          <a:ext cx="1227514" cy="0"/>
        </a:xfrm>
        <a:prstGeom prst="rect">
          <a:avLst/>
        </a:prstGeom>
      </xdr:spPr>
    </xdr:pic>
    <xdr:clientData/>
  </xdr:oneCellAnchor>
  <xdr:oneCellAnchor>
    <xdr:from>
      <xdr:col>46</xdr:col>
      <xdr:colOff>419100</xdr:colOff>
      <xdr:row>6</xdr:row>
      <xdr:rowOff>0</xdr:rowOff>
    </xdr:from>
    <xdr:ext cx="1450795" cy="0"/>
    <xdr:pic>
      <xdr:nvPicPr>
        <xdr:cNvPr id="44" name="Imagem 43">
          <a:extLst>
            <a:ext uri="{FF2B5EF4-FFF2-40B4-BE49-F238E27FC236}">
              <a16:creationId xmlns:a16="http://schemas.microsoft.com/office/drawing/2014/main" id="{877F2928-41BB-4312-973F-D0FBFACB78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611975" y="1152525"/>
          <a:ext cx="1450795" cy="0"/>
        </a:xfrm>
        <a:prstGeom prst="rect">
          <a:avLst/>
        </a:prstGeom>
      </xdr:spPr>
    </xdr:pic>
    <xdr:clientData/>
  </xdr:oneCellAnchor>
  <xdr:oneCellAnchor>
    <xdr:from>
      <xdr:col>46</xdr:col>
      <xdr:colOff>409575</xdr:colOff>
      <xdr:row>6</xdr:row>
      <xdr:rowOff>0</xdr:rowOff>
    </xdr:from>
    <xdr:ext cx="1219048" cy="0"/>
    <xdr:pic>
      <xdr:nvPicPr>
        <xdr:cNvPr id="45" name="Imagem 44">
          <a:extLst>
            <a:ext uri="{FF2B5EF4-FFF2-40B4-BE49-F238E27FC236}">
              <a16:creationId xmlns:a16="http://schemas.microsoft.com/office/drawing/2014/main" id="{4190458A-7BF0-472F-8EA8-B5A209E8DF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02450" y="1152525"/>
          <a:ext cx="1219048" cy="0"/>
        </a:xfrm>
        <a:prstGeom prst="rect">
          <a:avLst/>
        </a:prstGeom>
      </xdr:spPr>
    </xdr:pic>
    <xdr:clientData/>
  </xdr:oneCellAnchor>
  <xdr:oneCellAnchor>
    <xdr:from>
      <xdr:col>46</xdr:col>
      <xdr:colOff>409575</xdr:colOff>
      <xdr:row>6</xdr:row>
      <xdr:rowOff>0</xdr:rowOff>
    </xdr:from>
    <xdr:ext cx="1219048" cy="0"/>
    <xdr:pic>
      <xdr:nvPicPr>
        <xdr:cNvPr id="46" name="Imagem 45">
          <a:extLst>
            <a:ext uri="{FF2B5EF4-FFF2-40B4-BE49-F238E27FC236}">
              <a16:creationId xmlns:a16="http://schemas.microsoft.com/office/drawing/2014/main" id="{E65D49E1-4ECF-40F2-9D3B-F59D34F5CC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02450" y="1152525"/>
          <a:ext cx="1219048" cy="0"/>
        </a:xfrm>
        <a:prstGeom prst="rect">
          <a:avLst/>
        </a:prstGeom>
      </xdr:spPr>
    </xdr:pic>
    <xdr:clientData/>
  </xdr:oneCellAnchor>
  <xdr:oneCellAnchor>
    <xdr:from>
      <xdr:col>46</xdr:col>
      <xdr:colOff>409575</xdr:colOff>
      <xdr:row>6</xdr:row>
      <xdr:rowOff>0</xdr:rowOff>
    </xdr:from>
    <xdr:ext cx="1219048" cy="0"/>
    <xdr:pic>
      <xdr:nvPicPr>
        <xdr:cNvPr id="47" name="Imagem 46">
          <a:extLst>
            <a:ext uri="{FF2B5EF4-FFF2-40B4-BE49-F238E27FC236}">
              <a16:creationId xmlns:a16="http://schemas.microsoft.com/office/drawing/2014/main" id="{D8550D43-9FA0-4E56-85B1-C290DFBEC6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02450" y="1152525"/>
          <a:ext cx="1219048" cy="0"/>
        </a:xfrm>
        <a:prstGeom prst="rect">
          <a:avLst/>
        </a:prstGeom>
      </xdr:spPr>
    </xdr:pic>
    <xdr:clientData/>
  </xdr:oneCellAnchor>
  <xdr:oneCellAnchor>
    <xdr:from>
      <xdr:col>46</xdr:col>
      <xdr:colOff>409575</xdr:colOff>
      <xdr:row>6</xdr:row>
      <xdr:rowOff>0</xdr:rowOff>
    </xdr:from>
    <xdr:ext cx="1227514" cy="0"/>
    <xdr:pic>
      <xdr:nvPicPr>
        <xdr:cNvPr id="48" name="Imagem 47">
          <a:extLst>
            <a:ext uri="{FF2B5EF4-FFF2-40B4-BE49-F238E27FC236}">
              <a16:creationId xmlns:a16="http://schemas.microsoft.com/office/drawing/2014/main" id="{D53A51EC-82CC-480B-A437-3127D10466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02450" y="1152525"/>
          <a:ext cx="1227514" cy="0"/>
        </a:xfrm>
        <a:prstGeom prst="rect">
          <a:avLst/>
        </a:prstGeom>
      </xdr:spPr>
    </xdr:pic>
    <xdr:clientData/>
  </xdr:oneCellAnchor>
  <xdr:oneCellAnchor>
    <xdr:from>
      <xdr:col>46</xdr:col>
      <xdr:colOff>419100</xdr:colOff>
      <xdr:row>6</xdr:row>
      <xdr:rowOff>0</xdr:rowOff>
    </xdr:from>
    <xdr:ext cx="1450795" cy="0"/>
    <xdr:pic>
      <xdr:nvPicPr>
        <xdr:cNvPr id="49" name="Imagem 48">
          <a:extLst>
            <a:ext uri="{FF2B5EF4-FFF2-40B4-BE49-F238E27FC236}">
              <a16:creationId xmlns:a16="http://schemas.microsoft.com/office/drawing/2014/main" id="{2B357BB2-313E-4DFF-AB3B-B7402599DC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611975" y="1152525"/>
          <a:ext cx="1450795" cy="0"/>
        </a:xfrm>
        <a:prstGeom prst="rect">
          <a:avLst/>
        </a:prstGeom>
      </xdr:spPr>
    </xdr:pic>
    <xdr:clientData/>
  </xdr:oneCellAnchor>
  <xdr:oneCellAnchor>
    <xdr:from>
      <xdr:col>46</xdr:col>
      <xdr:colOff>409575</xdr:colOff>
      <xdr:row>6</xdr:row>
      <xdr:rowOff>0</xdr:rowOff>
    </xdr:from>
    <xdr:ext cx="1219048" cy="0"/>
    <xdr:pic>
      <xdr:nvPicPr>
        <xdr:cNvPr id="50" name="Imagem 49">
          <a:extLst>
            <a:ext uri="{FF2B5EF4-FFF2-40B4-BE49-F238E27FC236}">
              <a16:creationId xmlns:a16="http://schemas.microsoft.com/office/drawing/2014/main" id="{16E14340-3D15-40B7-AA8B-1887D76223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02450" y="1152525"/>
          <a:ext cx="1219048" cy="0"/>
        </a:xfrm>
        <a:prstGeom prst="rect">
          <a:avLst/>
        </a:prstGeom>
      </xdr:spPr>
    </xdr:pic>
    <xdr:clientData/>
  </xdr:oneCellAnchor>
  <xdr:oneCellAnchor>
    <xdr:from>
      <xdr:col>46</xdr:col>
      <xdr:colOff>409575</xdr:colOff>
      <xdr:row>6</xdr:row>
      <xdr:rowOff>0</xdr:rowOff>
    </xdr:from>
    <xdr:ext cx="1219048" cy="0"/>
    <xdr:pic>
      <xdr:nvPicPr>
        <xdr:cNvPr id="51" name="Imagem 50">
          <a:extLst>
            <a:ext uri="{FF2B5EF4-FFF2-40B4-BE49-F238E27FC236}">
              <a16:creationId xmlns:a16="http://schemas.microsoft.com/office/drawing/2014/main" id="{E4419929-CCBD-4036-BB43-BF5C13FEB3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02450" y="1152525"/>
          <a:ext cx="1219048" cy="0"/>
        </a:xfrm>
        <a:prstGeom prst="rect">
          <a:avLst/>
        </a:prstGeom>
      </xdr:spPr>
    </xdr:pic>
    <xdr:clientData/>
  </xdr:oneCellAnchor>
  <xdr:oneCellAnchor>
    <xdr:from>
      <xdr:col>46</xdr:col>
      <xdr:colOff>409575</xdr:colOff>
      <xdr:row>6</xdr:row>
      <xdr:rowOff>0</xdr:rowOff>
    </xdr:from>
    <xdr:ext cx="1227514" cy="0"/>
    <xdr:pic>
      <xdr:nvPicPr>
        <xdr:cNvPr id="52" name="Imagem 51">
          <a:extLst>
            <a:ext uri="{FF2B5EF4-FFF2-40B4-BE49-F238E27FC236}">
              <a16:creationId xmlns:a16="http://schemas.microsoft.com/office/drawing/2014/main" id="{3BE1B8B6-1C59-4977-A0BC-6486ED8960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602450" y="1152525"/>
          <a:ext cx="1227514" cy="0"/>
        </a:xfrm>
        <a:prstGeom prst="rect">
          <a:avLst/>
        </a:prstGeom>
      </xdr:spPr>
    </xdr:pic>
    <xdr:clientData/>
  </xdr:oneCellAnchor>
  <xdr:oneCellAnchor>
    <xdr:from>
      <xdr:col>46</xdr:col>
      <xdr:colOff>419100</xdr:colOff>
      <xdr:row>6</xdr:row>
      <xdr:rowOff>0</xdr:rowOff>
    </xdr:from>
    <xdr:ext cx="1450795" cy="0"/>
    <xdr:pic>
      <xdr:nvPicPr>
        <xdr:cNvPr id="53" name="Imagem 52">
          <a:extLst>
            <a:ext uri="{FF2B5EF4-FFF2-40B4-BE49-F238E27FC236}">
              <a16:creationId xmlns:a16="http://schemas.microsoft.com/office/drawing/2014/main" id="{FB772A6E-ADFA-44E0-BDE5-F5943C7640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611975" y="1152525"/>
          <a:ext cx="1450795" cy="0"/>
        </a:xfrm>
        <a:prstGeom prst="rect">
          <a:avLst/>
        </a:prstGeom>
      </xdr:spPr>
    </xdr:pic>
    <xdr:clientData/>
  </xdr:oneCellAnchor>
  <xdr:oneCellAnchor>
    <xdr:from>
      <xdr:col>46</xdr:col>
      <xdr:colOff>398992</xdr:colOff>
      <xdr:row>8</xdr:row>
      <xdr:rowOff>179916</xdr:rowOff>
    </xdr:from>
    <xdr:ext cx="1219048" cy="0"/>
    <xdr:pic>
      <xdr:nvPicPr>
        <xdr:cNvPr id="54" name="Imagem 53">
          <a:extLst>
            <a:ext uri="{FF2B5EF4-FFF2-40B4-BE49-F238E27FC236}">
              <a16:creationId xmlns:a16="http://schemas.microsoft.com/office/drawing/2014/main" id="{3EE96DEF-4551-4055-A56F-4C077B2EAA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591867" y="1713441"/>
          <a:ext cx="1219048" cy="0"/>
        </a:xfrm>
        <a:prstGeom prst="rect">
          <a:avLst/>
        </a:prstGeom>
      </xdr:spPr>
    </xdr:pic>
    <xdr:clientData/>
  </xdr:oneCellAnchor>
  <xdr:oneCellAnchor>
    <xdr:from>
      <xdr:col>46</xdr:col>
      <xdr:colOff>398992</xdr:colOff>
      <xdr:row>9</xdr:row>
      <xdr:rowOff>95250</xdr:rowOff>
    </xdr:from>
    <xdr:ext cx="1219048" cy="0"/>
    <xdr:pic>
      <xdr:nvPicPr>
        <xdr:cNvPr id="55" name="Imagem 54">
          <a:extLst>
            <a:ext uri="{FF2B5EF4-FFF2-40B4-BE49-F238E27FC236}">
              <a16:creationId xmlns:a16="http://schemas.microsoft.com/office/drawing/2014/main" id="{290FA42D-6437-452A-BB4C-325F2FEB5D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591867" y="1819275"/>
          <a:ext cx="1219048" cy="0"/>
        </a:xfrm>
        <a:prstGeom prst="rect">
          <a:avLst/>
        </a:prstGeom>
      </xdr:spPr>
    </xdr:pic>
    <xdr:clientData/>
  </xdr:oneCellAnchor>
  <xdr:oneCellAnchor>
    <xdr:from>
      <xdr:col>50</xdr:col>
      <xdr:colOff>599017</xdr:colOff>
      <xdr:row>22</xdr:row>
      <xdr:rowOff>63500</xdr:rowOff>
    </xdr:from>
    <xdr:ext cx="1450795" cy="1121833"/>
    <xdr:pic>
      <xdr:nvPicPr>
        <xdr:cNvPr id="56" name="Imagem 55">
          <a:extLst>
            <a:ext uri="{FF2B5EF4-FFF2-40B4-BE49-F238E27FC236}">
              <a16:creationId xmlns:a16="http://schemas.microsoft.com/office/drawing/2014/main" id="{49918307-FBD7-4035-B7AD-E5D1A60CD7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3278042" y="4264025"/>
          <a:ext cx="1450795" cy="1121833"/>
        </a:xfrm>
        <a:prstGeom prst="rect">
          <a:avLst/>
        </a:prstGeom>
      </xdr:spPr>
    </xdr:pic>
    <xdr:clientData/>
  </xdr:oneCellAnchor>
  <xdr:oneCellAnchor>
    <xdr:from>
      <xdr:col>51</xdr:col>
      <xdr:colOff>84666</xdr:colOff>
      <xdr:row>17</xdr:row>
      <xdr:rowOff>183300</xdr:rowOff>
    </xdr:from>
    <xdr:ext cx="1131207" cy="906782"/>
    <xdr:pic>
      <xdr:nvPicPr>
        <xdr:cNvPr id="57" name="Imagem 56">
          <a:extLst>
            <a:ext uri="{FF2B5EF4-FFF2-40B4-BE49-F238E27FC236}">
              <a16:creationId xmlns:a16="http://schemas.microsoft.com/office/drawing/2014/main" id="{43C4E1D6-8951-4F1E-BC31-8806F98890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420916" y="3431325"/>
          <a:ext cx="1131207" cy="906782"/>
        </a:xfrm>
        <a:prstGeom prst="rect">
          <a:avLst/>
        </a:prstGeom>
      </xdr:spPr>
    </xdr:pic>
    <xdr:clientData/>
  </xdr:oneCellAnchor>
  <xdr:oneCellAnchor>
    <xdr:from>
      <xdr:col>46</xdr:col>
      <xdr:colOff>356659</xdr:colOff>
      <xdr:row>9</xdr:row>
      <xdr:rowOff>84666</xdr:rowOff>
    </xdr:from>
    <xdr:ext cx="1227514" cy="0"/>
    <xdr:pic>
      <xdr:nvPicPr>
        <xdr:cNvPr id="58" name="Imagem 57">
          <a:extLst>
            <a:ext uri="{FF2B5EF4-FFF2-40B4-BE49-F238E27FC236}">
              <a16:creationId xmlns:a16="http://schemas.microsoft.com/office/drawing/2014/main" id="{A0D20662-72BE-4D8C-8EF6-749B127216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549534" y="1808691"/>
          <a:ext cx="1227514" cy="0"/>
        </a:xfrm>
        <a:prstGeom prst="rect">
          <a:avLst/>
        </a:prstGeom>
      </xdr:spPr>
    </xdr:pic>
    <xdr:clientData/>
  </xdr:oneCellAnchor>
  <xdr:oneCellAnchor>
    <xdr:from>
      <xdr:col>46</xdr:col>
      <xdr:colOff>397933</xdr:colOff>
      <xdr:row>12</xdr:row>
      <xdr:rowOff>52916</xdr:rowOff>
    </xdr:from>
    <xdr:ext cx="1450795" cy="0"/>
    <xdr:pic>
      <xdr:nvPicPr>
        <xdr:cNvPr id="59" name="Imagem 58">
          <a:extLst>
            <a:ext uri="{FF2B5EF4-FFF2-40B4-BE49-F238E27FC236}">
              <a16:creationId xmlns:a16="http://schemas.microsoft.com/office/drawing/2014/main" id="{25B92AD7-648C-4047-9ABE-01D4EBF29B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590808" y="2348441"/>
          <a:ext cx="1450795" cy="0"/>
        </a:xfrm>
        <a:prstGeom prst="rect">
          <a:avLst/>
        </a:prstGeom>
      </xdr:spPr>
    </xdr:pic>
    <xdr:clientData/>
  </xdr:oneCellAnchor>
  <xdr:oneCellAnchor>
    <xdr:from>
      <xdr:col>53</xdr:col>
      <xdr:colOff>52916</xdr:colOff>
      <xdr:row>8</xdr:row>
      <xdr:rowOff>42334</xdr:rowOff>
    </xdr:from>
    <xdr:ext cx="1227514" cy="0"/>
    <xdr:pic>
      <xdr:nvPicPr>
        <xdr:cNvPr id="60" name="Imagem 59">
          <a:extLst>
            <a:ext uri="{FF2B5EF4-FFF2-40B4-BE49-F238E27FC236}">
              <a16:creationId xmlns:a16="http://schemas.microsoft.com/office/drawing/2014/main" id="{0EE155CA-D158-4FF2-B8FE-28B0D19449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198916" y="1575859"/>
          <a:ext cx="1227514" cy="0"/>
        </a:xfrm>
        <a:prstGeom prst="rect">
          <a:avLst/>
        </a:prstGeom>
      </xdr:spPr>
    </xdr:pic>
    <xdr:clientData/>
  </xdr:oneCellAnchor>
  <xdr:oneCellAnchor>
    <xdr:from>
      <xdr:col>53</xdr:col>
      <xdr:colOff>42333</xdr:colOff>
      <xdr:row>8</xdr:row>
      <xdr:rowOff>148167</xdr:rowOff>
    </xdr:from>
    <xdr:ext cx="1450795" cy="0"/>
    <xdr:pic>
      <xdr:nvPicPr>
        <xdr:cNvPr id="61" name="Imagem 60">
          <a:extLst>
            <a:ext uri="{FF2B5EF4-FFF2-40B4-BE49-F238E27FC236}">
              <a16:creationId xmlns:a16="http://schemas.microsoft.com/office/drawing/2014/main" id="{C1B965EA-AC5A-404E-8C66-49B0ED8EE6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5188333" y="1681692"/>
          <a:ext cx="1450795" cy="0"/>
        </a:xfrm>
        <a:prstGeom prst="rect">
          <a:avLst/>
        </a:prstGeom>
      </xdr:spPr>
    </xdr:pic>
    <xdr:clientData/>
  </xdr:oneCellAnchor>
  <xdr:oneCellAnchor>
    <xdr:from>
      <xdr:col>53</xdr:col>
      <xdr:colOff>179917</xdr:colOff>
      <xdr:row>9</xdr:row>
      <xdr:rowOff>137583</xdr:rowOff>
    </xdr:from>
    <xdr:ext cx="1227514" cy="0"/>
    <xdr:pic>
      <xdr:nvPicPr>
        <xdr:cNvPr id="62" name="Imagem 61">
          <a:extLst>
            <a:ext uri="{FF2B5EF4-FFF2-40B4-BE49-F238E27FC236}">
              <a16:creationId xmlns:a16="http://schemas.microsoft.com/office/drawing/2014/main" id="{9B2F026A-85A0-4F01-BF5E-122A65F58A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325917" y="1861608"/>
          <a:ext cx="1227514" cy="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35</xdr:col>
      <xdr:colOff>47625</xdr:colOff>
      <xdr:row>32</xdr:row>
      <xdr:rowOff>19050</xdr:rowOff>
    </xdr:from>
    <xdr:to>
      <xdr:col>42</xdr:col>
      <xdr:colOff>406949</xdr:colOff>
      <xdr:row>43</xdr:row>
      <xdr:rowOff>104775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34725" y="2124075"/>
          <a:ext cx="4626524" cy="2200275"/>
        </a:xfrm>
        <a:prstGeom prst="rect">
          <a:avLst/>
        </a:prstGeom>
      </xdr:spPr>
    </xdr:pic>
    <xdr:clientData/>
  </xdr:twoCellAnchor>
  <xdr:twoCellAnchor editAs="oneCell">
    <xdr:from>
      <xdr:col>35</xdr:col>
      <xdr:colOff>104775</xdr:colOff>
      <xdr:row>12</xdr:row>
      <xdr:rowOff>38100</xdr:rowOff>
    </xdr:from>
    <xdr:to>
      <xdr:col>39</xdr:col>
      <xdr:colOff>323518</xdr:colOff>
      <xdr:row>28</xdr:row>
      <xdr:rowOff>180830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621625" y="2143125"/>
          <a:ext cx="2657143" cy="1161905"/>
        </a:xfrm>
        <a:prstGeom prst="rect">
          <a:avLst/>
        </a:prstGeom>
      </xdr:spPr>
    </xdr:pic>
    <xdr:clientData/>
  </xdr:twoCellAnchor>
  <xdr:twoCellAnchor editAs="oneCell">
    <xdr:from>
      <xdr:col>39</xdr:col>
      <xdr:colOff>409575</xdr:colOff>
      <xdr:row>11</xdr:row>
      <xdr:rowOff>152400</xdr:rowOff>
    </xdr:from>
    <xdr:to>
      <xdr:col>41</xdr:col>
      <xdr:colOff>409423</xdr:colOff>
      <xdr:row>24</xdr:row>
      <xdr:rowOff>180929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3364825" y="2066925"/>
          <a:ext cx="1219048" cy="371429"/>
        </a:xfrm>
        <a:prstGeom prst="rect">
          <a:avLst/>
        </a:prstGeom>
      </xdr:spPr>
    </xdr:pic>
    <xdr:clientData/>
  </xdr:twoCellAnchor>
  <xdr:twoCellAnchor editAs="oneCell">
    <xdr:from>
      <xdr:col>39</xdr:col>
      <xdr:colOff>419100</xdr:colOff>
      <xdr:row>13</xdr:row>
      <xdr:rowOff>104775</xdr:rowOff>
    </xdr:from>
    <xdr:to>
      <xdr:col>42</xdr:col>
      <xdr:colOff>28395</xdr:colOff>
      <xdr:row>28</xdr:row>
      <xdr:rowOff>66544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335000" y="2400300"/>
          <a:ext cx="1438095" cy="104761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76200</xdr:colOff>
      <xdr:row>0</xdr:row>
      <xdr:rowOff>47625</xdr:rowOff>
    </xdr:from>
    <xdr:to>
      <xdr:col>26</xdr:col>
      <xdr:colOff>37267</xdr:colOff>
      <xdr:row>8</xdr:row>
      <xdr:rowOff>18860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39425" y="47625"/>
          <a:ext cx="6666667" cy="1523810"/>
        </a:xfrm>
        <a:prstGeom prst="rect">
          <a:avLst/>
        </a:prstGeom>
      </xdr:spPr>
    </xdr:pic>
    <xdr:clientData/>
  </xdr:twoCellAnchor>
  <xdr:twoCellAnchor editAs="oneCell">
    <xdr:from>
      <xdr:col>15</xdr:col>
      <xdr:colOff>76200</xdr:colOff>
      <xdr:row>12</xdr:row>
      <xdr:rowOff>47625</xdr:rowOff>
    </xdr:from>
    <xdr:to>
      <xdr:col>26</xdr:col>
      <xdr:colOff>46790</xdr:colOff>
      <xdr:row>20</xdr:row>
      <xdr:rowOff>37873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639425" y="1571625"/>
          <a:ext cx="6676190" cy="1819048"/>
        </a:xfrm>
        <a:prstGeom prst="rect">
          <a:avLst/>
        </a:prstGeom>
      </xdr:spPr>
    </xdr:pic>
    <xdr:clientData/>
  </xdr:twoCellAnchor>
  <xdr:twoCellAnchor editAs="oneCell">
    <xdr:from>
      <xdr:col>15</xdr:col>
      <xdr:colOff>76200</xdr:colOff>
      <xdr:row>24</xdr:row>
      <xdr:rowOff>28575</xdr:rowOff>
    </xdr:from>
    <xdr:to>
      <xdr:col>26</xdr:col>
      <xdr:colOff>46790</xdr:colOff>
      <xdr:row>31</xdr:row>
      <xdr:rowOff>75994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639425" y="3381375"/>
          <a:ext cx="6676190" cy="164761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P_2.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culo"/>
      <sheetName val="Avaliação"/>
      <sheetName val="Cabos"/>
      <sheetName val="Dados Típicos"/>
    </sheetNames>
    <sheetDataSet>
      <sheetData sheetId="0"/>
      <sheetData sheetId="1"/>
      <sheetData sheetId="2">
        <row r="13">
          <cell r="B13" t="str">
            <v>12/20kV EPR 3x120mm2 Cu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mailto:Corrente@5oC" TargetMode="External"/><Relationship Id="rId18" Type="http://schemas.openxmlformats.org/officeDocument/2006/relationships/hyperlink" Target="mailto:Corrente@5oC" TargetMode="External"/><Relationship Id="rId26" Type="http://schemas.openxmlformats.org/officeDocument/2006/relationships/hyperlink" Target="mailto:Corrente@5oC" TargetMode="External"/><Relationship Id="rId39" Type="http://schemas.openxmlformats.org/officeDocument/2006/relationships/hyperlink" Target="mailto:Corrente@5oC" TargetMode="External"/><Relationship Id="rId21" Type="http://schemas.openxmlformats.org/officeDocument/2006/relationships/hyperlink" Target="mailto:Corrente@5oC" TargetMode="External"/><Relationship Id="rId34" Type="http://schemas.openxmlformats.org/officeDocument/2006/relationships/hyperlink" Target="mailto:Corrente@5oC" TargetMode="External"/><Relationship Id="rId42" Type="http://schemas.openxmlformats.org/officeDocument/2006/relationships/hyperlink" Target="mailto:Corrente@5oC" TargetMode="External"/><Relationship Id="rId47" Type="http://schemas.openxmlformats.org/officeDocument/2006/relationships/hyperlink" Target="mailto:Corrente@5oC" TargetMode="External"/><Relationship Id="rId7" Type="http://schemas.openxmlformats.org/officeDocument/2006/relationships/hyperlink" Target="mailto:Corrente@5oC" TargetMode="External"/><Relationship Id="rId2" Type="http://schemas.openxmlformats.org/officeDocument/2006/relationships/hyperlink" Target="mailto:Corrente@5oC" TargetMode="External"/><Relationship Id="rId16" Type="http://schemas.openxmlformats.org/officeDocument/2006/relationships/hyperlink" Target="mailto:Corrente@5oC" TargetMode="External"/><Relationship Id="rId29" Type="http://schemas.openxmlformats.org/officeDocument/2006/relationships/hyperlink" Target="mailto:Corrente@5oC" TargetMode="External"/><Relationship Id="rId11" Type="http://schemas.openxmlformats.org/officeDocument/2006/relationships/hyperlink" Target="mailto:Corrente@5oC" TargetMode="External"/><Relationship Id="rId24" Type="http://schemas.openxmlformats.org/officeDocument/2006/relationships/hyperlink" Target="mailto:Corrente@5oC" TargetMode="External"/><Relationship Id="rId32" Type="http://schemas.openxmlformats.org/officeDocument/2006/relationships/hyperlink" Target="mailto:Corrente@5oC" TargetMode="External"/><Relationship Id="rId37" Type="http://schemas.openxmlformats.org/officeDocument/2006/relationships/hyperlink" Target="mailto:Corrente@5oC" TargetMode="External"/><Relationship Id="rId40" Type="http://schemas.openxmlformats.org/officeDocument/2006/relationships/hyperlink" Target="mailto:Corrente@5oC" TargetMode="External"/><Relationship Id="rId45" Type="http://schemas.openxmlformats.org/officeDocument/2006/relationships/hyperlink" Target="mailto:Corrente@5oC" TargetMode="External"/><Relationship Id="rId5" Type="http://schemas.openxmlformats.org/officeDocument/2006/relationships/hyperlink" Target="mailto:Corrente@5oC" TargetMode="External"/><Relationship Id="rId15" Type="http://schemas.openxmlformats.org/officeDocument/2006/relationships/hyperlink" Target="mailto:Corrente@5oC" TargetMode="External"/><Relationship Id="rId23" Type="http://schemas.openxmlformats.org/officeDocument/2006/relationships/hyperlink" Target="mailto:Corrente@5oC" TargetMode="External"/><Relationship Id="rId28" Type="http://schemas.openxmlformats.org/officeDocument/2006/relationships/hyperlink" Target="mailto:Corrente@5oC" TargetMode="External"/><Relationship Id="rId36" Type="http://schemas.openxmlformats.org/officeDocument/2006/relationships/hyperlink" Target="mailto:Corrente@5oC" TargetMode="External"/><Relationship Id="rId49" Type="http://schemas.openxmlformats.org/officeDocument/2006/relationships/printerSettings" Target="../printerSettings/printerSettings4.bin"/><Relationship Id="rId10" Type="http://schemas.openxmlformats.org/officeDocument/2006/relationships/hyperlink" Target="mailto:Corrente@5oC" TargetMode="External"/><Relationship Id="rId19" Type="http://schemas.openxmlformats.org/officeDocument/2006/relationships/hyperlink" Target="mailto:Corrente@5oC" TargetMode="External"/><Relationship Id="rId31" Type="http://schemas.openxmlformats.org/officeDocument/2006/relationships/hyperlink" Target="mailto:Corrente@5oC" TargetMode="External"/><Relationship Id="rId44" Type="http://schemas.openxmlformats.org/officeDocument/2006/relationships/hyperlink" Target="mailto:Corrente@5oC" TargetMode="External"/><Relationship Id="rId4" Type="http://schemas.openxmlformats.org/officeDocument/2006/relationships/hyperlink" Target="mailto:Corrente@5oC" TargetMode="External"/><Relationship Id="rId9" Type="http://schemas.openxmlformats.org/officeDocument/2006/relationships/hyperlink" Target="mailto:Corrente@5oC" TargetMode="External"/><Relationship Id="rId14" Type="http://schemas.openxmlformats.org/officeDocument/2006/relationships/hyperlink" Target="mailto:Corrente@5oC" TargetMode="External"/><Relationship Id="rId22" Type="http://schemas.openxmlformats.org/officeDocument/2006/relationships/hyperlink" Target="mailto:Corrente@5oC" TargetMode="External"/><Relationship Id="rId27" Type="http://schemas.openxmlformats.org/officeDocument/2006/relationships/hyperlink" Target="mailto:Corrente@5oC" TargetMode="External"/><Relationship Id="rId30" Type="http://schemas.openxmlformats.org/officeDocument/2006/relationships/hyperlink" Target="mailto:Corrente@5oC" TargetMode="External"/><Relationship Id="rId35" Type="http://schemas.openxmlformats.org/officeDocument/2006/relationships/hyperlink" Target="mailto:Corrente@5oC" TargetMode="External"/><Relationship Id="rId43" Type="http://schemas.openxmlformats.org/officeDocument/2006/relationships/hyperlink" Target="mailto:Corrente@5oC" TargetMode="External"/><Relationship Id="rId48" Type="http://schemas.openxmlformats.org/officeDocument/2006/relationships/hyperlink" Target="mailto:Corrente@5oC" TargetMode="External"/><Relationship Id="rId8" Type="http://schemas.openxmlformats.org/officeDocument/2006/relationships/hyperlink" Target="mailto:Corrente@5oC" TargetMode="External"/><Relationship Id="rId3" Type="http://schemas.openxmlformats.org/officeDocument/2006/relationships/hyperlink" Target="mailto:Corrente@5oC" TargetMode="External"/><Relationship Id="rId12" Type="http://schemas.openxmlformats.org/officeDocument/2006/relationships/hyperlink" Target="mailto:Corrente@5oC" TargetMode="External"/><Relationship Id="rId17" Type="http://schemas.openxmlformats.org/officeDocument/2006/relationships/hyperlink" Target="mailto:Corrente@5oC" TargetMode="External"/><Relationship Id="rId25" Type="http://schemas.openxmlformats.org/officeDocument/2006/relationships/hyperlink" Target="mailto:Corrente@5oC" TargetMode="External"/><Relationship Id="rId33" Type="http://schemas.openxmlformats.org/officeDocument/2006/relationships/hyperlink" Target="mailto:Corrente@5oC" TargetMode="External"/><Relationship Id="rId38" Type="http://schemas.openxmlformats.org/officeDocument/2006/relationships/hyperlink" Target="mailto:Corrente@5oC" TargetMode="External"/><Relationship Id="rId46" Type="http://schemas.openxmlformats.org/officeDocument/2006/relationships/hyperlink" Target="mailto:Corrente@5oC" TargetMode="External"/><Relationship Id="rId20" Type="http://schemas.openxmlformats.org/officeDocument/2006/relationships/hyperlink" Target="mailto:Corrente@5oC" TargetMode="External"/><Relationship Id="rId41" Type="http://schemas.openxmlformats.org/officeDocument/2006/relationships/hyperlink" Target="mailto:Corrente@5oC" TargetMode="External"/><Relationship Id="rId1" Type="http://schemas.openxmlformats.org/officeDocument/2006/relationships/hyperlink" Target="mailto:Corrente@5oC" TargetMode="External"/><Relationship Id="rId6" Type="http://schemas.openxmlformats.org/officeDocument/2006/relationships/hyperlink" Target="mailto:Corrente@5o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23C94-88F4-45C4-B87D-9A21785CA604}">
  <dimension ref="A1:BB307"/>
  <sheetViews>
    <sheetView tabSelected="1" zoomScale="90" zoomScaleNormal="90" workbookViewId="0">
      <selection activeCell="J6" sqref="G4:J6"/>
    </sheetView>
  </sheetViews>
  <sheetFormatPr defaultRowHeight="15" x14ac:dyDescent="0.25"/>
  <cols>
    <col min="1" max="1" width="8.5703125" bestFit="1" customWidth="1"/>
    <col min="2" max="2" width="5.5703125" bestFit="1" customWidth="1"/>
    <col min="3" max="3" width="8.5703125" bestFit="1" customWidth="1"/>
    <col min="4" max="4" width="7.28515625" bestFit="1" customWidth="1"/>
    <col min="5" max="5" width="8.28515625" bestFit="1" customWidth="1"/>
    <col min="6" max="6" width="6" bestFit="1" customWidth="1"/>
    <col min="7" max="10" width="6" customWidth="1"/>
    <col min="11" max="11" width="9" style="102" bestFit="1" customWidth="1"/>
    <col min="12" max="12" width="8.5703125" bestFit="1" customWidth="1"/>
    <col min="13" max="13" width="9.28515625" bestFit="1" customWidth="1"/>
    <col min="14" max="14" width="25.42578125" bestFit="1" customWidth="1"/>
    <col min="15" max="15" width="7.7109375" style="79" bestFit="1" customWidth="1"/>
    <col min="16" max="16" width="5.7109375" style="79" bestFit="1" customWidth="1"/>
    <col min="17" max="17" width="8.85546875" style="79" bestFit="1" customWidth="1"/>
    <col min="18" max="20" width="7.140625" hidden="1" customWidth="1"/>
    <col min="21" max="21" width="37.5703125" hidden="1" customWidth="1"/>
    <col min="22" max="22" width="43.5703125" hidden="1" customWidth="1"/>
    <col min="23" max="23" width="42.5703125" hidden="1" customWidth="1"/>
    <col min="24" max="24" width="47.140625" hidden="1" customWidth="1"/>
    <col min="25" max="25" width="9" style="81" bestFit="1" customWidth="1"/>
    <col min="26" max="26" width="18.42578125" hidden="1" customWidth="1"/>
    <col min="27" max="27" width="37.5703125" hidden="1" customWidth="1"/>
    <col min="28" max="28" width="40.7109375" hidden="1" customWidth="1"/>
    <col min="29" max="29" width="39" hidden="1" customWidth="1"/>
    <col min="30" max="30" width="43.140625" hidden="1" customWidth="1"/>
    <col min="31" max="31" width="6.5703125" bestFit="1" customWidth="1"/>
    <col min="32" max="32" width="13.28515625" bestFit="1" customWidth="1"/>
    <col min="33" max="33" width="5.85546875" bestFit="1" customWidth="1"/>
    <col min="34" max="34" width="13.28515625" bestFit="1" customWidth="1"/>
    <col min="35" max="35" width="8.7109375" bestFit="1" customWidth="1"/>
    <col min="36" max="36" width="6.42578125" bestFit="1" customWidth="1"/>
    <col min="37" max="37" width="7.28515625" hidden="1" customWidth="1"/>
    <col min="38" max="38" width="5.5703125" bestFit="1" customWidth="1"/>
    <col min="39" max="39" width="5.85546875" bestFit="1" customWidth="1"/>
    <col min="40" max="40" width="13.28515625" bestFit="1" customWidth="1"/>
    <col min="41" max="41" width="8.5703125" bestFit="1" customWidth="1"/>
    <col min="42" max="42" width="8.140625" bestFit="1" customWidth="1"/>
    <col min="43" max="44" width="7.140625" bestFit="1" customWidth="1"/>
    <col min="45" max="45" width="7.28515625" bestFit="1" customWidth="1"/>
    <col min="46" max="46" width="18.85546875" bestFit="1" customWidth="1"/>
    <col min="47" max="47" width="13.85546875" bestFit="1" customWidth="1"/>
    <col min="48" max="48" width="13.85546875" customWidth="1"/>
    <col min="49" max="50" width="12.28515625" bestFit="1" customWidth="1"/>
    <col min="51" max="51" width="9.85546875" bestFit="1" customWidth="1"/>
    <col min="52" max="52" width="14" bestFit="1" customWidth="1"/>
    <col min="53" max="53" width="13.140625" customWidth="1"/>
    <col min="54" max="54" width="17.140625" bestFit="1" customWidth="1"/>
  </cols>
  <sheetData>
    <row r="1" spans="1:54" x14ac:dyDescent="0.25">
      <c r="A1" t="s">
        <v>155</v>
      </c>
      <c r="B1" t="s">
        <v>154</v>
      </c>
      <c r="D1" s="205" t="s">
        <v>123</v>
      </c>
      <c r="E1" s="205"/>
      <c r="F1" s="101"/>
      <c r="G1" s="189"/>
      <c r="H1" s="189"/>
      <c r="I1" s="189"/>
      <c r="J1" s="189"/>
      <c r="K1" s="101" t="s">
        <v>3</v>
      </c>
      <c r="L1" s="101" t="s">
        <v>18</v>
      </c>
      <c r="M1" s="90" t="s">
        <v>117</v>
      </c>
      <c r="N1" s="205" t="s">
        <v>6</v>
      </c>
      <c r="O1" s="205"/>
      <c r="P1" s="205"/>
      <c r="Q1" s="205"/>
      <c r="R1" s="90"/>
      <c r="S1" s="90"/>
      <c r="T1" s="90"/>
      <c r="U1" s="90"/>
      <c r="V1" s="90"/>
      <c r="W1" s="90"/>
      <c r="X1" s="90"/>
      <c r="Y1" s="101" t="s">
        <v>19</v>
      </c>
      <c r="Z1" s="90"/>
      <c r="AA1" s="90"/>
      <c r="AB1" s="90"/>
      <c r="AC1" s="90"/>
      <c r="AD1" s="90"/>
      <c r="AE1" s="90"/>
      <c r="AF1" s="90"/>
      <c r="AG1" s="90"/>
      <c r="AH1" s="90"/>
      <c r="AI1" s="90"/>
      <c r="AJ1" s="90"/>
      <c r="AK1" s="90"/>
      <c r="AL1" s="90"/>
      <c r="AM1" s="90"/>
      <c r="AN1" s="90"/>
      <c r="AO1" s="90"/>
      <c r="AP1" s="90"/>
      <c r="AS1" s="90"/>
      <c r="AU1" t="s">
        <v>165</v>
      </c>
      <c r="AV1" t="s">
        <v>166</v>
      </c>
      <c r="AW1" t="s">
        <v>167</v>
      </c>
      <c r="AX1" t="s">
        <v>168</v>
      </c>
      <c r="AY1" t="s">
        <v>169</v>
      </c>
      <c r="AZ1" t="s">
        <v>169</v>
      </c>
      <c r="BA1" t="s">
        <v>170</v>
      </c>
    </row>
    <row r="2" spans="1:54" x14ac:dyDescent="0.25">
      <c r="D2" s="199"/>
      <c r="E2" s="199"/>
      <c r="F2" s="199"/>
      <c r="G2" s="199"/>
      <c r="H2" s="199"/>
      <c r="I2" s="199"/>
      <c r="J2" s="199"/>
      <c r="K2" s="199"/>
      <c r="L2" s="199"/>
      <c r="M2" s="90"/>
      <c r="N2" s="199"/>
      <c r="O2" s="199"/>
      <c r="P2" s="199"/>
      <c r="Q2" s="199"/>
      <c r="R2" s="90"/>
      <c r="S2" s="90"/>
      <c r="T2" s="90"/>
      <c r="U2" s="90"/>
      <c r="V2" s="90"/>
      <c r="W2" s="90"/>
      <c r="X2" s="90"/>
      <c r="Y2" s="199"/>
      <c r="Z2" s="90"/>
      <c r="AA2" s="90"/>
      <c r="AB2" s="90"/>
      <c r="AC2" s="90"/>
      <c r="AD2" s="90"/>
      <c r="AE2" s="90"/>
      <c r="AF2" s="90"/>
      <c r="AG2" s="90"/>
      <c r="AH2" s="90"/>
      <c r="AI2" s="90"/>
      <c r="AJ2" s="90"/>
      <c r="AK2" s="90"/>
      <c r="AL2" s="90"/>
      <c r="AM2" s="90"/>
      <c r="AN2" s="90"/>
      <c r="AO2" s="90"/>
      <c r="AP2" s="90"/>
      <c r="AS2" s="90"/>
      <c r="AU2">
        <v>300</v>
      </c>
      <c r="AV2">
        <v>3640</v>
      </c>
      <c r="AW2">
        <v>2</v>
      </c>
      <c r="AX2">
        <v>1.5</v>
      </c>
      <c r="AY2">
        <v>8.6</v>
      </c>
      <c r="AZ2">
        <f>AY2*2</f>
        <v>17.2</v>
      </c>
      <c r="BA2" s="200">
        <v>275000</v>
      </c>
    </row>
    <row r="3" spans="1:54" ht="15.75" x14ac:dyDescent="0.25">
      <c r="A3" t="s">
        <v>151</v>
      </c>
      <c r="B3" t="s">
        <v>152</v>
      </c>
      <c r="C3" t="s">
        <v>128</v>
      </c>
      <c r="D3" s="90" t="s">
        <v>0</v>
      </c>
      <c r="E3" s="90" t="s">
        <v>1</v>
      </c>
      <c r="F3" s="90" t="s">
        <v>129</v>
      </c>
      <c r="G3" s="90" t="s">
        <v>161</v>
      </c>
      <c r="H3" s="90" t="s">
        <v>160</v>
      </c>
      <c r="I3" s="90" t="s">
        <v>161</v>
      </c>
      <c r="J3" s="90" t="s">
        <v>160</v>
      </c>
      <c r="K3" s="101" t="s">
        <v>2</v>
      </c>
      <c r="L3" s="101" t="s">
        <v>4</v>
      </c>
      <c r="M3" s="101" t="s">
        <v>118</v>
      </c>
      <c r="N3" s="101" t="s">
        <v>7</v>
      </c>
      <c r="O3" s="91" t="s">
        <v>8</v>
      </c>
      <c r="P3" s="91" t="s">
        <v>109</v>
      </c>
      <c r="Q3" s="91" t="s">
        <v>108</v>
      </c>
      <c r="R3" s="101" t="s">
        <v>93</v>
      </c>
      <c r="S3" s="101" t="s">
        <v>94</v>
      </c>
      <c r="T3" s="101" t="s">
        <v>95</v>
      </c>
      <c r="U3" s="101" t="s">
        <v>96</v>
      </c>
      <c r="V3" s="92" t="s">
        <v>125</v>
      </c>
      <c r="W3" s="101" t="s">
        <v>97</v>
      </c>
      <c r="X3" s="101" t="s">
        <v>101</v>
      </c>
      <c r="Y3" s="101" t="s">
        <v>20</v>
      </c>
      <c r="Z3" s="101" t="s">
        <v>98</v>
      </c>
      <c r="AA3" s="101" t="s">
        <v>99</v>
      </c>
      <c r="AB3" s="86" t="s">
        <v>103</v>
      </c>
      <c r="AC3" s="101" t="s">
        <v>100</v>
      </c>
      <c r="AD3" s="101" t="s">
        <v>102</v>
      </c>
      <c r="AE3" s="101" t="s">
        <v>106</v>
      </c>
      <c r="AF3" s="101"/>
      <c r="AG3" s="101" t="s">
        <v>107</v>
      </c>
      <c r="AH3" s="101"/>
      <c r="AI3" s="101" t="s">
        <v>122</v>
      </c>
      <c r="AJ3" s="101" t="s">
        <v>104</v>
      </c>
      <c r="AK3" s="189"/>
      <c r="AL3" s="154"/>
      <c r="AM3" s="101" t="s">
        <v>105</v>
      </c>
      <c r="AN3" s="101"/>
      <c r="AO3" s="101" t="s">
        <v>126</v>
      </c>
      <c r="AP3" s="101" t="s">
        <v>124</v>
      </c>
      <c r="AQ3" s="154" t="s">
        <v>156</v>
      </c>
      <c r="AR3" s="154" t="s">
        <v>157</v>
      </c>
      <c r="AS3" s="189" t="s">
        <v>163</v>
      </c>
      <c r="AT3" s="198" t="s">
        <v>171</v>
      </c>
      <c r="AU3" s="199" t="s">
        <v>174</v>
      </c>
      <c r="AV3" s="199" t="s">
        <v>175</v>
      </c>
      <c r="AW3" s="199" t="s">
        <v>176</v>
      </c>
      <c r="AX3" s="199" t="s">
        <v>177</v>
      </c>
      <c r="AY3" s="199" t="s">
        <v>178</v>
      </c>
      <c r="AZ3" s="199" t="s">
        <v>179</v>
      </c>
      <c r="BB3" s="199" t="s">
        <v>172</v>
      </c>
    </row>
    <row r="4" spans="1:54" x14ac:dyDescent="0.25">
      <c r="A4" s="153">
        <f>IF($B$1="não",0,1-60/$B4)</f>
        <v>0</v>
      </c>
      <c r="B4">
        <v>60</v>
      </c>
      <c r="C4" s="133">
        <v>1</v>
      </c>
      <c r="D4" s="107">
        <v>4</v>
      </c>
      <c r="E4" s="194">
        <v>0.92</v>
      </c>
      <c r="F4" s="168">
        <f t="shared" ref="F4:F5" si="0">D4/(E4*C4)</f>
        <v>4.3478260869565215</v>
      </c>
      <c r="G4" s="157">
        <f>$I$6</f>
        <v>29.329633676673527</v>
      </c>
      <c r="H4" s="157">
        <f>$J$6</f>
        <v>2.5685930618452062</v>
      </c>
      <c r="I4">
        <v>30</v>
      </c>
      <c r="J4">
        <v>3</v>
      </c>
      <c r="K4" s="192">
        <f t="shared" ref="K4:K6" si="1">SQRT((G4-I4)^2+(H4-J4)^2)</f>
        <v>0.7971843913037604</v>
      </c>
      <c r="L4" s="107">
        <v>25</v>
      </c>
      <c r="M4" s="158">
        <v>1</v>
      </c>
      <c r="N4" s="156" t="s">
        <v>159</v>
      </c>
      <c r="O4" s="159">
        <v>1</v>
      </c>
      <c r="P4" s="159">
        <f t="shared" ref="P4:P6" si="2">IF(O4=1,1,IF(O4=2,0.9,0.8))</f>
        <v>1</v>
      </c>
      <c r="Q4" s="160">
        <f>VLOOKUP(N4,Cabos!$B$13:$F$46,2,0)*O4*P4</f>
        <v>153.70000000000002</v>
      </c>
      <c r="R4" s="161">
        <f>((VLOOKUP(N4,Cabos!$B$13:$F$46,3,0)/O4*K4))*(1+A4)</f>
        <v>0.39460627369536139</v>
      </c>
      <c r="S4" s="161">
        <f>(VLOOKUP(N4,Cabos!$B$13:$F$46,4,0)/O4*K4)*B4/60</f>
        <v>0.1426960060433731</v>
      </c>
      <c r="T4" s="161">
        <f>1/(VLOOKUP(N4,Cabos!$B$13:$F$46,5,0)*60/B4) * O4 * K4</f>
        <v>4.1818412175615611E-5</v>
      </c>
      <c r="U4" s="156" t="str">
        <f t="shared" ref="U4:U6" si="3">IMSQRT(IMDIV(COMPLEX(R4,S4),COMPLEX(0,T4)))</f>
        <v>81,9953644820212-57,5409662461408i</v>
      </c>
      <c r="V4" s="156" t="str">
        <f t="shared" ref="V4:V6" si="4">IMSQRT(IMPRODUCT(COMPLEX(R4,S4),COMPLEX(0,T4)))</f>
        <v>0,0024062718434643+0,003428915948399i</v>
      </c>
      <c r="W4" s="156" t="str">
        <f t="shared" ref="W4:W6" si="5">IMPRODUCT(U4,_xlfn.IMSINH(V4))</f>
        <v>0,394605488780795+0,142696949409793i</v>
      </c>
      <c r="X4" s="156" t="str">
        <f t="shared" ref="X4:X6" si="6">IMDIV(IMSUB(_xlfn.IMCOSH(V4),COMPLEX(1,0)),IMPRODUCT(U4,_xlfn.IMSINH(V4)))</f>
        <v>2,8752836171296E-11+0,0000209092164856107i</v>
      </c>
      <c r="Y4" s="162">
        <f>F4/L4/SQRT(3)*1000</f>
        <v>100.408742467761</v>
      </c>
      <c r="Z4" s="163" t="str">
        <f t="shared" ref="Z4:Z6" si="7">COMPLEX(L4*1000/SQRT(3)*M4,0)</f>
        <v>14433,7567297406</v>
      </c>
      <c r="AA4" s="163" t="str">
        <f>COMPLEX(Y4*E4,-Y4*SQRT(1-E4*E4))</f>
        <v>92,3760430703401-39,3520295616861i</v>
      </c>
      <c r="AB4" s="163" t="str">
        <f t="shared" ref="AB4:AB6" si="8">IMPRODUCT(W4,IMSUM(AA4,IMPRODUCT(X4,Z4)))</f>
        <v>42,0244426311214-2,2276558937667i</v>
      </c>
      <c r="AC4" s="163" t="str">
        <f t="shared" ref="AC4:AC6" si="9">IMSUM(Z4,AB4)</f>
        <v>14475,7811723717-2,2276558937667i</v>
      </c>
      <c r="AD4" s="163" t="str">
        <f t="shared" ref="AD4:AD6" si="10">IMSUM(IMPRODUCT(AC4,X4),IMDIV(AB4,W4))</f>
        <v>92,3760904801107-38,7475537752559i</v>
      </c>
      <c r="AE4" s="164">
        <f t="shared" ref="AE4:AE6" si="11">IMABS(AC4)/L4/1000*SQRT(3)</f>
        <v>1.0029115506671766</v>
      </c>
      <c r="AF4" s="165">
        <f t="shared" ref="AF4:AF6" si="12">L4*AE4</f>
        <v>25.072788766679416</v>
      </c>
      <c r="AG4" s="164">
        <f t="shared" ref="AG4:AG6" si="13">IMABS(AD4)/Q4</f>
        <v>0.6517464196431253</v>
      </c>
      <c r="AH4" s="165">
        <f t="shared" ref="AH4:AH6" si="14">AG4*Q4/O4</f>
        <v>100.17342469914837</v>
      </c>
      <c r="AI4" s="166">
        <f t="shared" ref="AI4:AI6" si="15">IMREAL(IMPRODUCT(AC4,IMCONJUGATE(AD4)))*3/1000000</f>
        <v>4.01190716269749</v>
      </c>
      <c r="AJ4" s="164">
        <f t="shared" ref="AJ4" si="16">IMABS(Z4)/L4/1000*SQRT(3)</f>
        <v>0.99999999999999678</v>
      </c>
      <c r="AK4" s="176">
        <f>SQRT(AI4^2+AS4^2)</f>
        <v>4.3502657772065474</v>
      </c>
      <c r="AL4" s="165">
        <f>IMABS(Z4)*SQRT(3)/1000</f>
        <v>24.999999999999922</v>
      </c>
      <c r="AM4" s="164">
        <f>IMABS(AA4)/Q4</f>
        <v>0.65327743960807394</v>
      </c>
      <c r="AN4" s="165">
        <f>Q4*AM4/P4</f>
        <v>100.40874246776097</v>
      </c>
      <c r="AO4" s="167">
        <f>D4</f>
        <v>4</v>
      </c>
      <c r="AP4" s="164">
        <f>IF(AO4&gt;0, (AI4-AO4)/AO4,0)</f>
        <v>2.9767906743725092E-3</v>
      </c>
      <c r="AQ4" s="157">
        <f>AF4*AH4*SQRT(3)*O4/1000</f>
        <v>4.3502657772065412</v>
      </c>
      <c r="AR4" s="157">
        <f>AL4*AN4*SQRT(3)/1000</f>
        <v>4.3478260869565064</v>
      </c>
      <c r="AS4" s="176">
        <f>IMAGINARY(IMPRODUCT(AC4,IMCONJUGATE(AD4)))*3/1000000</f>
        <v>1.6820859818187239</v>
      </c>
      <c r="AT4" s="196">
        <f>VLOOKUP(N4,Cabos!$B$13:'Cabos'!$G$46,6,0)*K4*1000</f>
        <v>366704.81999972981</v>
      </c>
      <c r="AU4" s="201">
        <f>VLOOKUP(N4,[1]Cabos!$B$13:'[1]Cabos'!$H$46,7,0)*K4</f>
        <v>8.5298729869502363</v>
      </c>
      <c r="AV4" s="201">
        <f>ROUNDUP(AU4/$AV$2,0)*$AW$2</f>
        <v>2</v>
      </c>
      <c r="AW4" s="201">
        <f>ROUNDDOWN(AU4/$AU$2,0)</f>
        <v>0</v>
      </c>
      <c r="AX4">
        <f>ROUNDUP((AW4)*$AX$2,0)</f>
        <v>0</v>
      </c>
      <c r="AY4">
        <f>IFERROR(ROUNDUP(K4*O4/$AZ$2,0),0)</f>
        <v>1</v>
      </c>
      <c r="AZ4">
        <f>IFERROR(ROUNDUP(K4*O4/$AY$2,0),0)</f>
        <v>1</v>
      </c>
      <c r="BA4" s="201">
        <f t="shared" ref="BA4:BA5" si="17">SUM(AX4:AZ4)+AV4</f>
        <v>4</v>
      </c>
      <c r="BB4" s="200">
        <f>BA4*$BA$2</f>
        <v>1100000</v>
      </c>
    </row>
    <row r="5" spans="1:54" x14ac:dyDescent="0.25">
      <c r="A5" s="153">
        <f t="shared" ref="A5" si="18">IF($B$1="não",0,1-60/$B5)</f>
        <v>0</v>
      </c>
      <c r="B5">
        <v>60</v>
      </c>
      <c r="C5" s="133">
        <v>1</v>
      </c>
      <c r="D5" s="107">
        <v>4</v>
      </c>
      <c r="E5" s="194">
        <v>0.92</v>
      </c>
      <c r="F5" s="168">
        <f t="shared" si="0"/>
        <v>4.3478260869565215</v>
      </c>
      <c r="G5" s="157">
        <f>$I$6</f>
        <v>29.329633676673527</v>
      </c>
      <c r="H5" s="157">
        <f>$J$6</f>
        <v>2.5685930618452062</v>
      </c>
      <c r="I5">
        <v>30</v>
      </c>
      <c r="J5">
        <v>2</v>
      </c>
      <c r="K5" s="192">
        <f t="shared" si="1"/>
        <v>0.87902734737251453</v>
      </c>
      <c r="L5" s="107">
        <v>25</v>
      </c>
      <c r="M5" s="169">
        <v>1</v>
      </c>
      <c r="N5" s="156" t="s">
        <v>159</v>
      </c>
      <c r="O5" s="159">
        <v>1</v>
      </c>
      <c r="P5" s="159">
        <f t="shared" si="2"/>
        <v>1</v>
      </c>
      <c r="Q5" s="170">
        <f>VLOOKUP(N5,Cabos!$B$13:$F$46,2,0)*O5*P5</f>
        <v>153.70000000000002</v>
      </c>
      <c r="R5" s="171">
        <f>((VLOOKUP(N5,Cabos!$B$13:$F$46,3,0)/O5*K5))*(1+A5)</f>
        <v>0.43511853694939467</v>
      </c>
      <c r="S5" s="171">
        <f>(VLOOKUP(N5,Cabos!$B$13:$F$46,4,0)/O5*K5)*B5/60</f>
        <v>0.15734589517968009</v>
      </c>
      <c r="T5" s="171">
        <f>1/(VLOOKUP(N5,Cabos!$B$13:$F$46,5,0)*60/B5) * O5 * K5</f>
        <v>4.6111700538871872E-5</v>
      </c>
      <c r="U5" s="155" t="str">
        <f t="shared" si="3"/>
        <v>81,9953644820213-57,5409662461408i</v>
      </c>
      <c r="V5" s="155" t="str">
        <f t="shared" si="4"/>
        <v>0,00265331180425938+0,00378094569257062i</v>
      </c>
      <c r="W5" s="155" t="str">
        <f t="shared" si="5"/>
        <v>0,43511748461624+0,157347159948414i</v>
      </c>
      <c r="X5" s="155" t="str">
        <f t="shared" si="6"/>
        <v>3,85493820882195E-11+0,0000230558642095457i</v>
      </c>
      <c r="Y5" s="172">
        <f>F5/L5/SQRT(3)*1000</f>
        <v>100.408742467761</v>
      </c>
      <c r="Z5" s="173" t="str">
        <f t="shared" si="7"/>
        <v>14433,7567297406</v>
      </c>
      <c r="AA5" s="173" t="str">
        <f>COMPLEX(Y5*E5,-Y5*SQRT(1-E5*E5))</f>
        <v>92,3760430703401-39,3520295616861i</v>
      </c>
      <c r="AB5" s="173" t="str">
        <f t="shared" si="8"/>
        <v>46,3339994131472-2,44284841882294i</v>
      </c>
      <c r="AC5" s="173" t="str">
        <f t="shared" si="9"/>
        <v>14480,0907291537-2,44284841882294i</v>
      </c>
      <c r="AD5" s="173" t="str">
        <f t="shared" si="10"/>
        <v>92,3761005069325-38,6853958209925i</v>
      </c>
      <c r="AE5" s="174">
        <f t="shared" si="11"/>
        <v>1.0032101279202432</v>
      </c>
      <c r="AF5" s="175">
        <f t="shared" si="12"/>
        <v>25.08025319800608</v>
      </c>
      <c r="AG5" s="174">
        <f t="shared" si="13"/>
        <v>0.65159015849493607</v>
      </c>
      <c r="AH5" s="175">
        <f t="shared" si="14"/>
        <v>100.14940736067169</v>
      </c>
      <c r="AI5" s="176">
        <f t="shared" si="15"/>
        <v>4.0131264573114596</v>
      </c>
      <c r="AJ5" s="174">
        <f t="shared" ref="AJ5:AJ6" si="19">IMABS(Z5)/L5/1000*SQRT(3)</f>
        <v>0.99999999999999678</v>
      </c>
      <c r="AK5" s="176">
        <f>SQRT(AI5^2+AS5^2)</f>
        <v>4.3505175770705904</v>
      </c>
      <c r="AL5" s="175">
        <f>IMABS(Z5)*SQRT(3)/1000</f>
        <v>24.999999999999922</v>
      </c>
      <c r="AM5" s="174">
        <f>IMABS(AA5)/Q5</f>
        <v>0.65327743960807394</v>
      </c>
      <c r="AN5" s="175">
        <f>Q5*AM5/P5</f>
        <v>100.40874246776097</v>
      </c>
      <c r="AO5" s="177">
        <f>D5</f>
        <v>4</v>
      </c>
      <c r="AP5" s="174">
        <f>IF(AO5&gt;0, (AI5-AO5)/AO5,0)</f>
        <v>3.2816143278648902E-3</v>
      </c>
      <c r="AQ5" s="168">
        <f>AF5*AH5*SQRT(3)*O5/1000</f>
        <v>4.3505175770705824</v>
      </c>
      <c r="AR5" s="168">
        <f t="shared" ref="AR5:AR6" si="20">AL5*AN5*SQRT(3)/1000</f>
        <v>4.3478260869565064</v>
      </c>
      <c r="AS5" s="176">
        <f>IMAGINARY(IMPRODUCT(AC5,IMCONJUGATE(AD5)))*3/1000000</f>
        <v>1.679827141710402</v>
      </c>
      <c r="AT5" s="196">
        <f>VLOOKUP(N5,Cabos!$B$13:'Cabos'!$G$46,6,0)*K5*1000</f>
        <v>404352.57979135669</v>
      </c>
      <c r="AU5" s="201">
        <f>VLOOKUP(N5,[1]Cabos!$B$13:'[1]Cabos'!$H$46,7,0)*K5</f>
        <v>9.4055926168859045</v>
      </c>
      <c r="AV5" s="201">
        <f t="shared" ref="AV5:AV6" si="21">ROUNDUP(AU5/$AV$2,0)*$AW$2</f>
        <v>2</v>
      </c>
      <c r="AW5" s="201">
        <f t="shared" ref="AW5:AW6" si="22">ROUNDDOWN(AU5/$AU$2,0)</f>
        <v>0</v>
      </c>
      <c r="AX5">
        <f t="shared" ref="AX5:AX6" si="23">ROUNDUP((AW5)*$AX$2,0)</f>
        <v>0</v>
      </c>
      <c r="AY5">
        <f t="shared" ref="AY5:AY6" si="24">IFERROR(ROUNDUP(K5*O5/$AZ$2,0),0)</f>
        <v>1</v>
      </c>
      <c r="AZ5">
        <f t="shared" ref="AZ5:AZ6" si="25">IFERROR(ROUNDUP(K5*O5/$AY$2,0),0)</f>
        <v>1</v>
      </c>
      <c r="BA5" s="201">
        <f t="shared" si="17"/>
        <v>4</v>
      </c>
      <c r="BB5" s="200">
        <f>BA5*$BA$2</f>
        <v>1100000</v>
      </c>
    </row>
    <row r="6" spans="1:54" x14ac:dyDescent="0.25">
      <c r="A6" s="153">
        <f>IF($B$1="não",0,1-60/$B6)</f>
        <v>0</v>
      </c>
      <c r="B6">
        <v>60</v>
      </c>
      <c r="C6" s="133">
        <v>1</v>
      </c>
      <c r="D6" s="107">
        <f>SUM(AI4:AI4)</f>
        <v>4.01190716269749</v>
      </c>
      <c r="E6" s="194">
        <f>(SUM(AI4:AI5))/(SUM(AK4:AK5))</f>
        <v>0.92233460979855297</v>
      </c>
      <c r="F6" s="168">
        <f>D6/(E6*C6)</f>
        <v>4.3497306943450065</v>
      </c>
      <c r="G6" s="157">
        <v>0</v>
      </c>
      <c r="H6" s="157">
        <v>4.5</v>
      </c>
      <c r="I6" s="195">
        <v>29.329633676673527</v>
      </c>
      <c r="J6" s="195">
        <v>2.5685930618452062</v>
      </c>
      <c r="K6" s="192">
        <f t="shared" si="1"/>
        <v>29.393158121723062</v>
      </c>
      <c r="L6" s="107">
        <f>MAX(AF4:AF5)</f>
        <v>25.08025319800608</v>
      </c>
      <c r="M6" s="180">
        <v>1</v>
      </c>
      <c r="N6" s="156" t="s">
        <v>180</v>
      </c>
      <c r="O6" s="159">
        <v>1</v>
      </c>
      <c r="P6" s="159">
        <f t="shared" si="2"/>
        <v>1</v>
      </c>
      <c r="Q6" s="181">
        <f>VLOOKUP(N6,Cabos!$B$13:$F$46,2,0)*O6*P6</f>
        <v>187.05</v>
      </c>
      <c r="R6" s="182">
        <f>((VLOOKUP(N6,Cabos!$B$13:$F$46,3,0)/O6*K6))*(1+A6)</f>
        <v>10.111246393872733</v>
      </c>
      <c r="S6" s="182">
        <f>(VLOOKUP(N6,Cabos!$B$13:$F$46,4,0)/O6*K6)*B6/60</f>
        <v>4.9380505644494743</v>
      </c>
      <c r="T6" s="182">
        <f>1/(VLOOKUP(N6,Cabos!$B$13:$F$46,5,0)*60/B6) * O6 * K6</f>
        <v>1.7045440803597229E-3</v>
      </c>
      <c r="U6" s="178" t="str">
        <f t="shared" si="3"/>
        <v>68,9149452063813-43,0380955991148i</v>
      </c>
      <c r="V6" s="178" t="str">
        <f t="shared" si="4"/>
        <v>0,0733603310834268+0,117468561899852i</v>
      </c>
      <c r="W6" s="178" t="str">
        <f t="shared" si="5"/>
        <v>10,0828700810617+4,96013411325954i</v>
      </c>
      <c r="X6" s="178" t="str">
        <f t="shared" si="6"/>
        <v>1,22613993847797E-06+0,000852868235367506i</v>
      </c>
      <c r="Y6" s="183">
        <f>F6/L6/SQRT(3)*1000</f>
        <v>100.13129323120715</v>
      </c>
      <c r="Z6" s="184" t="str">
        <f t="shared" si="7"/>
        <v>14480,0909352128</v>
      </c>
      <c r="AA6" s="173" t="str">
        <f>COMPLEX(Y6*E6,-Y6*SQRT(1-E6*E6))</f>
        <v>92,3545572710299-38,6899423032142i</v>
      </c>
      <c r="AB6" s="184" t="str">
        <f t="shared" si="8"/>
        <v>1062,02960263906+192,592902821109i</v>
      </c>
      <c r="AC6" s="184" t="str">
        <f t="shared" si="9"/>
        <v>15542,1205378519+192,592902821109i</v>
      </c>
      <c r="AD6" s="184" t="str">
        <f t="shared" si="10"/>
        <v>92,2271123343851-13,0847156365013i</v>
      </c>
      <c r="AE6" s="185">
        <f t="shared" si="11"/>
        <v>1.0734265299781944</v>
      </c>
      <c r="AF6" s="186">
        <f t="shared" si="12"/>
        <v>26.921809161310179</v>
      </c>
      <c r="AG6" s="185">
        <f t="shared" si="13"/>
        <v>0.49799884818884776</v>
      </c>
      <c r="AH6" s="186">
        <f t="shared" si="14"/>
        <v>93.150684553723977</v>
      </c>
      <c r="AI6" s="187">
        <f t="shared" si="15"/>
        <v>4.2926546201760001</v>
      </c>
      <c r="AJ6" s="185">
        <f t="shared" si="19"/>
        <v>1.0000000000000013</v>
      </c>
      <c r="AK6" s="176">
        <f>SQRT(AI6^2+AS6^2)</f>
        <v>4.3436109527076416</v>
      </c>
      <c r="AL6" s="186">
        <f>IMABS(Z6)*SQRT(3)/1000</f>
        <v>25.080253198006112</v>
      </c>
      <c r="AM6" s="185">
        <f>IMABS(AA6)/Q6</f>
        <v>0.53531832788669942</v>
      </c>
      <c r="AN6" s="186">
        <f>Q6*AM6/P6</f>
        <v>100.13129323120714</v>
      </c>
      <c r="AO6" s="188">
        <f>D6</f>
        <v>4.01190716269749</v>
      </c>
      <c r="AP6" s="185">
        <f>IF(AO6&gt;0, (AI6-AO6)/AO6,0)</f>
        <v>6.9978552866049773E-2</v>
      </c>
      <c r="AQ6" s="179">
        <f>AF6*AH6*SQRT(3)*O6/1000</f>
        <v>4.3436109527076372</v>
      </c>
      <c r="AR6" s="179">
        <f t="shared" si="20"/>
        <v>4.3497306943450118</v>
      </c>
      <c r="AS6" s="176">
        <f>IMAGINARY(IMPRODUCT(AC6,IMCONJUGATE(AD6)))*3/1000000</f>
        <v>0.66337954472792104</v>
      </c>
      <c r="AT6" s="196">
        <f>VLOOKUP(N6,Cabos!$B$13:'Cabos'!$G$46,6,0)*K6*1000</f>
        <v>13716807.123470763</v>
      </c>
      <c r="AU6" s="201">
        <f>VLOOKUP(N6,[1]Cabos!$B$13:'[1]Cabos'!$H$46,7,0)*K6</f>
        <v>358.5965290850213</v>
      </c>
      <c r="AV6" s="201">
        <f t="shared" si="21"/>
        <v>2</v>
      </c>
      <c r="AW6" s="201">
        <f t="shared" si="22"/>
        <v>1</v>
      </c>
      <c r="AX6">
        <f t="shared" si="23"/>
        <v>2</v>
      </c>
      <c r="AY6">
        <f t="shared" si="24"/>
        <v>2</v>
      </c>
      <c r="AZ6">
        <f t="shared" si="25"/>
        <v>4</v>
      </c>
      <c r="BA6" s="201">
        <f>SUM(AX6:AZ6)+AV6</f>
        <v>10</v>
      </c>
      <c r="BB6" s="200">
        <f>BA6*$BA$2</f>
        <v>2750000</v>
      </c>
    </row>
    <row r="7" spans="1:54" x14ac:dyDescent="0.25">
      <c r="Q7" s="84"/>
      <c r="R7" s="81"/>
      <c r="S7" s="81"/>
      <c r="T7" s="81"/>
      <c r="Z7" s="81"/>
      <c r="AA7" s="81"/>
      <c r="AB7" s="81"/>
      <c r="AC7" s="81"/>
      <c r="AD7" s="81"/>
      <c r="AE7" s="81"/>
      <c r="AF7" s="81"/>
      <c r="AG7" s="81"/>
      <c r="AH7" s="81"/>
      <c r="AI7" s="193"/>
      <c r="AJ7" s="193"/>
      <c r="AK7" s="193"/>
      <c r="AL7" s="81"/>
      <c r="AM7" s="81"/>
      <c r="AN7" s="81"/>
      <c r="AO7" s="81"/>
      <c r="AP7" s="81"/>
      <c r="AS7" s="193"/>
      <c r="AT7" s="197">
        <f>SUM(AT4:AT6)</f>
        <v>14487864.523261849</v>
      </c>
      <c r="BA7" s="201">
        <f>K6/BA6</f>
        <v>2.939315812172306</v>
      </c>
      <c r="BB7" s="200">
        <f>SUM(BB4:BB6)</f>
        <v>4950000</v>
      </c>
    </row>
    <row r="8" spans="1:54" x14ac:dyDescent="0.25">
      <c r="Q8" s="84"/>
      <c r="R8" s="81"/>
      <c r="S8" s="81"/>
      <c r="T8" s="81"/>
      <c r="Z8" s="81"/>
      <c r="AA8" s="81"/>
      <c r="AB8" s="81"/>
      <c r="AC8" s="81"/>
      <c r="AD8" s="81"/>
      <c r="AE8" s="81"/>
      <c r="AF8" s="81"/>
      <c r="AG8" s="81"/>
      <c r="AH8" s="81"/>
      <c r="AI8" s="81"/>
      <c r="AJ8" s="81"/>
      <c r="AK8" s="81"/>
      <c r="AL8" s="81"/>
      <c r="AM8" s="81"/>
      <c r="AN8" s="81"/>
      <c r="AO8" s="81"/>
      <c r="AP8" s="81"/>
      <c r="AS8" s="81"/>
      <c r="BA8" s="201">
        <f>K5/BA5</f>
        <v>0.21975683684312863</v>
      </c>
    </row>
    <row r="9" spans="1:54" x14ac:dyDescent="0.25">
      <c r="Q9" s="84"/>
      <c r="R9" s="81"/>
      <c r="S9" s="81"/>
      <c r="T9" s="81"/>
      <c r="Z9" s="81"/>
      <c r="AA9" s="81"/>
      <c r="AB9" s="81"/>
      <c r="AC9" s="81"/>
      <c r="AD9" s="81"/>
      <c r="AE9" s="81"/>
      <c r="AF9" s="81"/>
      <c r="AG9" s="81"/>
      <c r="AH9" s="81"/>
      <c r="AI9" s="81"/>
      <c r="AJ9" s="81"/>
      <c r="AK9" s="81"/>
      <c r="AL9" s="81"/>
      <c r="AM9" s="81"/>
      <c r="AN9" s="81"/>
      <c r="AO9" s="81"/>
      <c r="AP9" s="81"/>
      <c r="AS9" s="81"/>
    </row>
    <row r="10" spans="1:54" x14ac:dyDescent="0.25">
      <c r="Q10" s="84"/>
      <c r="R10" s="81"/>
      <c r="S10" s="81"/>
      <c r="T10" s="81"/>
      <c r="Z10" s="81"/>
      <c r="AA10" s="81"/>
      <c r="AB10" s="81"/>
      <c r="AC10" s="81"/>
      <c r="AD10" s="81"/>
      <c r="AE10" s="81"/>
      <c r="AF10" s="81"/>
      <c r="AG10" s="81"/>
      <c r="AH10" s="81"/>
      <c r="AJ10" s="81"/>
      <c r="AK10" s="81"/>
      <c r="AL10" s="81"/>
      <c r="AM10" s="81"/>
      <c r="AN10" s="81"/>
      <c r="AO10" s="81"/>
      <c r="AP10" s="81"/>
      <c r="AS10" s="81"/>
    </row>
    <row r="11" spans="1:54" x14ac:dyDescent="0.25">
      <c r="Q11" s="84"/>
      <c r="R11" s="81"/>
      <c r="S11" s="81"/>
      <c r="T11" s="81"/>
      <c r="Z11" s="81"/>
      <c r="AB11" s="81"/>
      <c r="AC11" s="81"/>
      <c r="AD11" s="81"/>
      <c r="AE11" s="81"/>
      <c r="AF11" s="81"/>
      <c r="AG11" s="81"/>
      <c r="AH11" s="81"/>
      <c r="AI11" s="81"/>
      <c r="AJ11" s="81"/>
      <c r="AK11" s="81"/>
      <c r="AL11" s="81"/>
      <c r="AM11" s="81"/>
      <c r="AN11" s="81"/>
      <c r="AO11" s="81"/>
      <c r="AP11" s="81"/>
      <c r="AS11" s="81"/>
    </row>
    <row r="12" spans="1:54" x14ac:dyDescent="0.25">
      <c r="Q12" s="84"/>
      <c r="R12" s="81"/>
      <c r="S12" s="81"/>
      <c r="T12" s="81"/>
      <c r="Z12" s="81"/>
      <c r="AA12" s="81"/>
      <c r="AB12" s="81"/>
      <c r="AC12" s="81"/>
      <c r="AD12" s="81"/>
      <c r="AE12" s="81"/>
      <c r="AF12" s="81"/>
      <c r="AG12" s="81"/>
      <c r="AH12" s="81"/>
      <c r="AI12" s="81"/>
      <c r="AJ12" s="81"/>
      <c r="AK12" s="81"/>
      <c r="AL12" s="81"/>
      <c r="AM12" s="81"/>
      <c r="AN12" s="81"/>
      <c r="AO12" s="81"/>
      <c r="AP12" s="81"/>
      <c r="AS12" s="81"/>
    </row>
    <row r="13" spans="1:54" x14ac:dyDescent="0.25">
      <c r="Q13" s="84"/>
      <c r="R13" s="81"/>
      <c r="S13" s="81"/>
      <c r="T13" s="81"/>
      <c r="Z13" s="81"/>
      <c r="AA13" s="81"/>
      <c r="AB13" s="81"/>
      <c r="AC13" s="81"/>
      <c r="AD13" s="81"/>
      <c r="AE13" s="81"/>
      <c r="AF13" s="81"/>
      <c r="AG13" s="81"/>
      <c r="AH13" s="81"/>
      <c r="AI13" s="81"/>
      <c r="AJ13" s="81"/>
      <c r="AK13" s="81"/>
      <c r="AL13" s="81"/>
      <c r="AM13" s="81"/>
      <c r="AN13" s="81"/>
      <c r="AO13" s="81"/>
      <c r="AP13" s="81"/>
      <c r="AS13" s="81"/>
    </row>
    <row r="14" spans="1:54" x14ac:dyDescent="0.25">
      <c r="Q14" s="84"/>
      <c r="R14" s="81"/>
      <c r="S14" s="81"/>
      <c r="T14" s="81"/>
      <c r="Z14" s="81"/>
      <c r="AA14" s="81"/>
      <c r="AB14" s="81"/>
      <c r="AC14" s="81"/>
      <c r="AD14" s="81"/>
      <c r="AE14" s="81"/>
      <c r="AF14" s="81"/>
      <c r="AG14" s="81"/>
      <c r="AH14" s="81"/>
      <c r="AI14" s="81"/>
      <c r="AJ14" s="81"/>
      <c r="AK14" s="81"/>
      <c r="AL14" s="81"/>
      <c r="AM14" s="81"/>
      <c r="AN14" s="81"/>
      <c r="AO14" s="81"/>
      <c r="AP14" s="81"/>
      <c r="AS14" s="81"/>
    </row>
    <row r="15" spans="1:54" x14ac:dyDescent="0.25">
      <c r="Q15" s="84"/>
      <c r="R15" s="81"/>
      <c r="S15" s="81"/>
      <c r="T15" s="81"/>
      <c r="Z15" s="81"/>
      <c r="AA15" s="81"/>
      <c r="AB15" s="81"/>
      <c r="AC15" s="81"/>
      <c r="AD15" s="81"/>
      <c r="AE15" s="81"/>
      <c r="AF15" s="81"/>
      <c r="AG15" s="81"/>
      <c r="AH15" s="81"/>
      <c r="AI15" s="81"/>
      <c r="AJ15" s="81"/>
      <c r="AK15" s="81"/>
      <c r="AL15" s="81"/>
      <c r="AM15" s="81"/>
      <c r="AN15" s="81"/>
      <c r="AO15" s="81"/>
      <c r="AP15" s="81"/>
      <c r="AS15" s="81"/>
    </row>
    <row r="16" spans="1:54" x14ac:dyDescent="0.25">
      <c r="Q16" s="84"/>
      <c r="R16" s="81"/>
      <c r="S16" s="81"/>
      <c r="T16" s="81"/>
      <c r="Z16" s="81"/>
      <c r="AA16" s="81"/>
      <c r="AB16" s="81"/>
      <c r="AC16" s="81"/>
      <c r="AD16" s="81"/>
      <c r="AE16" s="81"/>
      <c r="AF16" s="81"/>
      <c r="AG16" s="81"/>
      <c r="AH16" s="81"/>
      <c r="AI16" s="81"/>
      <c r="AJ16" s="81"/>
      <c r="AK16" s="81"/>
      <c r="AL16" s="81"/>
      <c r="AM16" s="81"/>
      <c r="AN16" s="81"/>
      <c r="AO16" s="81"/>
      <c r="AP16" s="81"/>
      <c r="AS16" s="81"/>
    </row>
    <row r="17" spans="2:45" x14ac:dyDescent="0.25">
      <c r="Q17" s="84"/>
      <c r="R17" s="81"/>
      <c r="S17" s="81"/>
      <c r="T17" s="81"/>
      <c r="Z17" s="81"/>
      <c r="AA17" s="81"/>
      <c r="AB17" s="81"/>
      <c r="AC17" s="81"/>
      <c r="AD17" s="81"/>
      <c r="AE17" s="81"/>
      <c r="AF17" s="81"/>
      <c r="AG17" s="81"/>
      <c r="AH17" s="81"/>
      <c r="AI17" s="81"/>
      <c r="AJ17" s="81"/>
      <c r="AK17" s="81"/>
      <c r="AL17" s="81"/>
      <c r="AM17" s="81"/>
      <c r="AN17" s="81"/>
      <c r="AO17" s="81"/>
      <c r="AP17" s="81"/>
      <c r="AS17" s="81"/>
    </row>
    <row r="18" spans="2:45" x14ac:dyDescent="0.25">
      <c r="Q18" s="84"/>
      <c r="R18" s="81"/>
      <c r="S18" s="81"/>
      <c r="T18" s="81"/>
      <c r="Z18" s="81"/>
      <c r="AA18" s="81"/>
      <c r="AB18" s="81"/>
      <c r="AC18" s="81"/>
      <c r="AD18" s="81"/>
      <c r="AE18" s="81"/>
      <c r="AF18" s="81"/>
      <c r="AG18" s="81"/>
      <c r="AH18" s="81"/>
      <c r="AI18" s="81"/>
      <c r="AJ18" s="81"/>
      <c r="AK18" s="81"/>
      <c r="AL18" s="81"/>
      <c r="AM18" s="81"/>
      <c r="AN18" s="81"/>
      <c r="AO18" s="81"/>
      <c r="AP18" s="81"/>
      <c r="AS18" s="81"/>
    </row>
    <row r="19" spans="2:45" x14ac:dyDescent="0.25">
      <c r="Q19" s="84"/>
      <c r="R19" s="81"/>
      <c r="S19" s="81"/>
      <c r="T19" s="81"/>
      <c r="Z19" s="81"/>
      <c r="AA19" s="81"/>
      <c r="AB19" s="81"/>
      <c r="AC19" s="81"/>
      <c r="AD19" s="81"/>
      <c r="AE19" s="81"/>
      <c r="AF19" s="81"/>
      <c r="AG19" s="81"/>
      <c r="AH19" s="81"/>
      <c r="AI19" s="81"/>
      <c r="AJ19" s="81"/>
      <c r="AK19" s="81"/>
      <c r="AL19" s="81"/>
      <c r="AM19" s="81"/>
      <c r="AN19" s="81"/>
      <c r="AO19" s="81"/>
      <c r="AP19" s="81"/>
      <c r="AS19" s="81"/>
    </row>
    <row r="20" spans="2:45" x14ac:dyDescent="0.25">
      <c r="Q20" s="84"/>
      <c r="R20" s="81"/>
      <c r="S20" s="81"/>
      <c r="T20" s="81"/>
      <c r="Z20" s="81"/>
      <c r="AA20" s="81"/>
      <c r="AB20" s="81"/>
      <c r="AC20" s="81"/>
      <c r="AD20" s="81"/>
      <c r="AE20" s="81"/>
      <c r="AF20" s="81"/>
      <c r="AG20" s="81"/>
      <c r="AH20" s="81"/>
      <c r="AI20" s="81"/>
      <c r="AJ20" s="81"/>
      <c r="AK20" s="81"/>
      <c r="AL20" s="81"/>
      <c r="AM20" s="81"/>
      <c r="AN20" s="81"/>
      <c r="AO20" s="81"/>
      <c r="AP20" s="81"/>
      <c r="AS20" s="81"/>
    </row>
    <row r="21" spans="2:45" x14ac:dyDescent="0.25">
      <c r="Q21" s="84"/>
      <c r="R21" s="81"/>
      <c r="S21" s="81"/>
      <c r="T21" s="81"/>
      <c r="Z21" s="81"/>
      <c r="AA21" s="81"/>
      <c r="AB21" s="81"/>
      <c r="AC21" s="81"/>
      <c r="AD21" s="81"/>
      <c r="AE21" s="81"/>
      <c r="AF21" s="81"/>
      <c r="AG21" s="81"/>
      <c r="AH21" s="81"/>
      <c r="AI21" s="81"/>
      <c r="AJ21" s="81"/>
      <c r="AK21" s="81"/>
      <c r="AL21" s="81"/>
      <c r="AM21" s="81"/>
      <c r="AN21" s="81"/>
      <c r="AO21" s="81"/>
      <c r="AP21" s="81"/>
      <c r="AS21" s="81"/>
    </row>
    <row r="22" spans="2:45" x14ac:dyDescent="0.25">
      <c r="Q22" s="84"/>
      <c r="R22" s="81"/>
      <c r="S22" s="81"/>
      <c r="T22" s="81"/>
      <c r="Z22" s="81"/>
      <c r="AA22" s="81"/>
      <c r="AB22" s="81"/>
      <c r="AC22" s="81"/>
      <c r="AD22" s="81"/>
      <c r="AE22" s="81"/>
      <c r="AF22" s="81"/>
      <c r="AG22" s="81"/>
      <c r="AH22" s="81"/>
      <c r="AI22" s="81"/>
      <c r="AJ22" s="81"/>
      <c r="AK22" s="81"/>
      <c r="AL22" s="81"/>
      <c r="AM22" s="81"/>
      <c r="AN22" s="81"/>
      <c r="AO22" s="81"/>
      <c r="AP22" s="81"/>
      <c r="AS22" s="81"/>
    </row>
    <row r="23" spans="2:45" x14ac:dyDescent="0.25">
      <c r="Q23" s="84"/>
      <c r="R23" s="81"/>
      <c r="S23" s="81"/>
      <c r="T23" s="81"/>
      <c r="Z23" s="81"/>
      <c r="AA23" s="81"/>
      <c r="AB23" s="81"/>
      <c r="AC23" s="81"/>
      <c r="AD23" s="81"/>
      <c r="AE23" s="81"/>
      <c r="AF23" s="81"/>
      <c r="AG23" s="81"/>
      <c r="AH23" s="81"/>
      <c r="AI23" s="81"/>
      <c r="AJ23" s="81"/>
      <c r="AK23" s="81"/>
      <c r="AL23" s="81"/>
      <c r="AM23" s="81"/>
      <c r="AN23" s="81"/>
      <c r="AO23" s="81"/>
      <c r="AP23" s="81"/>
      <c r="AS23" s="81"/>
    </row>
    <row r="24" spans="2:45" x14ac:dyDescent="0.25">
      <c r="Q24" s="84"/>
      <c r="R24" s="81"/>
      <c r="S24" s="81"/>
      <c r="T24" s="81"/>
      <c r="Z24" s="81"/>
      <c r="AA24" s="81"/>
      <c r="AB24" s="81"/>
      <c r="AC24" s="81"/>
      <c r="AD24" s="81"/>
      <c r="AE24" s="81"/>
      <c r="AF24" s="81"/>
      <c r="AG24" s="81"/>
      <c r="AH24" s="81"/>
      <c r="AI24" s="81"/>
      <c r="AJ24" s="81"/>
      <c r="AK24" s="81"/>
      <c r="AL24" s="81"/>
      <c r="AM24" s="81"/>
      <c r="AN24" s="81"/>
      <c r="AO24" s="81"/>
      <c r="AP24" s="81"/>
      <c r="AS24" s="81"/>
    </row>
    <row r="25" spans="2:45" x14ac:dyDescent="0.25">
      <c r="B25" t="s">
        <v>154</v>
      </c>
      <c r="Q25" s="84"/>
      <c r="R25" s="81"/>
      <c r="S25" s="81"/>
      <c r="T25" s="81"/>
      <c r="Z25" s="81"/>
      <c r="AA25" s="81"/>
      <c r="AB25" s="81"/>
      <c r="AC25" s="81"/>
      <c r="AD25" s="81"/>
      <c r="AE25" s="81"/>
      <c r="AF25" s="81"/>
      <c r="AG25" s="81"/>
      <c r="AH25" s="81"/>
      <c r="AI25" s="81"/>
      <c r="AJ25" s="81"/>
      <c r="AK25" s="81"/>
      <c r="AL25" s="81"/>
      <c r="AM25" s="81"/>
      <c r="AN25" s="81"/>
      <c r="AO25" s="81"/>
      <c r="AP25" s="81"/>
      <c r="AS25" s="81"/>
    </row>
    <row r="26" spans="2:45" x14ac:dyDescent="0.25">
      <c r="B26" t="s">
        <v>153</v>
      </c>
      <c r="Q26" s="84"/>
      <c r="R26" s="81"/>
      <c r="S26" s="81"/>
      <c r="T26" s="81"/>
      <c r="Z26" s="81"/>
      <c r="AA26" s="81"/>
      <c r="AB26" s="81"/>
      <c r="AC26" s="81"/>
      <c r="AD26" s="81"/>
      <c r="AE26" s="81"/>
      <c r="AF26" s="81"/>
      <c r="AG26" s="81"/>
      <c r="AH26" s="81"/>
      <c r="AI26" s="81"/>
      <c r="AJ26" s="81"/>
      <c r="AK26" s="81"/>
      <c r="AL26" s="81"/>
      <c r="AM26" s="81"/>
      <c r="AN26" s="81"/>
      <c r="AO26" s="81"/>
      <c r="AP26" s="81"/>
      <c r="AS26" s="81"/>
    </row>
    <row r="27" spans="2:45" x14ac:dyDescent="0.25">
      <c r="Q27" s="84"/>
      <c r="R27" s="81"/>
      <c r="S27" s="81"/>
      <c r="T27" s="81"/>
      <c r="Z27" s="81"/>
      <c r="AA27" s="81"/>
      <c r="AB27" s="81"/>
      <c r="AC27" s="81"/>
      <c r="AD27" s="81"/>
      <c r="AE27" s="81"/>
      <c r="AF27" s="81"/>
      <c r="AG27" s="81"/>
      <c r="AH27" s="81"/>
      <c r="AI27" s="81"/>
      <c r="AJ27" s="81"/>
      <c r="AK27" s="81"/>
      <c r="AL27" s="81"/>
      <c r="AM27" s="81"/>
      <c r="AN27" s="81"/>
      <c r="AO27" s="81"/>
      <c r="AP27" s="81"/>
      <c r="AS27" s="81"/>
    </row>
    <row r="28" spans="2:45" x14ac:dyDescent="0.25">
      <c r="Q28" s="84"/>
      <c r="R28" s="81"/>
      <c r="S28" s="81"/>
      <c r="T28" s="81"/>
      <c r="Z28" s="81"/>
      <c r="AA28" s="81"/>
      <c r="AB28" s="81"/>
      <c r="AC28" s="81"/>
      <c r="AD28" s="81"/>
      <c r="AE28" s="81"/>
      <c r="AF28" s="81"/>
      <c r="AG28" s="81"/>
      <c r="AH28" s="81"/>
      <c r="AI28" s="81"/>
      <c r="AJ28" s="81"/>
      <c r="AK28" s="81"/>
      <c r="AL28" s="81"/>
      <c r="AM28" s="81"/>
      <c r="AN28" s="81"/>
      <c r="AO28" s="81"/>
      <c r="AP28" s="81"/>
      <c r="AS28" s="81"/>
    </row>
    <row r="29" spans="2:45" x14ac:dyDescent="0.25">
      <c r="Q29" s="84"/>
      <c r="R29" s="81"/>
      <c r="S29" s="81"/>
      <c r="T29" s="81"/>
      <c r="Z29" s="81"/>
      <c r="AA29" s="81"/>
      <c r="AB29" s="81"/>
      <c r="AC29" s="81"/>
      <c r="AD29" s="81"/>
      <c r="AE29" s="81"/>
      <c r="AF29" s="81"/>
      <c r="AG29" s="81"/>
      <c r="AH29" s="81"/>
      <c r="AI29" s="81"/>
      <c r="AJ29" s="81"/>
      <c r="AK29" s="81"/>
      <c r="AL29" s="81"/>
      <c r="AM29" s="81"/>
      <c r="AN29" s="81"/>
      <c r="AO29" s="81"/>
      <c r="AP29" s="81"/>
      <c r="AS29" s="81"/>
    </row>
    <row r="30" spans="2:45" x14ac:dyDescent="0.25">
      <c r="Q30" s="84"/>
      <c r="R30" s="81"/>
      <c r="S30" s="81"/>
      <c r="T30" s="81"/>
      <c r="Z30" s="81"/>
      <c r="AA30" s="81"/>
      <c r="AB30" s="81"/>
      <c r="AC30" s="81"/>
      <c r="AD30" s="81"/>
      <c r="AE30" s="81"/>
      <c r="AF30" s="81"/>
      <c r="AG30" s="81"/>
      <c r="AH30" s="81"/>
      <c r="AI30" s="81"/>
      <c r="AJ30" s="81"/>
      <c r="AK30" s="81"/>
      <c r="AL30" s="81"/>
      <c r="AM30" s="81"/>
      <c r="AN30" s="81"/>
      <c r="AO30" s="81"/>
      <c r="AP30" s="81"/>
      <c r="AS30" s="81"/>
    </row>
    <row r="31" spans="2:45" x14ac:dyDescent="0.25">
      <c r="Q31" s="84"/>
      <c r="R31" s="81"/>
      <c r="S31" s="81"/>
      <c r="T31" s="81"/>
      <c r="Z31" s="81"/>
      <c r="AA31" s="81"/>
      <c r="AB31" s="81"/>
      <c r="AC31" s="81"/>
      <c r="AD31" s="81"/>
      <c r="AE31" s="81"/>
      <c r="AF31" s="81"/>
      <c r="AG31" s="81"/>
      <c r="AH31" s="81"/>
      <c r="AI31" s="81"/>
      <c r="AJ31" s="81"/>
      <c r="AK31" s="81"/>
      <c r="AL31" s="81"/>
      <c r="AM31" s="81"/>
      <c r="AN31" s="81"/>
      <c r="AO31" s="81"/>
      <c r="AP31" s="81"/>
      <c r="AS31" s="81"/>
    </row>
    <row r="32" spans="2:45" x14ac:dyDescent="0.25">
      <c r="Q32" s="84"/>
      <c r="R32" s="81"/>
      <c r="S32" s="81"/>
      <c r="T32" s="81"/>
      <c r="Z32" s="81"/>
      <c r="AA32" s="81"/>
      <c r="AB32" s="81"/>
      <c r="AC32" s="81"/>
      <c r="AD32" s="81"/>
      <c r="AE32" s="81"/>
      <c r="AF32" s="81"/>
      <c r="AG32" s="81"/>
      <c r="AH32" s="81"/>
      <c r="AI32" s="81"/>
      <c r="AJ32" s="81"/>
      <c r="AK32" s="81"/>
      <c r="AL32" s="81"/>
      <c r="AM32" s="81"/>
      <c r="AN32" s="81"/>
      <c r="AO32" s="81"/>
      <c r="AP32" s="81"/>
      <c r="AS32" s="81"/>
    </row>
    <row r="33" spans="17:45" x14ac:dyDescent="0.25">
      <c r="Q33" s="84"/>
      <c r="R33" s="81"/>
      <c r="S33" s="81"/>
      <c r="T33" s="81"/>
      <c r="Z33" s="81"/>
      <c r="AA33" s="81"/>
      <c r="AB33" s="81"/>
      <c r="AC33" s="81"/>
      <c r="AD33" s="81"/>
      <c r="AE33" s="81"/>
      <c r="AF33" s="81"/>
      <c r="AG33" s="81"/>
      <c r="AH33" s="81"/>
      <c r="AI33" s="81"/>
      <c r="AJ33" s="81"/>
      <c r="AK33" s="81"/>
      <c r="AL33" s="81"/>
      <c r="AM33" s="81"/>
      <c r="AN33" s="81"/>
      <c r="AO33" s="81"/>
      <c r="AP33" s="81"/>
      <c r="AS33" s="81"/>
    </row>
    <row r="34" spans="17:45" x14ac:dyDescent="0.25">
      <c r="Q34" s="84"/>
      <c r="R34" s="81"/>
      <c r="S34" s="81"/>
      <c r="T34" s="81"/>
      <c r="Z34" s="81"/>
      <c r="AA34" s="81"/>
      <c r="AB34" s="81"/>
      <c r="AC34" s="81"/>
      <c r="AD34" s="81"/>
      <c r="AE34" s="81"/>
      <c r="AF34" s="81"/>
      <c r="AG34" s="81"/>
      <c r="AH34" s="81"/>
      <c r="AI34" s="81"/>
      <c r="AJ34" s="81"/>
      <c r="AK34" s="81"/>
      <c r="AL34" s="81"/>
      <c r="AM34" s="81"/>
      <c r="AN34" s="81"/>
      <c r="AO34" s="81"/>
      <c r="AP34" s="81"/>
      <c r="AS34" s="81"/>
    </row>
    <row r="35" spans="17:45" x14ac:dyDescent="0.25">
      <c r="Q35" s="84"/>
      <c r="R35" s="81"/>
      <c r="S35" s="81"/>
      <c r="T35" s="81"/>
      <c r="Z35" s="81"/>
      <c r="AA35" s="81"/>
      <c r="AB35" s="81"/>
      <c r="AC35" s="81"/>
      <c r="AD35" s="81"/>
      <c r="AE35" s="81"/>
      <c r="AF35" s="81"/>
      <c r="AG35" s="81"/>
      <c r="AH35" s="81"/>
      <c r="AI35" s="81"/>
      <c r="AJ35" s="81"/>
      <c r="AK35" s="81"/>
      <c r="AL35" s="81"/>
      <c r="AM35" s="81"/>
      <c r="AN35" s="81"/>
      <c r="AO35" s="81"/>
      <c r="AP35" s="81"/>
      <c r="AS35" s="81"/>
    </row>
    <row r="36" spans="17:45" x14ac:dyDescent="0.25">
      <c r="Q36" s="84"/>
      <c r="R36" s="81"/>
      <c r="S36" s="81"/>
      <c r="T36" s="81"/>
      <c r="Z36" s="81"/>
      <c r="AA36" s="81"/>
      <c r="AB36" s="81"/>
      <c r="AC36" s="81"/>
      <c r="AD36" s="81"/>
      <c r="AE36" s="81"/>
      <c r="AF36" s="81"/>
      <c r="AG36" s="81"/>
      <c r="AH36" s="81"/>
      <c r="AI36" s="81"/>
      <c r="AJ36" s="81"/>
      <c r="AK36" s="81"/>
      <c r="AL36" s="81"/>
      <c r="AM36" s="81"/>
      <c r="AN36" s="81"/>
      <c r="AO36" s="81"/>
      <c r="AP36" s="81"/>
      <c r="AS36" s="81"/>
    </row>
    <row r="37" spans="17:45" x14ac:dyDescent="0.25">
      <c r="Q37" s="84"/>
      <c r="R37" s="81"/>
      <c r="S37" s="81"/>
      <c r="T37" s="81"/>
      <c r="Z37" s="81"/>
      <c r="AA37" s="81"/>
      <c r="AB37" s="81"/>
      <c r="AC37" s="81"/>
      <c r="AD37" s="81"/>
      <c r="AE37" s="81"/>
      <c r="AF37" s="81"/>
      <c r="AG37" s="81"/>
      <c r="AH37" s="81"/>
      <c r="AI37" s="81"/>
      <c r="AJ37" s="81"/>
      <c r="AK37" s="81"/>
      <c r="AL37" s="81"/>
      <c r="AM37" s="81"/>
      <c r="AN37" s="81"/>
      <c r="AO37" s="81"/>
      <c r="AP37" s="81"/>
      <c r="AS37" s="81"/>
    </row>
    <row r="38" spans="17:45" x14ac:dyDescent="0.25">
      <c r="Q38" s="84"/>
      <c r="R38" s="81"/>
      <c r="S38" s="81"/>
      <c r="T38" s="81"/>
      <c r="Z38" s="81"/>
      <c r="AA38" s="81"/>
      <c r="AB38" s="81"/>
      <c r="AC38" s="81"/>
      <c r="AD38" s="81"/>
      <c r="AE38" s="81"/>
      <c r="AF38" s="81"/>
      <c r="AG38" s="81"/>
      <c r="AH38" s="81"/>
      <c r="AI38" s="81"/>
      <c r="AJ38" s="81"/>
      <c r="AK38" s="81"/>
      <c r="AL38" s="81"/>
      <c r="AM38" s="81"/>
      <c r="AN38" s="81"/>
      <c r="AO38" s="81"/>
      <c r="AP38" s="81"/>
      <c r="AS38" s="81"/>
    </row>
    <row r="39" spans="17:45" x14ac:dyDescent="0.25">
      <c r="Q39" s="84"/>
      <c r="R39" s="81"/>
      <c r="S39" s="81"/>
      <c r="T39" s="81"/>
      <c r="Z39" s="81"/>
      <c r="AA39" s="81"/>
      <c r="AB39" s="81"/>
      <c r="AC39" s="81"/>
      <c r="AD39" s="81"/>
      <c r="AE39" s="81"/>
      <c r="AF39" s="81"/>
      <c r="AG39" s="81"/>
      <c r="AH39" s="81"/>
      <c r="AI39" s="81"/>
      <c r="AJ39" s="81"/>
      <c r="AK39" s="81"/>
      <c r="AL39" s="81"/>
      <c r="AM39" s="81"/>
      <c r="AN39" s="81"/>
      <c r="AO39" s="81"/>
      <c r="AP39" s="81"/>
      <c r="AS39" s="81"/>
    </row>
    <row r="40" spans="17:45" x14ac:dyDescent="0.25">
      <c r="Q40" s="84"/>
      <c r="R40" s="81"/>
      <c r="S40" s="81"/>
      <c r="T40" s="81"/>
      <c r="Z40" s="81"/>
      <c r="AA40" s="81"/>
      <c r="AB40" s="81"/>
      <c r="AC40" s="81"/>
      <c r="AD40" s="81"/>
      <c r="AE40" s="81"/>
      <c r="AF40" s="81"/>
      <c r="AG40" s="81"/>
      <c r="AH40" s="81"/>
      <c r="AI40" s="81"/>
      <c r="AJ40" s="81"/>
      <c r="AK40" s="81"/>
      <c r="AL40" s="81"/>
      <c r="AM40" s="81"/>
      <c r="AN40" s="81"/>
      <c r="AO40" s="81"/>
      <c r="AP40" s="81"/>
      <c r="AS40" s="81"/>
    </row>
    <row r="41" spans="17:45" x14ac:dyDescent="0.25">
      <c r="Q41" s="84"/>
      <c r="R41" s="81"/>
      <c r="S41" s="81"/>
      <c r="T41" s="81"/>
      <c r="Z41" s="81"/>
      <c r="AA41" s="81"/>
      <c r="AB41" s="81"/>
      <c r="AC41" s="81"/>
      <c r="AD41" s="81"/>
      <c r="AE41" s="81"/>
      <c r="AF41" s="81"/>
      <c r="AG41" s="81"/>
      <c r="AH41" s="81"/>
      <c r="AI41" s="81"/>
      <c r="AJ41" s="81"/>
      <c r="AK41" s="81"/>
      <c r="AL41" s="81"/>
      <c r="AM41" s="81"/>
      <c r="AN41" s="81"/>
      <c r="AO41" s="81"/>
      <c r="AP41" s="81"/>
      <c r="AS41" s="81"/>
    </row>
    <row r="42" spans="17:45" x14ac:dyDescent="0.25">
      <c r="Q42" s="84"/>
      <c r="R42" s="81"/>
      <c r="S42" s="81"/>
      <c r="T42" s="81"/>
      <c r="Z42" s="81"/>
      <c r="AA42" s="81"/>
      <c r="AB42" s="81"/>
      <c r="AC42" s="81"/>
      <c r="AD42" s="81"/>
      <c r="AE42" s="81"/>
      <c r="AF42" s="81"/>
      <c r="AG42" s="81"/>
      <c r="AH42" s="81"/>
      <c r="AI42" s="81"/>
      <c r="AJ42" s="81"/>
      <c r="AK42" s="81"/>
      <c r="AL42" s="81"/>
      <c r="AM42" s="81"/>
      <c r="AN42" s="81"/>
      <c r="AO42" s="81"/>
      <c r="AP42" s="81"/>
      <c r="AS42" s="81"/>
    </row>
    <row r="43" spans="17:45" x14ac:dyDescent="0.25">
      <c r="Q43" s="84"/>
      <c r="R43" s="81"/>
      <c r="S43" s="81"/>
      <c r="T43" s="81"/>
      <c r="Z43" s="81"/>
      <c r="AA43" s="81"/>
      <c r="AB43" s="81"/>
      <c r="AC43" s="81"/>
      <c r="AD43" s="81"/>
      <c r="AE43" s="81"/>
      <c r="AF43" s="81"/>
      <c r="AG43" s="81"/>
      <c r="AH43" s="81"/>
      <c r="AI43" s="81"/>
      <c r="AJ43" s="81"/>
      <c r="AK43" s="81"/>
      <c r="AL43" s="81"/>
      <c r="AM43" s="81"/>
      <c r="AN43" s="81"/>
      <c r="AO43" s="81"/>
      <c r="AP43" s="81"/>
      <c r="AS43" s="81"/>
    </row>
    <row r="44" spans="17:45" x14ac:dyDescent="0.25">
      <c r="Q44" s="84"/>
      <c r="R44" s="81"/>
      <c r="S44" s="81"/>
      <c r="T44" s="81"/>
      <c r="Z44" s="81"/>
      <c r="AA44" s="81"/>
      <c r="AB44" s="81"/>
      <c r="AC44" s="81"/>
      <c r="AD44" s="81"/>
      <c r="AE44" s="81"/>
      <c r="AF44" s="81"/>
      <c r="AG44" s="81"/>
      <c r="AH44" s="81"/>
      <c r="AI44" s="81"/>
      <c r="AJ44" s="81"/>
      <c r="AK44" s="81"/>
      <c r="AL44" s="81"/>
      <c r="AM44" s="81"/>
      <c r="AN44" s="81"/>
      <c r="AO44" s="81"/>
      <c r="AP44" s="81"/>
      <c r="AS44" s="81"/>
    </row>
    <row r="45" spans="17:45" x14ac:dyDescent="0.25">
      <c r="Q45" s="84"/>
      <c r="R45" s="81"/>
      <c r="S45" s="81"/>
      <c r="T45" s="81"/>
      <c r="Z45" s="81"/>
      <c r="AA45" s="81"/>
      <c r="AB45" s="81"/>
      <c r="AC45" s="81"/>
      <c r="AD45" s="81"/>
      <c r="AE45" s="81"/>
      <c r="AF45" s="81"/>
      <c r="AG45" s="81"/>
      <c r="AH45" s="81"/>
      <c r="AI45" s="81"/>
      <c r="AJ45" s="81"/>
      <c r="AK45" s="81"/>
      <c r="AL45" s="81"/>
      <c r="AM45" s="81"/>
      <c r="AN45" s="81"/>
      <c r="AO45" s="81"/>
      <c r="AP45" s="81"/>
      <c r="AS45" s="81"/>
    </row>
    <row r="46" spans="17:45" x14ac:dyDescent="0.25">
      <c r="Q46" s="84"/>
      <c r="R46" s="81"/>
      <c r="S46" s="81"/>
      <c r="T46" s="81"/>
      <c r="Z46" s="81"/>
      <c r="AA46" s="81"/>
      <c r="AB46" s="81"/>
      <c r="AC46" s="81"/>
      <c r="AD46" s="81"/>
      <c r="AE46" s="81"/>
      <c r="AF46" s="81"/>
      <c r="AG46" s="81"/>
      <c r="AH46" s="81"/>
      <c r="AI46" s="81"/>
      <c r="AJ46" s="81"/>
      <c r="AK46" s="81"/>
      <c r="AL46" s="81"/>
      <c r="AM46" s="81"/>
      <c r="AN46" s="81"/>
      <c r="AO46" s="81"/>
      <c r="AP46" s="81"/>
      <c r="AS46" s="81"/>
    </row>
    <row r="47" spans="17:45" x14ac:dyDescent="0.25">
      <c r="Q47" s="84"/>
      <c r="R47" s="81"/>
      <c r="S47" s="81"/>
      <c r="T47" s="81"/>
      <c r="Z47" s="81"/>
      <c r="AA47" s="81"/>
      <c r="AB47" s="81"/>
      <c r="AC47" s="81"/>
      <c r="AD47" s="81"/>
      <c r="AE47" s="81"/>
      <c r="AF47" s="81"/>
      <c r="AG47" s="81"/>
      <c r="AH47" s="81"/>
      <c r="AI47" s="81"/>
      <c r="AJ47" s="81"/>
      <c r="AK47" s="81"/>
      <c r="AL47" s="81"/>
      <c r="AM47" s="81"/>
      <c r="AN47" s="81"/>
      <c r="AO47" s="81"/>
      <c r="AP47" s="81"/>
      <c r="AS47" s="81"/>
    </row>
    <row r="48" spans="17:45" x14ac:dyDescent="0.25">
      <c r="Q48" s="84"/>
      <c r="R48" s="81"/>
      <c r="S48" s="81"/>
      <c r="T48" s="81"/>
      <c r="Z48" s="81"/>
      <c r="AA48" s="81"/>
      <c r="AB48" s="81"/>
      <c r="AC48" s="81"/>
      <c r="AD48" s="81"/>
      <c r="AE48" s="81"/>
      <c r="AF48" s="81"/>
      <c r="AG48" s="81"/>
      <c r="AH48" s="81"/>
      <c r="AI48" s="81"/>
      <c r="AJ48" s="81"/>
      <c r="AK48" s="81"/>
      <c r="AL48" s="81"/>
      <c r="AM48" s="81"/>
      <c r="AN48" s="81"/>
      <c r="AO48" s="81"/>
      <c r="AP48" s="81"/>
      <c r="AS48" s="81"/>
    </row>
    <row r="49" spans="17:45" x14ac:dyDescent="0.25">
      <c r="Q49" s="84"/>
      <c r="R49" s="81"/>
      <c r="S49" s="81"/>
      <c r="T49" s="81"/>
      <c r="Z49" s="81"/>
      <c r="AA49" s="81"/>
      <c r="AB49" s="81"/>
      <c r="AC49" s="81"/>
      <c r="AD49" s="81"/>
      <c r="AE49" s="81"/>
      <c r="AF49" s="81"/>
      <c r="AG49" s="81"/>
      <c r="AH49" s="81"/>
      <c r="AI49" s="81"/>
      <c r="AJ49" s="81"/>
      <c r="AK49" s="81"/>
      <c r="AL49" s="81"/>
      <c r="AM49" s="81"/>
      <c r="AN49" s="81"/>
      <c r="AO49" s="81"/>
      <c r="AP49" s="81"/>
      <c r="AS49" s="81"/>
    </row>
    <row r="50" spans="17:45" x14ac:dyDescent="0.25">
      <c r="Q50" s="84"/>
      <c r="R50" s="81"/>
      <c r="S50" s="81"/>
      <c r="T50" s="81"/>
      <c r="Z50" s="81"/>
      <c r="AA50" s="81"/>
      <c r="AB50" s="81"/>
      <c r="AC50" s="81"/>
      <c r="AD50" s="81"/>
      <c r="AE50" s="81"/>
      <c r="AF50" s="81"/>
      <c r="AG50" s="81"/>
      <c r="AH50" s="81"/>
      <c r="AI50" s="81"/>
      <c r="AJ50" s="81"/>
      <c r="AK50" s="81"/>
      <c r="AL50" s="81"/>
      <c r="AM50" s="81"/>
      <c r="AN50" s="81"/>
      <c r="AO50" s="81"/>
      <c r="AP50" s="81"/>
      <c r="AS50" s="81"/>
    </row>
    <row r="51" spans="17:45" x14ac:dyDescent="0.25">
      <c r="Q51" s="84"/>
      <c r="R51" s="81"/>
      <c r="S51" s="81"/>
      <c r="T51" s="81"/>
      <c r="Z51" s="81"/>
      <c r="AA51" s="81"/>
      <c r="AB51" s="81"/>
      <c r="AC51" s="81"/>
      <c r="AD51" s="81"/>
      <c r="AE51" s="81"/>
      <c r="AF51" s="81"/>
      <c r="AG51" s="81"/>
      <c r="AH51" s="81"/>
      <c r="AI51" s="81"/>
      <c r="AJ51" s="81"/>
      <c r="AK51" s="81"/>
      <c r="AL51" s="81"/>
      <c r="AM51" s="81"/>
      <c r="AN51" s="81"/>
      <c r="AO51" s="81"/>
      <c r="AP51" s="81"/>
      <c r="AS51" s="81"/>
    </row>
    <row r="52" spans="17:45" x14ac:dyDescent="0.25">
      <c r="Q52" s="84"/>
      <c r="R52" s="81"/>
      <c r="S52" s="81"/>
      <c r="T52" s="81"/>
      <c r="Z52" s="81"/>
      <c r="AA52" s="81"/>
      <c r="AB52" s="81"/>
      <c r="AC52" s="81"/>
      <c r="AD52" s="81"/>
      <c r="AE52" s="81"/>
      <c r="AF52" s="81"/>
      <c r="AG52" s="81"/>
      <c r="AH52" s="81"/>
      <c r="AI52" s="81"/>
      <c r="AJ52" s="81"/>
      <c r="AK52" s="81"/>
      <c r="AL52" s="81"/>
      <c r="AM52" s="81"/>
      <c r="AN52" s="81"/>
      <c r="AO52" s="81"/>
      <c r="AP52" s="81"/>
      <c r="AS52" s="81"/>
    </row>
    <row r="53" spans="17:45" x14ac:dyDescent="0.25">
      <c r="Q53" s="84"/>
      <c r="R53" s="81"/>
      <c r="S53" s="81"/>
      <c r="T53" s="81"/>
      <c r="Z53" s="81"/>
      <c r="AA53" s="81"/>
      <c r="AB53" s="81"/>
      <c r="AC53" s="81"/>
      <c r="AD53" s="81"/>
      <c r="AE53" s="81"/>
      <c r="AF53" s="81"/>
      <c r="AG53" s="81"/>
      <c r="AH53" s="81"/>
      <c r="AI53" s="81"/>
      <c r="AJ53" s="81"/>
      <c r="AK53" s="81"/>
      <c r="AL53" s="81"/>
      <c r="AM53" s="81"/>
      <c r="AN53" s="81"/>
      <c r="AO53" s="81"/>
      <c r="AP53" s="81"/>
      <c r="AS53" s="81"/>
    </row>
    <row r="54" spans="17:45" x14ac:dyDescent="0.25">
      <c r="Q54" s="84"/>
      <c r="R54" s="81"/>
      <c r="S54" s="81"/>
      <c r="T54" s="81"/>
      <c r="Z54" s="81"/>
      <c r="AA54" s="81"/>
      <c r="AB54" s="81"/>
      <c r="AC54" s="81"/>
      <c r="AD54" s="81"/>
      <c r="AE54" s="81"/>
      <c r="AF54" s="81"/>
      <c r="AG54" s="81"/>
      <c r="AH54" s="81"/>
      <c r="AI54" s="81"/>
      <c r="AJ54" s="81"/>
      <c r="AK54" s="81"/>
      <c r="AL54" s="81"/>
      <c r="AM54" s="81"/>
      <c r="AN54" s="81"/>
      <c r="AO54" s="81"/>
      <c r="AP54" s="81"/>
      <c r="AS54" s="81"/>
    </row>
    <row r="55" spans="17:45" x14ac:dyDescent="0.25">
      <c r="Q55" s="84"/>
      <c r="R55" s="81"/>
      <c r="S55" s="81"/>
      <c r="T55" s="81"/>
      <c r="Z55" s="81"/>
      <c r="AA55" s="81"/>
      <c r="AB55" s="81"/>
      <c r="AC55" s="81"/>
      <c r="AD55" s="81"/>
      <c r="AE55" s="81"/>
      <c r="AF55" s="81"/>
      <c r="AG55" s="81"/>
      <c r="AH55" s="81"/>
      <c r="AI55" s="81"/>
      <c r="AJ55" s="81"/>
      <c r="AK55" s="81"/>
      <c r="AL55" s="81"/>
      <c r="AM55" s="81"/>
      <c r="AN55" s="81"/>
      <c r="AO55" s="81"/>
      <c r="AP55" s="81"/>
      <c r="AS55" s="81"/>
    </row>
    <row r="56" spans="17:45" x14ac:dyDescent="0.25">
      <c r="Q56" s="84"/>
      <c r="R56" s="81"/>
      <c r="S56" s="81"/>
      <c r="T56" s="81"/>
      <c r="Z56" s="81"/>
      <c r="AA56" s="81"/>
      <c r="AB56" s="81"/>
      <c r="AC56" s="81"/>
      <c r="AD56" s="81"/>
      <c r="AE56" s="81"/>
      <c r="AF56" s="81"/>
      <c r="AG56" s="81"/>
      <c r="AH56" s="81"/>
      <c r="AI56" s="81"/>
      <c r="AJ56" s="81"/>
      <c r="AK56" s="81"/>
      <c r="AL56" s="81"/>
      <c r="AM56" s="81"/>
      <c r="AN56" s="81"/>
      <c r="AO56" s="81"/>
      <c r="AP56" s="81"/>
      <c r="AS56" s="81"/>
    </row>
    <row r="57" spans="17:45" x14ac:dyDescent="0.25">
      <c r="Q57" s="84"/>
      <c r="R57" s="81"/>
      <c r="S57" s="81"/>
      <c r="T57" s="81"/>
      <c r="Z57" s="81"/>
      <c r="AA57" s="81"/>
      <c r="AB57" s="81"/>
      <c r="AC57" s="81"/>
      <c r="AD57" s="81"/>
      <c r="AE57" s="81"/>
      <c r="AF57" s="81"/>
      <c r="AG57" s="81"/>
      <c r="AH57" s="81"/>
      <c r="AI57" s="81"/>
      <c r="AJ57" s="81"/>
      <c r="AK57" s="81"/>
      <c r="AL57" s="81"/>
      <c r="AM57" s="81"/>
      <c r="AN57" s="81"/>
      <c r="AO57" s="81"/>
      <c r="AP57" s="81"/>
      <c r="AS57" s="81"/>
    </row>
    <row r="58" spans="17:45" x14ac:dyDescent="0.25">
      <c r="Q58" s="84"/>
      <c r="R58" s="81"/>
      <c r="S58" s="81"/>
      <c r="T58" s="81"/>
      <c r="Z58" s="81"/>
      <c r="AA58" s="81"/>
      <c r="AB58" s="81"/>
      <c r="AC58" s="81"/>
      <c r="AD58" s="81"/>
      <c r="AE58" s="81"/>
      <c r="AF58" s="81"/>
      <c r="AG58" s="81"/>
      <c r="AH58" s="81"/>
      <c r="AI58" s="81"/>
      <c r="AJ58" s="81"/>
      <c r="AK58" s="81"/>
      <c r="AL58" s="81"/>
      <c r="AM58" s="81"/>
      <c r="AN58" s="81"/>
      <c r="AO58" s="81"/>
      <c r="AP58" s="81"/>
      <c r="AS58" s="81"/>
    </row>
    <row r="59" spans="17:45" x14ac:dyDescent="0.25">
      <c r="Q59" s="84"/>
      <c r="R59" s="81"/>
      <c r="S59" s="81"/>
      <c r="T59" s="81"/>
      <c r="Z59" s="81"/>
      <c r="AA59" s="81"/>
      <c r="AB59" s="81"/>
      <c r="AC59" s="81"/>
      <c r="AD59" s="81"/>
      <c r="AE59" s="81"/>
      <c r="AF59" s="81"/>
      <c r="AG59" s="81"/>
      <c r="AH59" s="81"/>
      <c r="AI59" s="81"/>
      <c r="AJ59" s="81"/>
      <c r="AK59" s="81"/>
      <c r="AL59" s="81"/>
      <c r="AM59" s="81"/>
      <c r="AN59" s="81"/>
      <c r="AO59" s="81"/>
      <c r="AP59" s="81"/>
      <c r="AS59" s="81"/>
    </row>
    <row r="60" spans="17:45" x14ac:dyDescent="0.25">
      <c r="Q60" s="84"/>
      <c r="R60" s="81"/>
      <c r="S60" s="81"/>
      <c r="T60" s="81"/>
      <c r="Z60" s="81"/>
      <c r="AA60" s="81"/>
      <c r="AB60" s="81"/>
      <c r="AC60" s="81"/>
      <c r="AD60" s="81"/>
      <c r="AE60" s="81"/>
      <c r="AF60" s="81"/>
      <c r="AG60" s="81"/>
      <c r="AH60" s="81"/>
      <c r="AI60" s="81"/>
      <c r="AJ60" s="81"/>
      <c r="AK60" s="81"/>
      <c r="AL60" s="81"/>
      <c r="AM60" s="81"/>
      <c r="AN60" s="81"/>
      <c r="AO60" s="81"/>
      <c r="AP60" s="81"/>
      <c r="AS60" s="81"/>
    </row>
    <row r="61" spans="17:45" x14ac:dyDescent="0.25">
      <c r="Q61" s="84"/>
      <c r="R61" s="81"/>
      <c r="S61" s="81"/>
      <c r="T61" s="81"/>
      <c r="Z61" s="81"/>
      <c r="AA61" s="81"/>
      <c r="AB61" s="81"/>
      <c r="AC61" s="81"/>
      <c r="AD61" s="81"/>
      <c r="AE61" s="81"/>
      <c r="AF61" s="81"/>
      <c r="AG61" s="81"/>
      <c r="AH61" s="81"/>
      <c r="AI61" s="81"/>
      <c r="AJ61" s="81"/>
      <c r="AK61" s="81"/>
      <c r="AL61" s="81"/>
      <c r="AM61" s="81"/>
      <c r="AN61" s="81"/>
      <c r="AO61" s="81"/>
      <c r="AP61" s="81"/>
      <c r="AS61" s="81"/>
    </row>
    <row r="62" spans="17:45" x14ac:dyDescent="0.25">
      <c r="Q62" s="84"/>
      <c r="R62" s="81"/>
      <c r="S62" s="81"/>
      <c r="T62" s="81"/>
      <c r="Z62" s="81"/>
      <c r="AA62" s="81"/>
      <c r="AB62" s="81"/>
      <c r="AC62" s="81"/>
      <c r="AD62" s="81"/>
      <c r="AE62" s="81"/>
      <c r="AF62" s="81"/>
      <c r="AG62" s="81"/>
      <c r="AH62" s="81"/>
      <c r="AI62" s="81"/>
      <c r="AJ62" s="81"/>
      <c r="AK62" s="81"/>
      <c r="AL62" s="81"/>
      <c r="AM62" s="81"/>
      <c r="AN62" s="81"/>
      <c r="AO62" s="81"/>
      <c r="AP62" s="81"/>
      <c r="AS62" s="81"/>
    </row>
    <row r="63" spans="17:45" x14ac:dyDescent="0.25">
      <c r="Q63" s="84"/>
      <c r="R63" s="81"/>
      <c r="S63" s="81"/>
      <c r="T63" s="81"/>
      <c r="Z63" s="81"/>
      <c r="AA63" s="81"/>
      <c r="AB63" s="81"/>
      <c r="AC63" s="81"/>
      <c r="AD63" s="81"/>
      <c r="AE63" s="81"/>
      <c r="AF63" s="81"/>
      <c r="AG63" s="81"/>
      <c r="AH63" s="81"/>
      <c r="AI63" s="81"/>
      <c r="AJ63" s="81"/>
      <c r="AK63" s="81"/>
      <c r="AL63" s="81"/>
      <c r="AM63" s="81"/>
      <c r="AN63" s="81"/>
      <c r="AO63" s="81"/>
      <c r="AP63" s="81"/>
      <c r="AS63" s="81"/>
    </row>
    <row r="64" spans="17:45" x14ac:dyDescent="0.25">
      <c r="Q64" s="84"/>
      <c r="R64" s="81"/>
      <c r="S64" s="81"/>
      <c r="T64" s="81"/>
      <c r="Z64" s="81"/>
      <c r="AA64" s="81"/>
      <c r="AB64" s="81"/>
      <c r="AC64" s="81"/>
      <c r="AD64" s="81"/>
      <c r="AE64" s="81"/>
      <c r="AF64" s="81"/>
      <c r="AG64" s="81"/>
      <c r="AH64" s="81"/>
      <c r="AI64" s="81"/>
      <c r="AJ64" s="81"/>
      <c r="AK64" s="81"/>
      <c r="AL64" s="81"/>
      <c r="AM64" s="81"/>
      <c r="AN64" s="81"/>
      <c r="AO64" s="81"/>
      <c r="AP64" s="81"/>
      <c r="AS64" s="81"/>
    </row>
    <row r="65" spans="17:45" x14ac:dyDescent="0.25">
      <c r="Q65" s="84"/>
      <c r="R65" s="81"/>
      <c r="S65" s="81"/>
      <c r="T65" s="81"/>
      <c r="Z65" s="81"/>
      <c r="AA65" s="81"/>
      <c r="AB65" s="81"/>
      <c r="AC65" s="81"/>
      <c r="AD65" s="81"/>
      <c r="AE65" s="81"/>
      <c r="AF65" s="81"/>
      <c r="AG65" s="81"/>
      <c r="AH65" s="81"/>
      <c r="AI65" s="81"/>
      <c r="AJ65" s="81"/>
      <c r="AK65" s="81"/>
      <c r="AL65" s="81"/>
      <c r="AM65" s="81"/>
      <c r="AN65" s="81"/>
      <c r="AO65" s="81"/>
      <c r="AP65" s="81"/>
      <c r="AS65" s="81"/>
    </row>
    <row r="66" spans="17:45" x14ac:dyDescent="0.25">
      <c r="Q66" s="84"/>
      <c r="R66" s="81"/>
      <c r="S66" s="81"/>
      <c r="T66" s="81"/>
      <c r="Z66" s="81"/>
      <c r="AA66" s="81"/>
      <c r="AB66" s="81"/>
      <c r="AC66" s="81"/>
      <c r="AD66" s="81"/>
      <c r="AE66" s="81"/>
      <c r="AF66" s="81"/>
      <c r="AG66" s="81"/>
      <c r="AH66" s="81"/>
      <c r="AI66" s="81"/>
      <c r="AJ66" s="81"/>
      <c r="AK66" s="81"/>
      <c r="AL66" s="81"/>
      <c r="AM66" s="81"/>
      <c r="AN66" s="81"/>
      <c r="AO66" s="81"/>
      <c r="AP66" s="81"/>
      <c r="AS66" s="81"/>
    </row>
    <row r="67" spans="17:45" x14ac:dyDescent="0.25">
      <c r="Q67" s="84"/>
      <c r="R67" s="81"/>
      <c r="S67" s="81"/>
      <c r="T67" s="81"/>
      <c r="Z67" s="81"/>
      <c r="AA67" s="81"/>
      <c r="AB67" s="81"/>
      <c r="AC67" s="81"/>
      <c r="AD67" s="81"/>
      <c r="AE67" s="81"/>
      <c r="AF67" s="81"/>
      <c r="AG67" s="81"/>
      <c r="AH67" s="81"/>
      <c r="AI67" s="81"/>
      <c r="AJ67" s="81"/>
      <c r="AK67" s="81"/>
      <c r="AL67" s="81"/>
      <c r="AM67" s="81"/>
      <c r="AN67" s="81"/>
      <c r="AO67" s="81"/>
      <c r="AP67" s="81"/>
      <c r="AS67" s="81"/>
    </row>
    <row r="68" spans="17:45" x14ac:dyDescent="0.25">
      <c r="Q68" s="84"/>
      <c r="R68" s="81"/>
      <c r="S68" s="81"/>
      <c r="T68" s="81"/>
      <c r="Z68" s="81"/>
      <c r="AA68" s="81"/>
      <c r="AB68" s="81"/>
      <c r="AC68" s="81"/>
      <c r="AD68" s="81"/>
      <c r="AE68" s="81"/>
      <c r="AF68" s="81"/>
      <c r="AG68" s="81"/>
      <c r="AH68" s="81"/>
      <c r="AI68" s="81"/>
      <c r="AJ68" s="81"/>
      <c r="AK68" s="81"/>
      <c r="AL68" s="81"/>
      <c r="AM68" s="81"/>
      <c r="AN68" s="81"/>
      <c r="AO68" s="81"/>
      <c r="AP68" s="81"/>
      <c r="AS68" s="81"/>
    </row>
    <row r="69" spans="17:45" x14ac:dyDescent="0.25">
      <c r="Q69" s="84"/>
      <c r="R69" s="81"/>
      <c r="S69" s="81"/>
      <c r="T69" s="81"/>
      <c r="Z69" s="81"/>
      <c r="AA69" s="81"/>
      <c r="AB69" s="81"/>
      <c r="AC69" s="81"/>
      <c r="AD69" s="81"/>
      <c r="AE69" s="81"/>
      <c r="AF69" s="81"/>
      <c r="AG69" s="81"/>
      <c r="AH69" s="81"/>
      <c r="AI69" s="81"/>
      <c r="AJ69" s="81"/>
      <c r="AK69" s="81"/>
      <c r="AL69" s="81"/>
      <c r="AM69" s="81"/>
      <c r="AN69" s="81"/>
      <c r="AO69" s="81"/>
      <c r="AP69" s="81"/>
      <c r="AS69" s="81"/>
    </row>
    <row r="70" spans="17:45" x14ac:dyDescent="0.25">
      <c r="Q70" s="84"/>
      <c r="R70" s="81"/>
      <c r="S70" s="81"/>
      <c r="T70" s="81"/>
      <c r="Z70" s="81"/>
      <c r="AA70" s="81"/>
      <c r="AB70" s="81"/>
      <c r="AC70" s="81"/>
      <c r="AD70" s="81"/>
      <c r="AE70" s="81"/>
      <c r="AF70" s="81"/>
      <c r="AG70" s="81"/>
      <c r="AH70" s="81"/>
      <c r="AI70" s="81"/>
      <c r="AJ70" s="81"/>
      <c r="AK70" s="81"/>
      <c r="AL70" s="81"/>
      <c r="AM70" s="81"/>
      <c r="AN70" s="81"/>
      <c r="AO70" s="81"/>
      <c r="AP70" s="81"/>
      <c r="AS70" s="81"/>
    </row>
    <row r="71" spans="17:45" x14ac:dyDescent="0.25">
      <c r="Q71" s="84"/>
      <c r="R71" s="81"/>
      <c r="S71" s="81"/>
      <c r="T71" s="81"/>
      <c r="Z71" s="81"/>
      <c r="AA71" s="81"/>
      <c r="AB71" s="81"/>
      <c r="AC71" s="81"/>
      <c r="AD71" s="81"/>
      <c r="AE71" s="81"/>
      <c r="AF71" s="81"/>
      <c r="AG71" s="81"/>
      <c r="AH71" s="81"/>
      <c r="AI71" s="81"/>
      <c r="AJ71" s="81"/>
      <c r="AK71" s="81"/>
      <c r="AL71" s="81"/>
      <c r="AM71" s="81"/>
      <c r="AN71" s="81"/>
      <c r="AO71" s="81"/>
      <c r="AP71" s="81"/>
      <c r="AS71" s="81"/>
    </row>
    <row r="72" spans="17:45" x14ac:dyDescent="0.25">
      <c r="Q72" s="84"/>
      <c r="R72" s="81"/>
      <c r="S72" s="81"/>
      <c r="T72" s="81"/>
      <c r="Z72" s="81"/>
      <c r="AA72" s="81"/>
      <c r="AB72" s="81"/>
      <c r="AC72" s="81"/>
      <c r="AD72" s="81"/>
      <c r="AE72" s="81"/>
      <c r="AF72" s="81"/>
      <c r="AG72" s="81"/>
      <c r="AH72" s="81"/>
      <c r="AI72" s="81"/>
      <c r="AJ72" s="81"/>
      <c r="AK72" s="81"/>
      <c r="AL72" s="81"/>
      <c r="AM72" s="81"/>
      <c r="AN72" s="81"/>
      <c r="AO72" s="81"/>
      <c r="AP72" s="81"/>
      <c r="AS72" s="81"/>
    </row>
    <row r="73" spans="17:45" x14ac:dyDescent="0.25">
      <c r="Q73" s="84"/>
      <c r="R73" s="81"/>
      <c r="S73" s="81"/>
      <c r="T73" s="81"/>
      <c r="Z73" s="81"/>
      <c r="AA73" s="81"/>
      <c r="AB73" s="81"/>
      <c r="AC73" s="81"/>
      <c r="AD73" s="81"/>
      <c r="AE73" s="81"/>
      <c r="AF73" s="81"/>
      <c r="AG73" s="81"/>
      <c r="AH73" s="81"/>
      <c r="AI73" s="81"/>
      <c r="AJ73" s="81"/>
      <c r="AK73" s="81"/>
      <c r="AL73" s="81"/>
      <c r="AM73" s="81"/>
      <c r="AN73" s="81"/>
      <c r="AO73" s="81"/>
      <c r="AP73" s="81"/>
      <c r="AS73" s="81"/>
    </row>
    <row r="74" spans="17:45" x14ac:dyDescent="0.25">
      <c r="Q74" s="84"/>
      <c r="R74" s="81"/>
      <c r="S74" s="81"/>
      <c r="T74" s="81"/>
      <c r="Z74" s="81"/>
      <c r="AA74" s="81"/>
      <c r="AB74" s="81"/>
      <c r="AC74" s="81"/>
      <c r="AD74" s="81"/>
      <c r="AE74" s="81"/>
      <c r="AF74" s="81"/>
      <c r="AG74" s="81"/>
      <c r="AH74" s="81"/>
      <c r="AI74" s="81"/>
      <c r="AJ74" s="81"/>
      <c r="AK74" s="81"/>
      <c r="AL74" s="81"/>
      <c r="AM74" s="81"/>
      <c r="AN74" s="81"/>
      <c r="AO74" s="81"/>
      <c r="AP74" s="81"/>
      <c r="AS74" s="81"/>
    </row>
    <row r="75" spans="17:45" x14ac:dyDescent="0.25">
      <c r="Q75" s="84"/>
      <c r="R75" s="81"/>
      <c r="S75" s="81"/>
      <c r="T75" s="81"/>
      <c r="Z75" s="81"/>
      <c r="AA75" s="81"/>
      <c r="AB75" s="81"/>
      <c r="AC75" s="81"/>
      <c r="AD75" s="81"/>
      <c r="AE75" s="81"/>
      <c r="AF75" s="81"/>
      <c r="AG75" s="81"/>
      <c r="AH75" s="81"/>
      <c r="AI75" s="81"/>
      <c r="AJ75" s="81"/>
      <c r="AK75" s="81"/>
      <c r="AL75" s="81"/>
      <c r="AM75" s="81"/>
      <c r="AN75" s="81"/>
      <c r="AO75" s="81"/>
      <c r="AP75" s="81"/>
      <c r="AS75" s="81"/>
    </row>
    <row r="76" spans="17:45" x14ac:dyDescent="0.25">
      <c r="Q76" s="84"/>
      <c r="R76" s="81"/>
      <c r="S76" s="81"/>
      <c r="T76" s="81"/>
      <c r="Z76" s="81"/>
      <c r="AA76" s="81"/>
      <c r="AB76" s="81"/>
      <c r="AC76" s="81"/>
      <c r="AD76" s="81"/>
      <c r="AE76" s="81"/>
      <c r="AF76" s="81"/>
      <c r="AG76" s="81"/>
      <c r="AH76" s="81"/>
      <c r="AI76" s="81"/>
      <c r="AJ76" s="81"/>
      <c r="AK76" s="81"/>
      <c r="AL76" s="81"/>
      <c r="AM76" s="81"/>
      <c r="AN76" s="81"/>
      <c r="AO76" s="81"/>
      <c r="AP76" s="81"/>
      <c r="AS76" s="81"/>
    </row>
    <row r="77" spans="17:45" x14ac:dyDescent="0.25">
      <c r="Q77" s="84"/>
      <c r="R77" s="81"/>
      <c r="S77" s="81"/>
      <c r="T77" s="81"/>
      <c r="Z77" s="81"/>
      <c r="AA77" s="81"/>
      <c r="AB77" s="81"/>
      <c r="AC77" s="81"/>
      <c r="AD77" s="81"/>
      <c r="AE77" s="81"/>
      <c r="AF77" s="81"/>
      <c r="AG77" s="81"/>
      <c r="AH77" s="81"/>
      <c r="AI77" s="81"/>
      <c r="AJ77" s="81"/>
      <c r="AK77" s="81"/>
      <c r="AL77" s="81"/>
      <c r="AM77" s="81"/>
      <c r="AN77" s="81"/>
      <c r="AO77" s="81"/>
      <c r="AP77" s="81"/>
      <c r="AS77" s="81"/>
    </row>
    <row r="78" spans="17:45" x14ac:dyDescent="0.25">
      <c r="Q78" s="84"/>
      <c r="R78" s="81"/>
      <c r="S78" s="81"/>
      <c r="T78" s="81"/>
      <c r="Z78" s="81"/>
      <c r="AA78" s="81"/>
      <c r="AB78" s="81"/>
      <c r="AC78" s="81"/>
      <c r="AD78" s="81"/>
      <c r="AE78" s="81"/>
      <c r="AF78" s="81"/>
      <c r="AG78" s="81"/>
      <c r="AH78" s="81"/>
      <c r="AI78" s="81"/>
      <c r="AJ78" s="81"/>
      <c r="AK78" s="81"/>
      <c r="AL78" s="81"/>
      <c r="AM78" s="81"/>
      <c r="AN78" s="81"/>
      <c r="AO78" s="81"/>
      <c r="AP78" s="81"/>
      <c r="AS78" s="81"/>
    </row>
    <row r="79" spans="17:45" x14ac:dyDescent="0.25">
      <c r="Q79" s="84"/>
      <c r="R79" s="81"/>
      <c r="S79" s="81"/>
      <c r="T79" s="81"/>
      <c r="Z79" s="81"/>
      <c r="AA79" s="81"/>
      <c r="AB79" s="81"/>
      <c r="AC79" s="81"/>
      <c r="AD79" s="81"/>
      <c r="AE79" s="81"/>
      <c r="AF79" s="81"/>
      <c r="AG79" s="81"/>
      <c r="AH79" s="81"/>
      <c r="AI79" s="81"/>
      <c r="AJ79" s="81"/>
      <c r="AK79" s="81"/>
      <c r="AL79" s="81"/>
      <c r="AM79" s="81"/>
      <c r="AN79" s="81"/>
      <c r="AO79" s="81"/>
      <c r="AP79" s="81"/>
      <c r="AS79" s="81"/>
    </row>
    <row r="80" spans="17:45" x14ac:dyDescent="0.25">
      <c r="Q80" s="84"/>
      <c r="R80" s="81"/>
      <c r="S80" s="81"/>
      <c r="T80" s="81"/>
      <c r="Z80" s="81"/>
      <c r="AA80" s="81"/>
      <c r="AB80" s="81"/>
      <c r="AC80" s="81"/>
      <c r="AD80" s="81"/>
      <c r="AE80" s="81"/>
      <c r="AF80" s="81"/>
      <c r="AG80" s="81"/>
      <c r="AH80" s="81"/>
      <c r="AI80" s="81"/>
      <c r="AJ80" s="81"/>
      <c r="AK80" s="81"/>
      <c r="AL80" s="81"/>
      <c r="AM80" s="81"/>
      <c r="AN80" s="81"/>
      <c r="AO80" s="81"/>
      <c r="AP80" s="81"/>
      <c r="AS80" s="81"/>
    </row>
    <row r="81" spans="17:45" x14ac:dyDescent="0.25">
      <c r="Q81" s="84"/>
      <c r="R81" s="81"/>
      <c r="S81" s="81"/>
      <c r="T81" s="81"/>
      <c r="Z81" s="81"/>
      <c r="AA81" s="81"/>
      <c r="AB81" s="81"/>
      <c r="AC81" s="81"/>
      <c r="AD81" s="81"/>
      <c r="AE81" s="81"/>
      <c r="AF81" s="81"/>
      <c r="AG81" s="81"/>
      <c r="AH81" s="81"/>
      <c r="AI81" s="81"/>
      <c r="AJ81" s="81"/>
      <c r="AK81" s="81"/>
      <c r="AL81" s="81"/>
      <c r="AM81" s="81"/>
      <c r="AN81" s="81"/>
      <c r="AO81" s="81"/>
      <c r="AP81" s="81"/>
      <c r="AS81" s="81"/>
    </row>
    <row r="82" spans="17:45" x14ac:dyDescent="0.25">
      <c r="Q82" s="84"/>
      <c r="R82" s="81"/>
      <c r="S82" s="81"/>
      <c r="T82" s="81"/>
      <c r="Z82" s="81"/>
      <c r="AA82" s="81"/>
      <c r="AB82" s="81"/>
      <c r="AC82" s="81"/>
      <c r="AD82" s="81"/>
      <c r="AE82" s="81"/>
      <c r="AF82" s="81"/>
      <c r="AG82" s="81"/>
      <c r="AH82" s="81"/>
      <c r="AI82" s="81"/>
      <c r="AJ82" s="81"/>
      <c r="AK82" s="81"/>
      <c r="AL82" s="81"/>
      <c r="AM82" s="81"/>
      <c r="AN82" s="81"/>
      <c r="AO82" s="81"/>
      <c r="AP82" s="81"/>
      <c r="AS82" s="81"/>
    </row>
    <row r="83" spans="17:45" x14ac:dyDescent="0.25">
      <c r="Q83" s="84"/>
      <c r="R83" s="81"/>
      <c r="S83" s="81"/>
      <c r="T83" s="81"/>
      <c r="Z83" s="81"/>
      <c r="AA83" s="81"/>
      <c r="AB83" s="81"/>
      <c r="AC83" s="81"/>
      <c r="AD83" s="81"/>
      <c r="AE83" s="81"/>
      <c r="AF83" s="81"/>
      <c r="AG83" s="81"/>
      <c r="AH83" s="81"/>
      <c r="AI83" s="81"/>
      <c r="AJ83" s="81"/>
      <c r="AK83" s="81"/>
      <c r="AL83" s="81"/>
      <c r="AM83" s="81"/>
      <c r="AN83" s="81"/>
      <c r="AO83" s="81"/>
      <c r="AP83" s="81"/>
      <c r="AS83" s="81"/>
    </row>
    <row r="84" spans="17:45" x14ac:dyDescent="0.25">
      <c r="Q84" s="84"/>
      <c r="R84" s="81"/>
      <c r="S84" s="81"/>
      <c r="T84" s="81"/>
      <c r="Z84" s="81"/>
      <c r="AA84" s="81"/>
      <c r="AB84" s="81"/>
      <c r="AC84" s="81"/>
      <c r="AD84" s="81"/>
      <c r="AE84" s="81"/>
      <c r="AF84" s="81"/>
      <c r="AG84" s="81"/>
      <c r="AH84" s="81"/>
      <c r="AI84" s="81"/>
      <c r="AJ84" s="81"/>
      <c r="AK84" s="81"/>
      <c r="AL84" s="81"/>
      <c r="AM84" s="81"/>
      <c r="AN84" s="81"/>
      <c r="AO84" s="81"/>
      <c r="AP84" s="81"/>
      <c r="AS84" s="81"/>
    </row>
    <row r="85" spans="17:45" x14ac:dyDescent="0.25">
      <c r="Q85" s="84"/>
      <c r="R85" s="81"/>
      <c r="S85" s="81"/>
      <c r="T85" s="81"/>
      <c r="Z85" s="81"/>
      <c r="AA85" s="81"/>
      <c r="AB85" s="81"/>
      <c r="AC85" s="81"/>
      <c r="AD85" s="81"/>
      <c r="AE85" s="81"/>
      <c r="AF85" s="81"/>
      <c r="AG85" s="81"/>
      <c r="AH85" s="81"/>
      <c r="AI85" s="81"/>
      <c r="AJ85" s="81"/>
      <c r="AK85" s="81"/>
      <c r="AL85" s="81"/>
      <c r="AM85" s="81"/>
      <c r="AN85" s="81"/>
      <c r="AO85" s="81"/>
      <c r="AP85" s="81"/>
      <c r="AS85" s="81"/>
    </row>
    <row r="86" spans="17:45" x14ac:dyDescent="0.25">
      <c r="Q86" s="84"/>
      <c r="R86" s="81"/>
      <c r="S86" s="81"/>
      <c r="T86" s="81"/>
      <c r="Z86" s="81"/>
      <c r="AA86" s="81"/>
      <c r="AB86" s="81"/>
      <c r="AC86" s="81"/>
      <c r="AD86" s="81"/>
      <c r="AE86" s="81"/>
      <c r="AF86" s="81"/>
      <c r="AG86" s="81"/>
      <c r="AH86" s="81"/>
      <c r="AI86" s="81"/>
      <c r="AJ86" s="81"/>
      <c r="AK86" s="81"/>
      <c r="AL86" s="81"/>
      <c r="AM86" s="81"/>
      <c r="AN86" s="81"/>
      <c r="AO86" s="81"/>
      <c r="AP86" s="81"/>
      <c r="AS86" s="81"/>
    </row>
    <row r="87" spans="17:45" x14ac:dyDescent="0.25">
      <c r="Q87" s="84"/>
      <c r="R87" s="81"/>
      <c r="S87" s="81"/>
      <c r="T87" s="81"/>
      <c r="Z87" s="81"/>
      <c r="AA87" s="81"/>
      <c r="AB87" s="81"/>
      <c r="AC87" s="81"/>
      <c r="AD87" s="81"/>
      <c r="AE87" s="81"/>
      <c r="AF87" s="81"/>
      <c r="AG87" s="81"/>
      <c r="AH87" s="81"/>
      <c r="AI87" s="81"/>
      <c r="AJ87" s="81"/>
      <c r="AK87" s="81"/>
      <c r="AL87" s="81"/>
      <c r="AM87" s="81"/>
      <c r="AN87" s="81"/>
      <c r="AO87" s="81"/>
      <c r="AP87" s="81"/>
      <c r="AS87" s="81"/>
    </row>
    <row r="88" spans="17:45" x14ac:dyDescent="0.25">
      <c r="Q88" s="84"/>
      <c r="R88" s="81"/>
      <c r="S88" s="81"/>
      <c r="T88" s="81"/>
      <c r="Z88" s="81"/>
      <c r="AA88" s="81"/>
      <c r="AB88" s="81"/>
      <c r="AC88" s="81"/>
      <c r="AD88" s="81"/>
      <c r="AE88" s="81"/>
      <c r="AF88" s="81"/>
      <c r="AG88" s="81"/>
      <c r="AH88" s="81"/>
      <c r="AI88" s="81"/>
      <c r="AJ88" s="81"/>
      <c r="AK88" s="81"/>
      <c r="AL88" s="81"/>
      <c r="AM88" s="81"/>
      <c r="AN88" s="81"/>
      <c r="AO88" s="81"/>
      <c r="AP88" s="81"/>
      <c r="AS88" s="81"/>
    </row>
    <row r="89" spans="17:45" x14ac:dyDescent="0.25">
      <c r="Q89" s="84"/>
      <c r="R89" s="81"/>
      <c r="S89" s="81"/>
      <c r="T89" s="81"/>
      <c r="Z89" s="81"/>
      <c r="AA89" s="81"/>
      <c r="AB89" s="81"/>
      <c r="AC89" s="81"/>
      <c r="AD89" s="81"/>
      <c r="AE89" s="81"/>
      <c r="AF89" s="81"/>
      <c r="AG89" s="81"/>
      <c r="AH89" s="81"/>
      <c r="AI89" s="81"/>
      <c r="AJ89" s="81"/>
      <c r="AK89" s="81"/>
      <c r="AL89" s="81"/>
      <c r="AM89" s="81"/>
      <c r="AN89" s="81"/>
      <c r="AO89" s="81"/>
      <c r="AP89" s="81"/>
      <c r="AS89" s="81"/>
    </row>
    <row r="90" spans="17:45" x14ac:dyDescent="0.25">
      <c r="Q90" s="84"/>
      <c r="R90" s="81"/>
      <c r="S90" s="81"/>
      <c r="T90" s="81"/>
      <c r="Z90" s="81"/>
      <c r="AA90" s="81"/>
      <c r="AB90" s="81"/>
      <c r="AC90" s="81"/>
      <c r="AD90" s="81"/>
      <c r="AE90" s="81"/>
      <c r="AF90" s="81"/>
      <c r="AG90" s="81"/>
      <c r="AH90" s="81"/>
      <c r="AI90" s="81"/>
      <c r="AJ90" s="81"/>
      <c r="AK90" s="81"/>
      <c r="AL90" s="81"/>
      <c r="AM90" s="81"/>
      <c r="AN90" s="81"/>
      <c r="AO90" s="81"/>
      <c r="AP90" s="81"/>
      <c r="AS90" s="81"/>
    </row>
    <row r="91" spans="17:45" x14ac:dyDescent="0.25">
      <c r="Q91" s="84"/>
      <c r="R91" s="81"/>
      <c r="S91" s="81"/>
      <c r="T91" s="81"/>
      <c r="Z91" s="81"/>
      <c r="AA91" s="81"/>
      <c r="AB91" s="81"/>
      <c r="AC91" s="81"/>
      <c r="AD91" s="81"/>
      <c r="AE91" s="81"/>
      <c r="AF91" s="81"/>
      <c r="AG91" s="81"/>
      <c r="AH91" s="81"/>
      <c r="AI91" s="81"/>
      <c r="AJ91" s="81"/>
      <c r="AK91" s="81"/>
      <c r="AL91" s="81"/>
      <c r="AM91" s="81"/>
      <c r="AN91" s="81"/>
      <c r="AO91" s="81"/>
      <c r="AP91" s="81"/>
      <c r="AS91" s="81"/>
    </row>
    <row r="92" spans="17:45" x14ac:dyDescent="0.25">
      <c r="Q92" s="84"/>
      <c r="R92" s="81"/>
      <c r="S92" s="81"/>
      <c r="T92" s="81"/>
      <c r="Z92" s="81"/>
      <c r="AA92" s="81"/>
      <c r="AB92" s="81"/>
      <c r="AC92" s="81"/>
      <c r="AD92" s="81"/>
      <c r="AE92" s="81"/>
      <c r="AF92" s="81"/>
      <c r="AG92" s="81"/>
      <c r="AH92" s="81"/>
      <c r="AI92" s="81"/>
      <c r="AJ92" s="81"/>
      <c r="AK92" s="81"/>
      <c r="AL92" s="81"/>
      <c r="AM92" s="81"/>
      <c r="AN92" s="81"/>
      <c r="AO92" s="81"/>
      <c r="AP92" s="81"/>
      <c r="AS92" s="81"/>
    </row>
    <row r="93" spans="17:45" x14ac:dyDescent="0.25">
      <c r="Q93" s="84"/>
      <c r="R93" s="81"/>
      <c r="S93" s="81"/>
      <c r="T93" s="81"/>
      <c r="Z93" s="81"/>
      <c r="AA93" s="81"/>
      <c r="AB93" s="81"/>
      <c r="AC93" s="81"/>
      <c r="AD93" s="81"/>
      <c r="AE93" s="81"/>
      <c r="AF93" s="81"/>
      <c r="AG93" s="81"/>
      <c r="AH93" s="81"/>
      <c r="AI93" s="81"/>
      <c r="AJ93" s="81"/>
      <c r="AK93" s="81"/>
      <c r="AL93" s="81"/>
      <c r="AM93" s="81"/>
      <c r="AN93" s="81"/>
      <c r="AO93" s="81"/>
      <c r="AP93" s="81"/>
      <c r="AS93" s="81"/>
    </row>
    <row r="94" spans="17:45" x14ac:dyDescent="0.25">
      <c r="Q94" s="84"/>
      <c r="R94" s="81"/>
      <c r="S94" s="81"/>
      <c r="T94" s="81"/>
      <c r="Z94" s="81"/>
      <c r="AA94" s="81"/>
      <c r="AB94" s="81"/>
      <c r="AC94" s="81"/>
      <c r="AD94" s="81"/>
      <c r="AE94" s="81"/>
      <c r="AF94" s="81"/>
      <c r="AG94" s="81"/>
      <c r="AH94" s="81"/>
      <c r="AI94" s="81"/>
      <c r="AJ94" s="81"/>
      <c r="AK94" s="81"/>
      <c r="AL94" s="81"/>
      <c r="AM94" s="81"/>
      <c r="AN94" s="81"/>
      <c r="AO94" s="81"/>
      <c r="AP94" s="81"/>
      <c r="AS94" s="81"/>
    </row>
    <row r="95" spans="17:45" x14ac:dyDescent="0.25">
      <c r="Q95" s="84"/>
      <c r="R95" s="81"/>
      <c r="S95" s="81"/>
      <c r="T95" s="81"/>
      <c r="Z95" s="81"/>
      <c r="AA95" s="81"/>
      <c r="AB95" s="81"/>
      <c r="AC95" s="81"/>
      <c r="AD95" s="81"/>
      <c r="AE95" s="81"/>
      <c r="AF95" s="81"/>
      <c r="AG95" s="81"/>
      <c r="AH95" s="81"/>
      <c r="AI95" s="81"/>
      <c r="AJ95" s="81"/>
      <c r="AK95" s="81"/>
      <c r="AL95" s="81"/>
      <c r="AM95" s="81"/>
      <c r="AN95" s="81"/>
      <c r="AO95" s="81"/>
      <c r="AP95" s="81"/>
      <c r="AS95" s="81"/>
    </row>
    <row r="96" spans="17:45" x14ac:dyDescent="0.25">
      <c r="Q96" s="84"/>
      <c r="R96" s="81"/>
      <c r="S96" s="81"/>
      <c r="T96" s="81"/>
      <c r="Z96" s="81"/>
      <c r="AA96" s="81"/>
      <c r="AB96" s="81"/>
      <c r="AC96" s="81"/>
      <c r="AD96" s="81"/>
      <c r="AE96" s="81"/>
      <c r="AF96" s="81"/>
      <c r="AG96" s="81"/>
      <c r="AH96" s="81"/>
      <c r="AI96" s="81"/>
      <c r="AJ96" s="81"/>
      <c r="AK96" s="81"/>
      <c r="AL96" s="81"/>
      <c r="AM96" s="81"/>
      <c r="AN96" s="81"/>
      <c r="AO96" s="81"/>
      <c r="AP96" s="81"/>
      <c r="AS96" s="81"/>
    </row>
    <row r="97" spans="17:45" x14ac:dyDescent="0.25">
      <c r="Q97" s="84"/>
      <c r="R97" s="81"/>
      <c r="S97" s="81"/>
      <c r="T97" s="81"/>
      <c r="Z97" s="81"/>
      <c r="AA97" s="81"/>
      <c r="AB97" s="81"/>
      <c r="AC97" s="81"/>
      <c r="AD97" s="81"/>
      <c r="AE97" s="81"/>
      <c r="AF97" s="81"/>
      <c r="AG97" s="81"/>
      <c r="AH97" s="81"/>
      <c r="AI97" s="81"/>
      <c r="AJ97" s="81"/>
      <c r="AK97" s="81"/>
      <c r="AL97" s="81"/>
      <c r="AM97" s="81"/>
      <c r="AN97" s="81"/>
      <c r="AO97" s="81"/>
      <c r="AP97" s="81"/>
      <c r="AS97" s="81"/>
    </row>
    <row r="98" spans="17:45" x14ac:dyDescent="0.25">
      <c r="Q98" s="84"/>
      <c r="R98" s="81"/>
      <c r="S98" s="81"/>
      <c r="T98" s="81"/>
      <c r="Z98" s="81"/>
      <c r="AA98" s="81"/>
      <c r="AB98" s="81"/>
      <c r="AC98" s="81"/>
      <c r="AD98" s="81"/>
      <c r="AE98" s="81"/>
      <c r="AF98" s="81"/>
      <c r="AG98" s="81"/>
      <c r="AH98" s="81"/>
      <c r="AI98" s="81"/>
      <c r="AJ98" s="81"/>
      <c r="AK98" s="81"/>
      <c r="AL98" s="81"/>
      <c r="AM98" s="81"/>
      <c r="AN98" s="81"/>
      <c r="AO98" s="81"/>
      <c r="AP98" s="81"/>
      <c r="AS98" s="81"/>
    </row>
    <row r="99" spans="17:45" x14ac:dyDescent="0.25">
      <c r="Q99" s="84"/>
      <c r="R99" s="81"/>
      <c r="S99" s="81"/>
      <c r="T99" s="81"/>
      <c r="Z99" s="81"/>
      <c r="AA99" s="81"/>
      <c r="AB99" s="81"/>
      <c r="AC99" s="81"/>
      <c r="AD99" s="81"/>
      <c r="AE99" s="81"/>
      <c r="AF99" s="81"/>
      <c r="AG99" s="81"/>
      <c r="AH99" s="81"/>
      <c r="AI99" s="81"/>
      <c r="AJ99" s="81"/>
      <c r="AK99" s="81"/>
      <c r="AL99" s="81"/>
      <c r="AM99" s="81"/>
      <c r="AN99" s="81"/>
      <c r="AO99" s="81"/>
      <c r="AP99" s="81"/>
      <c r="AS99" s="81"/>
    </row>
    <row r="100" spans="17:45" x14ac:dyDescent="0.25">
      <c r="Q100" s="84"/>
      <c r="R100" s="81"/>
      <c r="S100" s="81"/>
      <c r="T100" s="81"/>
      <c r="Z100" s="81"/>
      <c r="AA100" s="81"/>
      <c r="AB100" s="81"/>
      <c r="AC100" s="81"/>
      <c r="AD100" s="81"/>
      <c r="AE100" s="81"/>
      <c r="AF100" s="81"/>
      <c r="AG100" s="81"/>
      <c r="AH100" s="81"/>
      <c r="AI100" s="81"/>
      <c r="AJ100" s="81"/>
      <c r="AK100" s="81"/>
      <c r="AL100" s="81"/>
      <c r="AM100" s="81"/>
      <c r="AN100" s="81"/>
      <c r="AO100" s="81"/>
      <c r="AP100" s="81"/>
      <c r="AS100" s="81"/>
    </row>
    <row r="101" spans="17:45" x14ac:dyDescent="0.25">
      <c r="Q101" s="84"/>
      <c r="R101" s="81"/>
      <c r="S101" s="81"/>
      <c r="T101" s="81"/>
      <c r="Z101" s="81"/>
      <c r="AA101" s="81"/>
      <c r="AB101" s="81"/>
      <c r="AC101" s="81"/>
      <c r="AD101" s="81"/>
      <c r="AE101" s="81"/>
      <c r="AF101" s="81"/>
      <c r="AG101" s="81"/>
      <c r="AH101" s="81"/>
      <c r="AI101" s="81"/>
      <c r="AJ101" s="81"/>
      <c r="AK101" s="81"/>
      <c r="AL101" s="81"/>
      <c r="AM101" s="81"/>
      <c r="AN101" s="81"/>
      <c r="AO101" s="81"/>
      <c r="AP101" s="81"/>
      <c r="AS101" s="81"/>
    </row>
    <row r="102" spans="17:45" x14ac:dyDescent="0.25">
      <c r="Q102" s="84"/>
      <c r="R102" s="81"/>
      <c r="S102" s="81"/>
      <c r="T102" s="81"/>
      <c r="Z102" s="81"/>
      <c r="AA102" s="81"/>
      <c r="AB102" s="81"/>
      <c r="AC102" s="81"/>
      <c r="AD102" s="81"/>
      <c r="AE102" s="81"/>
      <c r="AF102" s="81"/>
      <c r="AG102" s="81"/>
      <c r="AH102" s="81"/>
      <c r="AI102" s="81"/>
      <c r="AJ102" s="81"/>
      <c r="AK102" s="81"/>
      <c r="AL102" s="81"/>
      <c r="AM102" s="81"/>
      <c r="AN102" s="81"/>
      <c r="AO102" s="81"/>
      <c r="AP102" s="81"/>
      <c r="AS102" s="81"/>
    </row>
    <row r="103" spans="17:45" x14ac:dyDescent="0.25">
      <c r="Q103" s="84"/>
      <c r="R103" s="81"/>
      <c r="S103" s="81"/>
      <c r="T103" s="81"/>
      <c r="Z103" s="81"/>
      <c r="AA103" s="81"/>
      <c r="AB103" s="81"/>
      <c r="AC103" s="81"/>
      <c r="AD103" s="81"/>
      <c r="AE103" s="81"/>
      <c r="AF103" s="81"/>
      <c r="AG103" s="81"/>
      <c r="AH103" s="81"/>
      <c r="AI103" s="81"/>
      <c r="AJ103" s="81"/>
      <c r="AK103" s="81"/>
      <c r="AL103" s="81"/>
      <c r="AM103" s="81"/>
      <c r="AN103" s="81"/>
      <c r="AO103" s="81"/>
      <c r="AP103" s="81"/>
      <c r="AS103" s="81"/>
    </row>
    <row r="104" spans="17:45" x14ac:dyDescent="0.25">
      <c r="Q104" s="84"/>
      <c r="R104" s="81"/>
      <c r="S104" s="81"/>
      <c r="T104" s="81"/>
      <c r="Z104" s="81"/>
      <c r="AA104" s="81"/>
      <c r="AB104" s="81"/>
      <c r="AC104" s="81"/>
      <c r="AD104" s="81"/>
      <c r="AE104" s="81"/>
      <c r="AF104" s="81"/>
      <c r="AG104" s="81"/>
      <c r="AH104" s="81"/>
      <c r="AI104" s="81"/>
      <c r="AJ104" s="81"/>
      <c r="AK104" s="81"/>
      <c r="AL104" s="81"/>
      <c r="AM104" s="81"/>
      <c r="AN104" s="81"/>
      <c r="AO104" s="81"/>
      <c r="AP104" s="81"/>
      <c r="AS104" s="81"/>
    </row>
    <row r="105" spans="17:45" x14ac:dyDescent="0.25">
      <c r="Q105" s="84"/>
      <c r="R105" s="81"/>
      <c r="S105" s="81"/>
      <c r="T105" s="81"/>
      <c r="Z105" s="81"/>
      <c r="AA105" s="81"/>
      <c r="AB105" s="81"/>
      <c r="AC105" s="81"/>
      <c r="AD105" s="81"/>
      <c r="AE105" s="81"/>
      <c r="AF105" s="81"/>
      <c r="AG105" s="81"/>
      <c r="AH105" s="81"/>
      <c r="AI105" s="81"/>
      <c r="AJ105" s="81"/>
      <c r="AK105" s="81"/>
      <c r="AL105" s="81"/>
      <c r="AM105" s="81"/>
      <c r="AN105" s="81"/>
      <c r="AO105" s="81"/>
      <c r="AP105" s="81"/>
      <c r="AS105" s="81"/>
    </row>
    <row r="106" spans="17:45" x14ac:dyDescent="0.25">
      <c r="Q106" s="84"/>
      <c r="R106" s="81"/>
      <c r="S106" s="81"/>
      <c r="T106" s="81"/>
      <c r="Z106" s="81"/>
      <c r="AA106" s="81"/>
      <c r="AB106" s="81"/>
      <c r="AC106" s="81"/>
      <c r="AD106" s="81"/>
      <c r="AE106" s="81"/>
      <c r="AF106" s="81"/>
      <c r="AG106" s="81"/>
      <c r="AH106" s="81"/>
      <c r="AI106" s="81"/>
      <c r="AJ106" s="81"/>
      <c r="AK106" s="81"/>
      <c r="AL106" s="81"/>
      <c r="AM106" s="81"/>
      <c r="AN106" s="81"/>
      <c r="AO106" s="81"/>
      <c r="AP106" s="81"/>
      <c r="AS106" s="81"/>
    </row>
    <row r="107" spans="17:45" x14ac:dyDescent="0.25">
      <c r="Q107" s="84"/>
      <c r="R107" s="81"/>
      <c r="S107" s="81"/>
      <c r="T107" s="81"/>
      <c r="Z107" s="81"/>
      <c r="AA107" s="81"/>
      <c r="AB107" s="81"/>
      <c r="AC107" s="81"/>
      <c r="AD107" s="81"/>
      <c r="AE107" s="81"/>
      <c r="AF107" s="81"/>
      <c r="AG107" s="81"/>
      <c r="AH107" s="81"/>
      <c r="AI107" s="81"/>
      <c r="AJ107" s="81"/>
      <c r="AK107" s="81"/>
      <c r="AL107" s="81"/>
      <c r="AM107" s="81"/>
      <c r="AN107" s="81"/>
      <c r="AO107" s="81"/>
      <c r="AP107" s="81"/>
      <c r="AS107" s="81"/>
    </row>
    <row r="108" spans="17:45" x14ac:dyDescent="0.25">
      <c r="Q108" s="84"/>
      <c r="R108" s="81"/>
      <c r="S108" s="81"/>
      <c r="T108" s="81"/>
      <c r="Z108" s="81"/>
      <c r="AA108" s="81"/>
      <c r="AB108" s="81"/>
      <c r="AC108" s="81"/>
      <c r="AD108" s="81"/>
      <c r="AE108" s="81"/>
      <c r="AF108" s="81"/>
      <c r="AG108" s="81"/>
      <c r="AH108" s="81"/>
      <c r="AI108" s="81"/>
      <c r="AJ108" s="81"/>
      <c r="AK108" s="81"/>
      <c r="AL108" s="81"/>
      <c r="AM108" s="81"/>
      <c r="AN108" s="81"/>
      <c r="AO108" s="81"/>
      <c r="AP108" s="81"/>
      <c r="AS108" s="81"/>
    </row>
    <row r="109" spans="17:45" x14ac:dyDescent="0.25">
      <c r="Q109" s="84"/>
      <c r="R109" s="81"/>
      <c r="S109" s="81"/>
      <c r="T109" s="81"/>
      <c r="Z109" s="81"/>
      <c r="AA109" s="81"/>
      <c r="AB109" s="81"/>
      <c r="AC109" s="81"/>
      <c r="AD109" s="81"/>
      <c r="AE109" s="81"/>
      <c r="AF109" s="81"/>
      <c r="AG109" s="81"/>
      <c r="AH109" s="81"/>
      <c r="AI109" s="81"/>
      <c r="AJ109" s="81"/>
      <c r="AK109" s="81"/>
      <c r="AL109" s="81"/>
      <c r="AM109" s="81"/>
      <c r="AN109" s="81"/>
      <c r="AO109" s="81"/>
      <c r="AP109" s="81"/>
      <c r="AS109" s="81"/>
    </row>
    <row r="110" spans="17:45" x14ac:dyDescent="0.25">
      <c r="Q110" s="84"/>
      <c r="R110" s="81"/>
      <c r="S110" s="81"/>
      <c r="T110" s="81"/>
      <c r="Z110" s="81"/>
      <c r="AA110" s="81"/>
      <c r="AB110" s="81"/>
      <c r="AC110" s="81"/>
      <c r="AD110" s="81"/>
      <c r="AE110" s="81"/>
      <c r="AF110" s="81"/>
      <c r="AG110" s="81"/>
      <c r="AH110" s="81"/>
      <c r="AI110" s="81"/>
      <c r="AJ110" s="81"/>
      <c r="AK110" s="81"/>
      <c r="AL110" s="81"/>
      <c r="AM110" s="81"/>
      <c r="AN110" s="81"/>
      <c r="AO110" s="81"/>
      <c r="AP110" s="81"/>
      <c r="AS110" s="81"/>
    </row>
    <row r="111" spans="17:45" x14ac:dyDescent="0.25">
      <c r="Q111" s="84"/>
      <c r="R111" s="81"/>
      <c r="S111" s="81"/>
      <c r="T111" s="81"/>
      <c r="Z111" s="81"/>
      <c r="AA111" s="81"/>
      <c r="AB111" s="81"/>
      <c r="AC111" s="81"/>
      <c r="AD111" s="81"/>
      <c r="AE111" s="81"/>
      <c r="AF111" s="81"/>
      <c r="AG111" s="81"/>
      <c r="AH111" s="81"/>
      <c r="AI111" s="81"/>
      <c r="AJ111" s="81"/>
      <c r="AK111" s="81"/>
      <c r="AL111" s="81"/>
      <c r="AM111" s="81"/>
      <c r="AN111" s="81"/>
      <c r="AO111" s="81"/>
      <c r="AP111" s="81"/>
      <c r="AS111" s="81"/>
    </row>
    <row r="112" spans="17:45" x14ac:dyDescent="0.25">
      <c r="Q112" s="84"/>
      <c r="R112" s="81"/>
      <c r="S112" s="81"/>
      <c r="T112" s="81"/>
      <c r="Z112" s="81"/>
      <c r="AA112" s="81"/>
      <c r="AB112" s="81"/>
      <c r="AC112" s="81"/>
      <c r="AD112" s="81"/>
      <c r="AE112" s="81"/>
      <c r="AF112" s="81"/>
      <c r="AG112" s="81"/>
      <c r="AH112" s="81"/>
      <c r="AI112" s="81"/>
      <c r="AJ112" s="81"/>
      <c r="AK112" s="81"/>
      <c r="AL112" s="81"/>
      <c r="AM112" s="81"/>
      <c r="AN112" s="81"/>
      <c r="AO112" s="81"/>
      <c r="AP112" s="81"/>
      <c r="AS112" s="81"/>
    </row>
    <row r="113" spans="17:45" x14ac:dyDescent="0.25">
      <c r="Q113" s="84"/>
      <c r="R113" s="81"/>
      <c r="S113" s="81"/>
      <c r="T113" s="81"/>
      <c r="Z113" s="81"/>
      <c r="AA113" s="81"/>
      <c r="AB113" s="81"/>
      <c r="AC113" s="81"/>
      <c r="AD113" s="81"/>
      <c r="AE113" s="81"/>
      <c r="AF113" s="81"/>
      <c r="AG113" s="81"/>
      <c r="AH113" s="81"/>
      <c r="AI113" s="81"/>
      <c r="AJ113" s="81"/>
      <c r="AK113" s="81"/>
      <c r="AL113" s="81"/>
      <c r="AM113" s="81"/>
      <c r="AN113" s="81"/>
      <c r="AO113" s="81"/>
      <c r="AP113" s="81"/>
      <c r="AS113" s="81"/>
    </row>
    <row r="114" spans="17:45" x14ac:dyDescent="0.25">
      <c r="Q114" s="84"/>
      <c r="R114" s="81"/>
      <c r="S114" s="81"/>
      <c r="T114" s="81"/>
      <c r="Z114" s="81"/>
      <c r="AA114" s="81"/>
      <c r="AB114" s="81"/>
      <c r="AC114" s="81"/>
      <c r="AD114" s="81"/>
      <c r="AE114" s="81"/>
      <c r="AF114" s="81"/>
      <c r="AG114" s="81"/>
      <c r="AH114" s="81"/>
      <c r="AI114" s="81"/>
      <c r="AJ114" s="81"/>
      <c r="AK114" s="81"/>
      <c r="AL114" s="81"/>
      <c r="AM114" s="81"/>
      <c r="AN114" s="81"/>
      <c r="AO114" s="81"/>
      <c r="AP114" s="81"/>
      <c r="AS114" s="81"/>
    </row>
    <row r="115" spans="17:45" x14ac:dyDescent="0.25">
      <c r="Q115" s="84"/>
      <c r="R115" s="81"/>
      <c r="S115" s="81"/>
      <c r="T115" s="81"/>
      <c r="Z115" s="81"/>
      <c r="AA115" s="81"/>
      <c r="AB115" s="81"/>
      <c r="AC115" s="81"/>
      <c r="AD115" s="81"/>
      <c r="AE115" s="81"/>
      <c r="AF115" s="81"/>
      <c r="AG115" s="81"/>
      <c r="AH115" s="81"/>
      <c r="AI115" s="81"/>
      <c r="AJ115" s="81"/>
      <c r="AK115" s="81"/>
      <c r="AL115" s="81"/>
      <c r="AM115" s="81"/>
      <c r="AN115" s="81"/>
      <c r="AO115" s="81"/>
      <c r="AP115" s="81"/>
      <c r="AS115" s="81"/>
    </row>
    <row r="116" spans="17:45" x14ac:dyDescent="0.25">
      <c r="Q116" s="84"/>
      <c r="R116" s="81"/>
      <c r="S116" s="81"/>
      <c r="T116" s="81"/>
      <c r="Z116" s="81"/>
      <c r="AA116" s="81"/>
      <c r="AB116" s="81"/>
      <c r="AC116" s="81"/>
      <c r="AD116" s="81"/>
      <c r="AE116" s="81"/>
      <c r="AF116" s="81"/>
      <c r="AG116" s="81"/>
      <c r="AH116" s="81"/>
      <c r="AI116" s="81"/>
      <c r="AJ116" s="81"/>
      <c r="AK116" s="81"/>
      <c r="AL116" s="81"/>
      <c r="AM116" s="81"/>
      <c r="AN116" s="81"/>
      <c r="AO116" s="81"/>
      <c r="AP116" s="81"/>
      <c r="AS116" s="81"/>
    </row>
    <row r="117" spans="17:45" x14ac:dyDescent="0.25">
      <c r="Q117" s="84"/>
      <c r="R117" s="81"/>
      <c r="S117" s="81"/>
      <c r="T117" s="81"/>
      <c r="Z117" s="81"/>
      <c r="AA117" s="81"/>
      <c r="AB117" s="81"/>
      <c r="AC117" s="81"/>
      <c r="AD117" s="81"/>
      <c r="AE117" s="81"/>
      <c r="AF117" s="81"/>
      <c r="AG117" s="81"/>
      <c r="AH117" s="81"/>
      <c r="AI117" s="81"/>
      <c r="AJ117" s="81"/>
      <c r="AK117" s="81"/>
      <c r="AL117" s="81"/>
      <c r="AM117" s="81"/>
      <c r="AN117" s="81"/>
      <c r="AO117" s="81"/>
      <c r="AP117" s="81"/>
      <c r="AS117" s="81"/>
    </row>
    <row r="118" spans="17:45" x14ac:dyDescent="0.25">
      <c r="Q118" s="84"/>
      <c r="R118" s="81"/>
      <c r="S118" s="81"/>
      <c r="T118" s="81"/>
      <c r="Z118" s="81"/>
      <c r="AA118" s="81"/>
      <c r="AB118" s="81"/>
      <c r="AC118" s="81"/>
      <c r="AD118" s="81"/>
      <c r="AE118" s="81"/>
      <c r="AF118" s="81"/>
      <c r="AG118" s="81"/>
      <c r="AH118" s="81"/>
      <c r="AI118" s="81"/>
      <c r="AJ118" s="81"/>
      <c r="AK118" s="81"/>
      <c r="AL118" s="81"/>
      <c r="AM118" s="81"/>
      <c r="AN118" s="81"/>
      <c r="AO118" s="81"/>
      <c r="AP118" s="81"/>
      <c r="AS118" s="81"/>
    </row>
    <row r="119" spans="17:45" x14ac:dyDescent="0.25">
      <c r="Q119" s="84"/>
      <c r="R119" s="81"/>
      <c r="S119" s="81"/>
      <c r="T119" s="81"/>
      <c r="Z119" s="81"/>
      <c r="AA119" s="81"/>
      <c r="AB119" s="81"/>
      <c r="AC119" s="81"/>
      <c r="AD119" s="81"/>
      <c r="AE119" s="81"/>
      <c r="AF119" s="81"/>
      <c r="AG119" s="81"/>
      <c r="AH119" s="81"/>
      <c r="AI119" s="81"/>
      <c r="AJ119" s="81"/>
      <c r="AK119" s="81"/>
      <c r="AL119" s="81"/>
      <c r="AM119" s="81"/>
      <c r="AN119" s="81"/>
      <c r="AO119" s="81"/>
      <c r="AP119" s="81"/>
      <c r="AS119" s="81"/>
    </row>
    <row r="120" spans="17:45" x14ac:dyDescent="0.25">
      <c r="Q120" s="84"/>
      <c r="R120" s="81"/>
      <c r="S120" s="81"/>
      <c r="T120" s="81"/>
      <c r="Z120" s="81"/>
      <c r="AA120" s="81"/>
      <c r="AB120" s="81"/>
      <c r="AC120" s="81"/>
      <c r="AD120" s="81"/>
      <c r="AE120" s="81"/>
      <c r="AF120" s="81"/>
      <c r="AG120" s="81"/>
      <c r="AH120" s="81"/>
      <c r="AI120" s="81"/>
      <c r="AJ120" s="81"/>
      <c r="AK120" s="81"/>
      <c r="AL120" s="81"/>
      <c r="AM120" s="81"/>
      <c r="AN120" s="81"/>
      <c r="AO120" s="81"/>
      <c r="AP120" s="81"/>
      <c r="AS120" s="81"/>
    </row>
    <row r="121" spans="17:45" x14ac:dyDescent="0.25">
      <c r="Q121" s="84"/>
      <c r="R121" s="81"/>
      <c r="S121" s="81"/>
      <c r="T121" s="81"/>
      <c r="Z121" s="81"/>
      <c r="AA121" s="81"/>
      <c r="AB121" s="81"/>
      <c r="AC121" s="81"/>
      <c r="AD121" s="81"/>
      <c r="AE121" s="81"/>
      <c r="AF121" s="81"/>
      <c r="AG121" s="81"/>
      <c r="AH121" s="81"/>
      <c r="AI121" s="81"/>
      <c r="AJ121" s="81"/>
      <c r="AK121" s="81"/>
      <c r="AL121" s="81"/>
      <c r="AM121" s="81"/>
      <c r="AN121" s="81"/>
      <c r="AO121" s="81"/>
      <c r="AP121" s="81"/>
      <c r="AS121" s="81"/>
    </row>
    <row r="122" spans="17:45" x14ac:dyDescent="0.25">
      <c r="Q122" s="84"/>
      <c r="R122" s="81"/>
      <c r="S122" s="81"/>
      <c r="T122" s="81"/>
      <c r="Z122" s="81"/>
      <c r="AA122" s="81"/>
      <c r="AB122" s="81"/>
      <c r="AC122" s="81"/>
      <c r="AD122" s="81"/>
      <c r="AE122" s="81"/>
      <c r="AF122" s="81"/>
      <c r="AG122" s="81"/>
      <c r="AH122" s="81"/>
      <c r="AI122" s="81"/>
      <c r="AJ122" s="81"/>
      <c r="AK122" s="81"/>
      <c r="AL122" s="81"/>
      <c r="AM122" s="81"/>
      <c r="AN122" s="81"/>
      <c r="AO122" s="81"/>
      <c r="AP122" s="81"/>
      <c r="AS122" s="81"/>
    </row>
    <row r="123" spans="17:45" x14ac:dyDescent="0.25">
      <c r="Q123" s="84"/>
      <c r="R123" s="81"/>
      <c r="S123" s="81"/>
      <c r="T123" s="81"/>
      <c r="Z123" s="81"/>
      <c r="AA123" s="81"/>
      <c r="AB123" s="81"/>
      <c r="AC123" s="81"/>
      <c r="AD123" s="81"/>
      <c r="AE123" s="81"/>
      <c r="AF123" s="81"/>
      <c r="AG123" s="81"/>
      <c r="AH123" s="81"/>
      <c r="AI123" s="81"/>
      <c r="AJ123" s="81"/>
      <c r="AK123" s="81"/>
      <c r="AL123" s="81"/>
      <c r="AM123" s="81"/>
      <c r="AN123" s="81"/>
      <c r="AO123" s="81"/>
      <c r="AP123" s="81"/>
      <c r="AS123" s="81"/>
    </row>
    <row r="124" spans="17:45" x14ac:dyDescent="0.25">
      <c r="Q124" s="84"/>
      <c r="R124" s="81"/>
      <c r="S124" s="81"/>
      <c r="T124" s="81"/>
      <c r="Z124" s="81"/>
      <c r="AA124" s="81"/>
      <c r="AB124" s="81"/>
      <c r="AC124" s="81"/>
      <c r="AD124" s="81"/>
      <c r="AE124" s="81"/>
      <c r="AF124" s="81"/>
      <c r="AG124" s="81"/>
      <c r="AH124" s="81"/>
      <c r="AI124" s="81"/>
      <c r="AJ124" s="81"/>
      <c r="AK124" s="81"/>
      <c r="AL124" s="81"/>
      <c r="AM124" s="81"/>
      <c r="AN124" s="81"/>
      <c r="AO124" s="81"/>
      <c r="AP124" s="81"/>
      <c r="AS124" s="81"/>
    </row>
    <row r="125" spans="17:45" x14ac:dyDescent="0.25">
      <c r="Q125" s="84"/>
      <c r="R125" s="81"/>
      <c r="S125" s="81"/>
      <c r="T125" s="81"/>
      <c r="Z125" s="81"/>
      <c r="AA125" s="81"/>
      <c r="AB125" s="81"/>
      <c r="AC125" s="81"/>
      <c r="AD125" s="81"/>
      <c r="AE125" s="81"/>
      <c r="AF125" s="81"/>
      <c r="AG125" s="81"/>
      <c r="AH125" s="81"/>
      <c r="AI125" s="81"/>
      <c r="AJ125" s="81"/>
      <c r="AK125" s="81"/>
      <c r="AL125" s="81"/>
      <c r="AM125" s="81"/>
      <c r="AN125" s="81"/>
      <c r="AO125" s="81"/>
      <c r="AP125" s="81"/>
      <c r="AS125" s="81"/>
    </row>
    <row r="126" spans="17:45" x14ac:dyDescent="0.25">
      <c r="Q126" s="84"/>
      <c r="R126" s="81"/>
      <c r="S126" s="81"/>
      <c r="T126" s="81"/>
      <c r="Z126" s="81"/>
      <c r="AA126" s="81"/>
      <c r="AB126" s="81"/>
      <c r="AC126" s="81"/>
      <c r="AD126" s="81"/>
      <c r="AE126" s="81"/>
      <c r="AF126" s="81"/>
      <c r="AG126" s="81"/>
      <c r="AH126" s="81"/>
      <c r="AI126" s="81"/>
      <c r="AJ126" s="81"/>
      <c r="AK126" s="81"/>
      <c r="AL126" s="81"/>
      <c r="AM126" s="81"/>
      <c r="AN126" s="81"/>
      <c r="AO126" s="81"/>
      <c r="AP126" s="81"/>
      <c r="AS126" s="81"/>
    </row>
    <row r="127" spans="17:45" x14ac:dyDescent="0.25">
      <c r="Q127" s="84"/>
      <c r="R127" s="81"/>
      <c r="S127" s="81"/>
      <c r="T127" s="81"/>
      <c r="Z127" s="81"/>
      <c r="AA127" s="81"/>
      <c r="AB127" s="81"/>
      <c r="AC127" s="81"/>
      <c r="AD127" s="81"/>
      <c r="AE127" s="81"/>
      <c r="AF127" s="81"/>
      <c r="AG127" s="81"/>
      <c r="AH127" s="81"/>
      <c r="AI127" s="81"/>
      <c r="AJ127" s="81"/>
      <c r="AK127" s="81"/>
      <c r="AL127" s="81"/>
      <c r="AM127" s="81"/>
      <c r="AN127" s="81"/>
      <c r="AO127" s="81"/>
      <c r="AP127" s="81"/>
      <c r="AS127" s="81"/>
    </row>
    <row r="128" spans="17:45" x14ac:dyDescent="0.25">
      <c r="Q128" s="84"/>
      <c r="R128" s="81"/>
      <c r="S128" s="81"/>
      <c r="T128" s="81"/>
      <c r="Z128" s="81"/>
      <c r="AA128" s="81"/>
      <c r="AB128" s="81"/>
      <c r="AC128" s="81"/>
      <c r="AD128" s="81"/>
      <c r="AE128" s="81"/>
      <c r="AF128" s="81"/>
      <c r="AG128" s="81"/>
      <c r="AH128" s="81"/>
      <c r="AI128" s="81"/>
      <c r="AJ128" s="81"/>
      <c r="AK128" s="81"/>
      <c r="AL128" s="81"/>
      <c r="AM128" s="81"/>
      <c r="AN128" s="81"/>
      <c r="AO128" s="81"/>
      <c r="AP128" s="81"/>
      <c r="AS128" s="81"/>
    </row>
    <row r="129" spans="17:45" x14ac:dyDescent="0.25">
      <c r="Q129" s="84"/>
      <c r="R129" s="81"/>
      <c r="S129" s="81"/>
      <c r="T129" s="81"/>
      <c r="Z129" s="81"/>
      <c r="AA129" s="81"/>
      <c r="AB129" s="81"/>
      <c r="AC129" s="81"/>
      <c r="AD129" s="81"/>
      <c r="AE129" s="81"/>
      <c r="AF129" s="81"/>
      <c r="AG129" s="81"/>
      <c r="AH129" s="81"/>
      <c r="AI129" s="81"/>
      <c r="AJ129" s="81"/>
      <c r="AK129" s="81"/>
      <c r="AL129" s="81"/>
      <c r="AM129" s="81"/>
      <c r="AN129" s="81"/>
      <c r="AO129" s="81"/>
      <c r="AP129" s="81"/>
      <c r="AS129" s="81"/>
    </row>
    <row r="130" spans="17:45" x14ac:dyDescent="0.25">
      <c r="Q130" s="84"/>
      <c r="R130" s="81"/>
      <c r="S130" s="81"/>
      <c r="T130" s="81"/>
      <c r="Z130" s="81"/>
      <c r="AA130" s="81"/>
      <c r="AB130" s="81"/>
      <c r="AC130" s="81"/>
      <c r="AD130" s="81"/>
      <c r="AE130" s="81"/>
      <c r="AF130" s="81"/>
      <c r="AG130" s="81"/>
      <c r="AH130" s="81"/>
      <c r="AI130" s="81"/>
      <c r="AJ130" s="81"/>
      <c r="AK130" s="81"/>
      <c r="AL130" s="81"/>
      <c r="AM130" s="81"/>
      <c r="AN130" s="81"/>
      <c r="AO130" s="81"/>
      <c r="AP130" s="81"/>
      <c r="AS130" s="81"/>
    </row>
    <row r="131" spans="17:45" x14ac:dyDescent="0.25">
      <c r="Q131" s="84"/>
      <c r="R131" s="81"/>
      <c r="S131" s="81"/>
      <c r="T131" s="81"/>
      <c r="Z131" s="81"/>
      <c r="AA131" s="81"/>
      <c r="AB131" s="81"/>
      <c r="AC131" s="81"/>
      <c r="AD131" s="81"/>
      <c r="AE131" s="81"/>
      <c r="AF131" s="81"/>
      <c r="AG131" s="81"/>
      <c r="AH131" s="81"/>
      <c r="AI131" s="81"/>
      <c r="AJ131" s="81"/>
      <c r="AK131" s="81"/>
      <c r="AL131" s="81"/>
      <c r="AM131" s="81"/>
      <c r="AN131" s="81"/>
      <c r="AO131" s="81"/>
      <c r="AP131" s="81"/>
      <c r="AS131" s="81"/>
    </row>
    <row r="132" spans="17:45" x14ac:dyDescent="0.25">
      <c r="Q132" s="84"/>
      <c r="R132" s="81"/>
      <c r="S132" s="81"/>
      <c r="T132" s="81"/>
      <c r="Z132" s="81"/>
      <c r="AA132" s="81"/>
      <c r="AB132" s="81"/>
      <c r="AC132" s="81"/>
      <c r="AD132" s="81"/>
      <c r="AE132" s="81"/>
      <c r="AF132" s="81"/>
      <c r="AG132" s="81"/>
      <c r="AH132" s="81"/>
      <c r="AI132" s="81"/>
      <c r="AJ132" s="81"/>
      <c r="AK132" s="81"/>
      <c r="AL132" s="81"/>
      <c r="AM132" s="81"/>
      <c r="AN132" s="81"/>
      <c r="AO132" s="81"/>
      <c r="AP132" s="81"/>
      <c r="AS132" s="81"/>
    </row>
    <row r="133" spans="17:45" x14ac:dyDescent="0.25">
      <c r="Q133" s="84"/>
      <c r="R133" s="81"/>
      <c r="S133" s="81"/>
      <c r="T133" s="81"/>
      <c r="Z133" s="81"/>
      <c r="AA133" s="81"/>
      <c r="AB133" s="81"/>
      <c r="AC133" s="81"/>
      <c r="AD133" s="81"/>
      <c r="AE133" s="81"/>
      <c r="AF133" s="81"/>
      <c r="AG133" s="81"/>
      <c r="AH133" s="81"/>
      <c r="AI133" s="81"/>
      <c r="AJ133" s="81"/>
      <c r="AK133" s="81"/>
      <c r="AL133" s="81"/>
      <c r="AM133" s="81"/>
      <c r="AN133" s="81"/>
      <c r="AO133" s="81"/>
      <c r="AP133" s="81"/>
      <c r="AS133" s="81"/>
    </row>
    <row r="134" spans="17:45" x14ac:dyDescent="0.25">
      <c r="Q134" s="84"/>
      <c r="R134" s="81"/>
      <c r="S134" s="81"/>
      <c r="T134" s="81"/>
      <c r="Z134" s="81"/>
      <c r="AA134" s="81"/>
      <c r="AB134" s="81"/>
      <c r="AC134" s="81"/>
      <c r="AD134" s="81"/>
      <c r="AE134" s="81"/>
      <c r="AF134" s="81"/>
      <c r="AG134" s="81"/>
      <c r="AH134" s="81"/>
      <c r="AI134" s="81"/>
      <c r="AJ134" s="81"/>
      <c r="AK134" s="81"/>
      <c r="AL134" s="81"/>
      <c r="AM134" s="81"/>
      <c r="AN134" s="81"/>
      <c r="AO134" s="81"/>
      <c r="AP134" s="81"/>
      <c r="AS134" s="81"/>
    </row>
    <row r="135" spans="17:45" x14ac:dyDescent="0.25">
      <c r="Q135" s="84"/>
      <c r="R135" s="81"/>
      <c r="S135" s="81"/>
      <c r="T135" s="81"/>
      <c r="Z135" s="81"/>
      <c r="AA135" s="81"/>
      <c r="AB135" s="81"/>
      <c r="AC135" s="81"/>
      <c r="AD135" s="81"/>
      <c r="AE135" s="81"/>
      <c r="AF135" s="81"/>
      <c r="AG135" s="81"/>
      <c r="AH135" s="81"/>
      <c r="AI135" s="81"/>
      <c r="AJ135" s="81"/>
      <c r="AK135" s="81"/>
      <c r="AL135" s="81"/>
      <c r="AM135" s="81"/>
      <c r="AN135" s="81"/>
      <c r="AO135" s="81"/>
      <c r="AP135" s="81"/>
      <c r="AS135" s="81"/>
    </row>
    <row r="136" spans="17:45" x14ac:dyDescent="0.25">
      <c r="Q136" s="84"/>
      <c r="R136" s="81"/>
      <c r="S136" s="81"/>
      <c r="T136" s="81"/>
      <c r="Z136" s="81"/>
      <c r="AA136" s="81"/>
      <c r="AB136" s="81"/>
      <c r="AC136" s="81"/>
      <c r="AD136" s="81"/>
      <c r="AE136" s="81"/>
      <c r="AF136" s="81"/>
      <c r="AG136" s="81"/>
      <c r="AH136" s="81"/>
      <c r="AI136" s="81"/>
      <c r="AJ136" s="81"/>
      <c r="AK136" s="81"/>
      <c r="AL136" s="81"/>
      <c r="AM136" s="81"/>
      <c r="AN136" s="81"/>
      <c r="AO136" s="81"/>
      <c r="AP136" s="81"/>
      <c r="AS136" s="81"/>
    </row>
    <row r="137" spans="17:45" x14ac:dyDescent="0.25">
      <c r="Q137" s="84"/>
      <c r="R137" s="81"/>
      <c r="S137" s="81"/>
      <c r="T137" s="81"/>
      <c r="Z137" s="81"/>
      <c r="AA137" s="81"/>
      <c r="AB137" s="81"/>
      <c r="AC137" s="81"/>
      <c r="AD137" s="81"/>
      <c r="AE137" s="81"/>
      <c r="AF137" s="81"/>
      <c r="AG137" s="81"/>
      <c r="AH137" s="81"/>
      <c r="AI137" s="81"/>
      <c r="AJ137" s="81"/>
      <c r="AK137" s="81"/>
      <c r="AL137" s="81"/>
      <c r="AM137" s="81"/>
      <c r="AN137" s="81"/>
      <c r="AO137" s="81"/>
      <c r="AP137" s="81"/>
      <c r="AS137" s="81"/>
    </row>
    <row r="138" spans="17:45" x14ac:dyDescent="0.25">
      <c r="Q138" s="84"/>
      <c r="R138" s="81"/>
      <c r="S138" s="81"/>
      <c r="T138" s="81"/>
      <c r="Z138" s="81"/>
      <c r="AA138" s="81"/>
      <c r="AB138" s="81"/>
      <c r="AC138" s="81"/>
      <c r="AD138" s="81"/>
      <c r="AE138" s="81"/>
      <c r="AF138" s="81"/>
      <c r="AG138" s="81"/>
      <c r="AH138" s="81"/>
      <c r="AI138" s="81"/>
      <c r="AJ138" s="81"/>
      <c r="AK138" s="81"/>
      <c r="AL138" s="81"/>
      <c r="AM138" s="81"/>
      <c r="AN138" s="81"/>
      <c r="AO138" s="81"/>
      <c r="AP138" s="81"/>
      <c r="AS138" s="81"/>
    </row>
    <row r="139" spans="17:45" x14ac:dyDescent="0.25">
      <c r="Q139" s="84"/>
      <c r="R139" s="81"/>
      <c r="S139" s="81"/>
      <c r="T139" s="81"/>
      <c r="Z139" s="81"/>
      <c r="AA139" s="81"/>
      <c r="AB139" s="81"/>
      <c r="AC139" s="81"/>
      <c r="AD139" s="81"/>
      <c r="AE139" s="81"/>
      <c r="AF139" s="81"/>
      <c r="AG139" s="81"/>
      <c r="AH139" s="81"/>
      <c r="AI139" s="81"/>
      <c r="AJ139" s="81"/>
      <c r="AK139" s="81"/>
      <c r="AL139" s="81"/>
      <c r="AM139" s="81"/>
      <c r="AN139" s="81"/>
      <c r="AO139" s="81"/>
      <c r="AP139" s="81"/>
      <c r="AS139" s="81"/>
    </row>
    <row r="140" spans="17:45" x14ac:dyDescent="0.25">
      <c r="Q140" s="84"/>
      <c r="R140" s="81"/>
      <c r="S140" s="81"/>
      <c r="T140" s="81"/>
      <c r="Z140" s="81"/>
      <c r="AA140" s="81"/>
      <c r="AB140" s="81"/>
      <c r="AC140" s="81"/>
      <c r="AD140" s="81"/>
      <c r="AE140" s="81"/>
      <c r="AF140" s="81"/>
      <c r="AG140" s="81"/>
      <c r="AH140" s="81"/>
      <c r="AI140" s="81"/>
      <c r="AJ140" s="81"/>
      <c r="AK140" s="81"/>
      <c r="AL140" s="81"/>
      <c r="AM140" s="81"/>
      <c r="AN140" s="81"/>
      <c r="AO140" s="81"/>
      <c r="AP140" s="81"/>
      <c r="AS140" s="81"/>
    </row>
    <row r="141" spans="17:45" x14ac:dyDescent="0.25">
      <c r="Q141" s="84"/>
      <c r="R141" s="81"/>
      <c r="S141" s="81"/>
      <c r="T141" s="81"/>
      <c r="Z141" s="81"/>
      <c r="AA141" s="81"/>
      <c r="AB141" s="81"/>
      <c r="AC141" s="81"/>
      <c r="AD141" s="81"/>
      <c r="AE141" s="81"/>
      <c r="AF141" s="81"/>
      <c r="AG141" s="81"/>
      <c r="AH141" s="81"/>
      <c r="AI141" s="81"/>
      <c r="AJ141" s="81"/>
      <c r="AK141" s="81"/>
      <c r="AL141" s="81"/>
      <c r="AM141" s="81"/>
      <c r="AN141" s="81"/>
      <c r="AO141" s="81"/>
      <c r="AP141" s="81"/>
      <c r="AS141" s="81"/>
    </row>
    <row r="142" spans="17:45" x14ac:dyDescent="0.25">
      <c r="Q142" s="84"/>
      <c r="R142" s="81"/>
      <c r="S142" s="81"/>
      <c r="T142" s="81"/>
      <c r="Z142" s="81"/>
      <c r="AA142" s="81"/>
      <c r="AB142" s="81"/>
      <c r="AC142" s="81"/>
      <c r="AD142" s="81"/>
      <c r="AE142" s="81"/>
      <c r="AF142" s="81"/>
      <c r="AG142" s="81"/>
      <c r="AH142" s="81"/>
      <c r="AI142" s="81"/>
      <c r="AJ142" s="81"/>
      <c r="AK142" s="81"/>
      <c r="AL142" s="81"/>
      <c r="AM142" s="81"/>
      <c r="AN142" s="81"/>
      <c r="AO142" s="81"/>
      <c r="AP142" s="81"/>
      <c r="AS142" s="81"/>
    </row>
    <row r="143" spans="17:45" x14ac:dyDescent="0.25">
      <c r="Q143" s="84"/>
      <c r="R143" s="81"/>
      <c r="S143" s="81"/>
      <c r="T143" s="81"/>
      <c r="Z143" s="81"/>
      <c r="AA143" s="81"/>
      <c r="AB143" s="81"/>
      <c r="AC143" s="81"/>
      <c r="AD143" s="81"/>
      <c r="AE143" s="81"/>
      <c r="AF143" s="81"/>
      <c r="AG143" s="81"/>
      <c r="AH143" s="81"/>
      <c r="AI143" s="81"/>
      <c r="AJ143" s="81"/>
      <c r="AK143" s="81"/>
      <c r="AL143" s="81"/>
      <c r="AM143" s="81"/>
      <c r="AN143" s="81"/>
      <c r="AO143" s="81"/>
      <c r="AP143" s="81"/>
      <c r="AS143" s="81"/>
    </row>
    <row r="144" spans="17:45" x14ac:dyDescent="0.25">
      <c r="Q144" s="84"/>
      <c r="R144" s="81"/>
      <c r="S144" s="81"/>
      <c r="T144" s="81"/>
      <c r="Z144" s="81"/>
      <c r="AA144" s="81"/>
      <c r="AB144" s="81"/>
      <c r="AC144" s="81"/>
      <c r="AD144" s="81"/>
      <c r="AE144" s="81"/>
      <c r="AF144" s="81"/>
      <c r="AG144" s="81"/>
      <c r="AH144" s="81"/>
      <c r="AI144" s="81"/>
      <c r="AJ144" s="81"/>
      <c r="AK144" s="81"/>
      <c r="AL144" s="81"/>
      <c r="AM144" s="81"/>
      <c r="AN144" s="81"/>
      <c r="AO144" s="81"/>
      <c r="AP144" s="81"/>
      <c r="AS144" s="81"/>
    </row>
    <row r="145" spans="17:45" x14ac:dyDescent="0.25">
      <c r="Q145" s="84"/>
      <c r="R145" s="81"/>
      <c r="S145" s="81"/>
      <c r="T145" s="81"/>
      <c r="Z145" s="81"/>
      <c r="AA145" s="81"/>
      <c r="AB145" s="81"/>
      <c r="AC145" s="81"/>
      <c r="AD145" s="81"/>
      <c r="AE145" s="81"/>
      <c r="AF145" s="81"/>
      <c r="AG145" s="81"/>
      <c r="AH145" s="81"/>
      <c r="AI145" s="81"/>
      <c r="AJ145" s="81"/>
      <c r="AK145" s="81"/>
      <c r="AL145" s="81"/>
      <c r="AM145" s="81"/>
      <c r="AN145" s="81"/>
      <c r="AO145" s="81"/>
      <c r="AP145" s="81"/>
      <c r="AS145" s="81"/>
    </row>
    <row r="146" spans="17:45" x14ac:dyDescent="0.25">
      <c r="Q146" s="84"/>
      <c r="R146" s="81"/>
      <c r="S146" s="81"/>
      <c r="T146" s="81"/>
      <c r="Z146" s="81"/>
      <c r="AA146" s="81"/>
      <c r="AB146" s="81"/>
      <c r="AC146" s="81"/>
      <c r="AD146" s="81"/>
      <c r="AE146" s="81"/>
      <c r="AF146" s="81"/>
      <c r="AG146" s="81"/>
      <c r="AH146" s="81"/>
      <c r="AI146" s="81"/>
      <c r="AJ146" s="81"/>
      <c r="AK146" s="81"/>
      <c r="AL146" s="81"/>
      <c r="AM146" s="81"/>
      <c r="AN146" s="81"/>
      <c r="AO146" s="81"/>
      <c r="AP146" s="81"/>
      <c r="AS146" s="81"/>
    </row>
    <row r="147" spans="17:45" x14ac:dyDescent="0.25">
      <c r="Q147" s="84"/>
      <c r="R147" s="81"/>
      <c r="S147" s="81"/>
      <c r="T147" s="81"/>
      <c r="Z147" s="81"/>
      <c r="AA147" s="81"/>
      <c r="AB147" s="81"/>
      <c r="AC147" s="81"/>
      <c r="AD147" s="81"/>
      <c r="AE147" s="81"/>
      <c r="AF147" s="81"/>
      <c r="AG147" s="81"/>
      <c r="AH147" s="81"/>
      <c r="AI147" s="81"/>
      <c r="AJ147" s="81"/>
      <c r="AK147" s="81"/>
      <c r="AL147" s="81"/>
      <c r="AM147" s="81"/>
      <c r="AN147" s="81"/>
      <c r="AO147" s="81"/>
      <c r="AP147" s="81"/>
      <c r="AS147" s="81"/>
    </row>
    <row r="148" spans="17:45" x14ac:dyDescent="0.25">
      <c r="Q148" s="84"/>
      <c r="R148" s="81"/>
      <c r="S148" s="81"/>
      <c r="T148" s="81"/>
      <c r="Z148" s="81"/>
      <c r="AA148" s="81"/>
      <c r="AB148" s="81"/>
      <c r="AC148" s="81"/>
      <c r="AD148" s="81"/>
      <c r="AE148" s="81"/>
      <c r="AF148" s="81"/>
      <c r="AG148" s="81"/>
      <c r="AH148" s="81"/>
      <c r="AI148" s="81"/>
      <c r="AJ148" s="81"/>
      <c r="AK148" s="81"/>
      <c r="AL148" s="81"/>
      <c r="AM148" s="81"/>
      <c r="AN148" s="81"/>
      <c r="AO148" s="81"/>
      <c r="AP148" s="81"/>
      <c r="AS148" s="81"/>
    </row>
    <row r="149" spans="17:45" x14ac:dyDescent="0.25">
      <c r="Q149" s="84"/>
      <c r="R149" s="81"/>
      <c r="S149" s="81"/>
      <c r="T149" s="81"/>
      <c r="Z149" s="81"/>
      <c r="AA149" s="81"/>
      <c r="AB149" s="81"/>
      <c r="AC149" s="81"/>
      <c r="AD149" s="81"/>
      <c r="AE149" s="81"/>
      <c r="AF149" s="81"/>
      <c r="AG149" s="81"/>
      <c r="AH149" s="81"/>
      <c r="AI149" s="81"/>
      <c r="AJ149" s="81"/>
      <c r="AK149" s="81"/>
      <c r="AL149" s="81"/>
      <c r="AM149" s="81"/>
      <c r="AN149" s="81"/>
      <c r="AO149" s="81"/>
      <c r="AP149" s="81"/>
      <c r="AS149" s="81"/>
    </row>
    <row r="150" spans="17:45" x14ac:dyDescent="0.25">
      <c r="Q150" s="84"/>
      <c r="R150" s="81"/>
      <c r="S150" s="81"/>
      <c r="T150" s="81"/>
      <c r="Z150" s="81"/>
      <c r="AA150" s="81"/>
      <c r="AB150" s="81"/>
      <c r="AC150" s="81"/>
      <c r="AD150" s="81"/>
      <c r="AE150" s="81"/>
      <c r="AF150" s="81"/>
      <c r="AG150" s="81"/>
      <c r="AH150" s="81"/>
      <c r="AI150" s="81"/>
      <c r="AJ150" s="81"/>
      <c r="AK150" s="81"/>
      <c r="AL150" s="81"/>
      <c r="AM150" s="81"/>
      <c r="AN150" s="81"/>
      <c r="AO150" s="81"/>
      <c r="AP150" s="81"/>
      <c r="AS150" s="81"/>
    </row>
    <row r="151" spans="17:45" x14ac:dyDescent="0.25">
      <c r="Q151" s="84"/>
      <c r="R151" s="81"/>
      <c r="S151" s="81"/>
      <c r="T151" s="81"/>
      <c r="Z151" s="81"/>
      <c r="AA151" s="81"/>
      <c r="AB151" s="81"/>
      <c r="AC151" s="81"/>
      <c r="AD151" s="81"/>
      <c r="AE151" s="81"/>
      <c r="AF151" s="81"/>
      <c r="AG151" s="81"/>
      <c r="AH151" s="81"/>
      <c r="AI151" s="81"/>
      <c r="AJ151" s="81"/>
      <c r="AK151" s="81"/>
      <c r="AL151" s="81"/>
      <c r="AM151" s="81"/>
      <c r="AN151" s="81"/>
      <c r="AO151" s="81"/>
      <c r="AP151" s="81"/>
      <c r="AS151" s="81"/>
    </row>
    <row r="152" spans="17:45" x14ac:dyDescent="0.25">
      <c r="Q152" s="84"/>
      <c r="R152" s="81"/>
      <c r="S152" s="81"/>
      <c r="T152" s="81"/>
      <c r="Z152" s="81"/>
      <c r="AA152" s="81"/>
      <c r="AB152" s="81"/>
      <c r="AC152" s="81"/>
      <c r="AD152" s="81"/>
      <c r="AE152" s="81"/>
      <c r="AF152" s="81"/>
      <c r="AG152" s="81"/>
      <c r="AH152" s="81"/>
      <c r="AI152" s="81"/>
      <c r="AJ152" s="81"/>
      <c r="AK152" s="81"/>
      <c r="AL152" s="81"/>
      <c r="AM152" s="81"/>
      <c r="AN152" s="81"/>
      <c r="AO152" s="81"/>
      <c r="AP152" s="81"/>
      <c r="AS152" s="81"/>
    </row>
    <row r="153" spans="17:45" x14ac:dyDescent="0.25">
      <c r="Q153" s="84"/>
      <c r="R153" s="81"/>
      <c r="S153" s="81"/>
      <c r="T153" s="81"/>
      <c r="Z153" s="81"/>
      <c r="AA153" s="81"/>
      <c r="AB153" s="81"/>
      <c r="AC153" s="81"/>
      <c r="AD153" s="81"/>
      <c r="AE153" s="81"/>
      <c r="AF153" s="81"/>
      <c r="AG153" s="81"/>
      <c r="AH153" s="81"/>
      <c r="AI153" s="81"/>
      <c r="AJ153" s="81"/>
      <c r="AK153" s="81"/>
      <c r="AL153" s="81"/>
      <c r="AM153" s="81"/>
      <c r="AN153" s="81"/>
      <c r="AO153" s="81"/>
      <c r="AP153" s="81"/>
      <c r="AS153" s="81"/>
    </row>
    <row r="154" spans="17:45" x14ac:dyDescent="0.25">
      <c r="Q154" s="84"/>
      <c r="R154" s="81"/>
      <c r="S154" s="81"/>
      <c r="T154" s="81"/>
      <c r="Z154" s="81"/>
      <c r="AA154" s="81"/>
      <c r="AB154" s="81"/>
      <c r="AC154" s="81"/>
      <c r="AD154" s="81"/>
      <c r="AE154" s="81"/>
      <c r="AF154" s="81"/>
      <c r="AG154" s="81"/>
      <c r="AH154" s="81"/>
      <c r="AI154" s="81"/>
      <c r="AJ154" s="81"/>
      <c r="AK154" s="81"/>
      <c r="AL154" s="81"/>
      <c r="AM154" s="81"/>
      <c r="AN154" s="81"/>
      <c r="AO154" s="81"/>
      <c r="AP154" s="81"/>
      <c r="AS154" s="81"/>
    </row>
    <row r="155" spans="17:45" x14ac:dyDescent="0.25">
      <c r="Q155" s="84"/>
      <c r="R155" s="81"/>
      <c r="S155" s="81"/>
      <c r="T155" s="81"/>
      <c r="Z155" s="81"/>
      <c r="AA155" s="81"/>
      <c r="AB155" s="81"/>
      <c r="AC155" s="81"/>
      <c r="AD155" s="81"/>
      <c r="AE155" s="81"/>
      <c r="AF155" s="81"/>
      <c r="AG155" s="81"/>
      <c r="AH155" s="81"/>
      <c r="AI155" s="81"/>
      <c r="AJ155" s="81"/>
      <c r="AK155" s="81"/>
      <c r="AL155" s="81"/>
      <c r="AM155" s="81"/>
      <c r="AN155" s="81"/>
      <c r="AO155" s="81"/>
      <c r="AP155" s="81"/>
      <c r="AS155" s="81"/>
    </row>
    <row r="156" spans="17:45" x14ac:dyDescent="0.25">
      <c r="Q156" s="84"/>
      <c r="R156" s="81"/>
      <c r="S156" s="81"/>
      <c r="T156" s="81"/>
      <c r="Z156" s="81"/>
      <c r="AA156" s="81"/>
      <c r="AB156" s="81"/>
      <c r="AC156" s="81"/>
      <c r="AD156" s="81"/>
      <c r="AE156" s="81"/>
      <c r="AF156" s="81"/>
      <c r="AG156" s="81"/>
      <c r="AH156" s="81"/>
      <c r="AI156" s="81"/>
      <c r="AJ156" s="81"/>
      <c r="AK156" s="81"/>
      <c r="AL156" s="81"/>
      <c r="AM156" s="81"/>
      <c r="AN156" s="81"/>
      <c r="AO156" s="81"/>
      <c r="AP156" s="81"/>
      <c r="AS156" s="81"/>
    </row>
    <row r="157" spans="17:45" x14ac:dyDescent="0.25">
      <c r="Q157" s="84"/>
      <c r="R157" s="81"/>
      <c r="S157" s="81"/>
      <c r="T157" s="81"/>
      <c r="Z157" s="81"/>
      <c r="AA157" s="81"/>
      <c r="AB157" s="81"/>
      <c r="AC157" s="81"/>
      <c r="AD157" s="81"/>
      <c r="AE157" s="81"/>
      <c r="AF157" s="81"/>
      <c r="AG157" s="81"/>
      <c r="AH157" s="81"/>
      <c r="AI157" s="81"/>
      <c r="AJ157" s="81"/>
      <c r="AK157" s="81"/>
      <c r="AL157" s="81"/>
      <c r="AM157" s="81"/>
      <c r="AN157" s="81"/>
      <c r="AO157" s="81"/>
      <c r="AP157" s="81"/>
      <c r="AS157" s="81"/>
    </row>
    <row r="158" spans="17:45" x14ac:dyDescent="0.25">
      <c r="Q158" s="84"/>
      <c r="R158" s="81"/>
      <c r="S158" s="81"/>
      <c r="T158" s="81"/>
      <c r="Z158" s="81"/>
      <c r="AA158" s="81"/>
      <c r="AB158" s="81"/>
      <c r="AC158" s="81"/>
      <c r="AD158" s="81"/>
      <c r="AE158" s="81"/>
      <c r="AF158" s="81"/>
      <c r="AG158" s="81"/>
      <c r="AH158" s="81"/>
      <c r="AI158" s="81"/>
      <c r="AJ158" s="81"/>
      <c r="AK158" s="81"/>
      <c r="AL158" s="81"/>
      <c r="AM158" s="81"/>
      <c r="AN158" s="81"/>
      <c r="AO158" s="81"/>
      <c r="AP158" s="81"/>
      <c r="AS158" s="81"/>
    </row>
    <row r="159" spans="17:45" x14ac:dyDescent="0.25">
      <c r="Q159" s="84"/>
      <c r="R159" s="81"/>
      <c r="S159" s="81"/>
      <c r="T159" s="81"/>
      <c r="Z159" s="81"/>
      <c r="AA159" s="81"/>
      <c r="AB159" s="81"/>
      <c r="AC159" s="81"/>
      <c r="AD159" s="81"/>
      <c r="AE159" s="81"/>
      <c r="AF159" s="81"/>
      <c r="AG159" s="81"/>
      <c r="AH159" s="81"/>
      <c r="AI159" s="81"/>
      <c r="AJ159" s="81"/>
      <c r="AK159" s="81"/>
      <c r="AL159" s="81"/>
      <c r="AM159" s="81"/>
      <c r="AN159" s="81"/>
      <c r="AO159" s="81"/>
      <c r="AP159" s="81"/>
      <c r="AS159" s="81"/>
    </row>
    <row r="160" spans="17:45" x14ac:dyDescent="0.25">
      <c r="Q160" s="84"/>
      <c r="R160" s="81"/>
      <c r="S160" s="81"/>
      <c r="T160" s="81"/>
      <c r="Z160" s="81"/>
      <c r="AA160" s="81"/>
      <c r="AB160" s="81"/>
      <c r="AC160" s="81"/>
      <c r="AD160" s="81"/>
      <c r="AE160" s="81"/>
      <c r="AF160" s="81"/>
      <c r="AG160" s="81"/>
      <c r="AH160" s="81"/>
      <c r="AI160" s="81"/>
      <c r="AJ160" s="81"/>
      <c r="AK160" s="81"/>
      <c r="AL160" s="81"/>
      <c r="AM160" s="81"/>
      <c r="AN160" s="81"/>
      <c r="AO160" s="81"/>
      <c r="AP160" s="81"/>
      <c r="AS160" s="81"/>
    </row>
    <row r="161" spans="17:45" x14ac:dyDescent="0.25">
      <c r="Q161" s="84"/>
      <c r="R161" s="81"/>
      <c r="S161" s="81"/>
      <c r="T161" s="81"/>
      <c r="Z161" s="81"/>
      <c r="AA161" s="81"/>
      <c r="AB161" s="81"/>
      <c r="AC161" s="81"/>
      <c r="AD161" s="81"/>
      <c r="AE161" s="81"/>
      <c r="AF161" s="81"/>
      <c r="AG161" s="81"/>
      <c r="AH161" s="81"/>
      <c r="AI161" s="81"/>
      <c r="AJ161" s="81"/>
      <c r="AK161" s="81"/>
      <c r="AL161" s="81"/>
      <c r="AM161" s="81"/>
      <c r="AN161" s="81"/>
      <c r="AO161" s="81"/>
      <c r="AP161" s="81"/>
      <c r="AS161" s="81"/>
    </row>
    <row r="162" spans="17:45" x14ac:dyDescent="0.25">
      <c r="Q162" s="84"/>
      <c r="R162" s="81"/>
      <c r="S162" s="81"/>
      <c r="T162" s="81"/>
      <c r="Z162" s="81"/>
      <c r="AA162" s="81"/>
      <c r="AB162" s="81"/>
      <c r="AC162" s="81"/>
      <c r="AD162" s="81"/>
      <c r="AE162" s="81"/>
      <c r="AF162" s="81"/>
      <c r="AG162" s="81"/>
      <c r="AH162" s="81"/>
      <c r="AI162" s="81"/>
      <c r="AJ162" s="81"/>
      <c r="AK162" s="81"/>
      <c r="AL162" s="81"/>
      <c r="AM162" s="81"/>
      <c r="AN162" s="81"/>
      <c r="AO162" s="81"/>
      <c r="AP162" s="81"/>
      <c r="AS162" s="81"/>
    </row>
    <row r="163" spans="17:45" x14ac:dyDescent="0.25">
      <c r="Q163" s="84"/>
      <c r="R163" s="81"/>
      <c r="S163" s="81"/>
      <c r="T163" s="81"/>
      <c r="Z163" s="81"/>
      <c r="AA163" s="81"/>
      <c r="AB163" s="81"/>
      <c r="AC163" s="81"/>
      <c r="AD163" s="81"/>
      <c r="AE163" s="81"/>
      <c r="AF163" s="81"/>
      <c r="AG163" s="81"/>
      <c r="AH163" s="81"/>
      <c r="AI163" s="81"/>
      <c r="AJ163" s="81"/>
      <c r="AK163" s="81"/>
      <c r="AL163" s="81"/>
      <c r="AM163" s="81"/>
      <c r="AN163" s="81"/>
      <c r="AO163" s="81"/>
      <c r="AP163" s="81"/>
      <c r="AS163" s="81"/>
    </row>
    <row r="164" spans="17:45" x14ac:dyDescent="0.25">
      <c r="Q164" s="84"/>
      <c r="R164" s="81"/>
      <c r="S164" s="81"/>
      <c r="T164" s="81"/>
      <c r="Z164" s="81"/>
      <c r="AA164" s="81"/>
      <c r="AB164" s="81"/>
      <c r="AC164" s="81"/>
      <c r="AD164" s="81"/>
      <c r="AE164" s="81"/>
      <c r="AF164" s="81"/>
      <c r="AG164" s="81"/>
      <c r="AH164" s="81"/>
      <c r="AI164" s="81"/>
      <c r="AJ164" s="81"/>
      <c r="AK164" s="81"/>
      <c r="AL164" s="81"/>
      <c r="AM164" s="81"/>
      <c r="AN164" s="81"/>
      <c r="AO164" s="81"/>
      <c r="AP164" s="81"/>
      <c r="AS164" s="81"/>
    </row>
    <row r="165" spans="17:45" x14ac:dyDescent="0.25">
      <c r="Q165" s="84"/>
      <c r="R165" s="81"/>
      <c r="S165" s="81"/>
      <c r="T165" s="81"/>
      <c r="Z165" s="81"/>
      <c r="AA165" s="81"/>
      <c r="AB165" s="81"/>
      <c r="AC165" s="81"/>
      <c r="AD165" s="81"/>
      <c r="AE165" s="81"/>
      <c r="AF165" s="81"/>
      <c r="AG165" s="81"/>
      <c r="AH165" s="81"/>
      <c r="AI165" s="81"/>
      <c r="AJ165" s="81"/>
      <c r="AK165" s="81"/>
      <c r="AL165" s="81"/>
      <c r="AM165" s="81"/>
      <c r="AN165" s="81"/>
      <c r="AO165" s="81"/>
      <c r="AP165" s="81"/>
      <c r="AS165" s="81"/>
    </row>
    <row r="166" spans="17:45" x14ac:dyDescent="0.25">
      <c r="Q166" s="84"/>
      <c r="R166" s="81"/>
      <c r="S166" s="81"/>
      <c r="T166" s="81"/>
      <c r="Z166" s="81"/>
      <c r="AA166" s="81"/>
      <c r="AB166" s="81"/>
      <c r="AC166" s="81"/>
      <c r="AD166" s="81"/>
      <c r="AE166" s="81"/>
      <c r="AF166" s="81"/>
      <c r="AG166" s="81"/>
      <c r="AH166" s="81"/>
      <c r="AI166" s="81"/>
      <c r="AJ166" s="81"/>
      <c r="AK166" s="81"/>
      <c r="AL166" s="81"/>
      <c r="AM166" s="81"/>
      <c r="AN166" s="81"/>
      <c r="AO166" s="81"/>
      <c r="AP166" s="81"/>
      <c r="AS166" s="81"/>
    </row>
    <row r="167" spans="17:45" x14ac:dyDescent="0.25">
      <c r="Q167" s="84"/>
      <c r="R167" s="81"/>
      <c r="S167" s="81"/>
      <c r="T167" s="81"/>
      <c r="Z167" s="81"/>
      <c r="AA167" s="81"/>
      <c r="AB167" s="81"/>
      <c r="AC167" s="81"/>
      <c r="AD167" s="81"/>
      <c r="AE167" s="81"/>
      <c r="AF167" s="81"/>
      <c r="AG167" s="81"/>
      <c r="AH167" s="81"/>
      <c r="AI167" s="81"/>
      <c r="AJ167" s="81"/>
      <c r="AK167" s="81"/>
      <c r="AL167" s="81"/>
      <c r="AM167" s="81"/>
      <c r="AN167" s="81"/>
      <c r="AO167" s="81"/>
      <c r="AP167" s="81"/>
      <c r="AS167" s="81"/>
    </row>
    <row r="168" spans="17:45" x14ac:dyDescent="0.25">
      <c r="Q168" s="84"/>
      <c r="R168" s="81"/>
      <c r="S168" s="81"/>
      <c r="T168" s="81"/>
      <c r="Z168" s="81"/>
      <c r="AA168" s="81"/>
      <c r="AB168" s="81"/>
      <c r="AC168" s="81"/>
      <c r="AD168" s="81"/>
      <c r="AE168" s="81"/>
      <c r="AF168" s="81"/>
      <c r="AG168" s="81"/>
      <c r="AH168" s="81"/>
      <c r="AI168" s="81"/>
      <c r="AJ168" s="81"/>
      <c r="AK168" s="81"/>
      <c r="AL168" s="81"/>
      <c r="AM168" s="81"/>
      <c r="AN168" s="81"/>
      <c r="AO168" s="81"/>
      <c r="AP168" s="81"/>
      <c r="AS168" s="81"/>
    </row>
    <row r="169" spans="17:45" x14ac:dyDescent="0.25">
      <c r="Q169" s="84"/>
      <c r="R169" s="81"/>
      <c r="S169" s="81"/>
      <c r="T169" s="81"/>
      <c r="Z169" s="81"/>
      <c r="AA169" s="81"/>
      <c r="AB169" s="81"/>
      <c r="AC169" s="81"/>
      <c r="AD169" s="81"/>
      <c r="AE169" s="81"/>
      <c r="AF169" s="81"/>
      <c r="AG169" s="81"/>
      <c r="AH169" s="81"/>
      <c r="AI169" s="81"/>
      <c r="AJ169" s="81"/>
      <c r="AK169" s="81"/>
      <c r="AL169" s="81"/>
      <c r="AM169" s="81"/>
      <c r="AN169" s="81"/>
      <c r="AO169" s="81"/>
      <c r="AP169" s="81"/>
      <c r="AS169" s="81"/>
    </row>
    <row r="170" spans="17:45" x14ac:dyDescent="0.25">
      <c r="Q170" s="84"/>
      <c r="R170" s="81"/>
      <c r="S170" s="81"/>
      <c r="T170" s="81"/>
      <c r="Z170" s="81"/>
      <c r="AA170" s="81"/>
      <c r="AB170" s="81"/>
      <c r="AC170" s="81"/>
      <c r="AD170" s="81"/>
      <c r="AE170" s="81"/>
      <c r="AF170" s="81"/>
      <c r="AG170" s="81"/>
      <c r="AH170" s="81"/>
      <c r="AI170" s="81"/>
      <c r="AJ170" s="81"/>
      <c r="AK170" s="81"/>
      <c r="AL170" s="81"/>
      <c r="AM170" s="81"/>
      <c r="AN170" s="81"/>
      <c r="AO170" s="81"/>
      <c r="AP170" s="81"/>
      <c r="AS170" s="81"/>
    </row>
    <row r="171" spans="17:45" x14ac:dyDescent="0.25">
      <c r="Q171" s="84"/>
      <c r="R171" s="81"/>
      <c r="S171" s="81"/>
      <c r="T171" s="81"/>
      <c r="Z171" s="81"/>
      <c r="AA171" s="81"/>
      <c r="AB171" s="81"/>
      <c r="AC171" s="81"/>
      <c r="AD171" s="81"/>
      <c r="AE171" s="81"/>
      <c r="AF171" s="81"/>
      <c r="AG171" s="81"/>
      <c r="AH171" s="81"/>
      <c r="AI171" s="81"/>
      <c r="AJ171" s="81"/>
      <c r="AK171" s="81"/>
      <c r="AL171" s="81"/>
      <c r="AM171" s="81"/>
      <c r="AN171" s="81"/>
      <c r="AO171" s="81"/>
      <c r="AP171" s="81"/>
      <c r="AS171" s="81"/>
    </row>
    <row r="172" spans="17:45" x14ac:dyDescent="0.25">
      <c r="Q172" s="84"/>
      <c r="R172" s="81"/>
      <c r="S172" s="81"/>
      <c r="T172" s="81"/>
      <c r="Z172" s="81"/>
      <c r="AA172" s="81"/>
      <c r="AB172" s="81"/>
      <c r="AC172" s="81"/>
      <c r="AD172" s="81"/>
      <c r="AE172" s="81"/>
      <c r="AF172" s="81"/>
      <c r="AG172" s="81"/>
      <c r="AH172" s="81"/>
      <c r="AI172" s="81"/>
      <c r="AJ172" s="81"/>
      <c r="AK172" s="81"/>
      <c r="AL172" s="81"/>
      <c r="AM172" s="81"/>
      <c r="AN172" s="81"/>
      <c r="AO172" s="81"/>
      <c r="AP172" s="81"/>
      <c r="AS172" s="81"/>
    </row>
    <row r="173" spans="17:45" x14ac:dyDescent="0.25">
      <c r="Q173" s="84"/>
      <c r="R173" s="81"/>
      <c r="S173" s="81"/>
      <c r="T173" s="81"/>
      <c r="Z173" s="81"/>
      <c r="AA173" s="81"/>
      <c r="AB173" s="81"/>
      <c r="AC173" s="81"/>
      <c r="AD173" s="81"/>
      <c r="AE173" s="81"/>
      <c r="AF173" s="81"/>
      <c r="AG173" s="81"/>
      <c r="AH173" s="81"/>
      <c r="AI173" s="81"/>
      <c r="AJ173" s="81"/>
      <c r="AK173" s="81"/>
      <c r="AL173" s="81"/>
      <c r="AM173" s="81"/>
      <c r="AN173" s="81"/>
      <c r="AO173" s="81"/>
      <c r="AP173" s="81"/>
      <c r="AS173" s="81"/>
    </row>
    <row r="174" spans="17:45" x14ac:dyDescent="0.25">
      <c r="Q174" s="84"/>
      <c r="R174" s="81"/>
      <c r="S174" s="81"/>
      <c r="T174" s="81"/>
      <c r="Z174" s="81"/>
      <c r="AA174" s="81"/>
      <c r="AB174" s="81"/>
      <c r="AC174" s="81"/>
      <c r="AD174" s="81"/>
      <c r="AE174" s="81"/>
      <c r="AF174" s="81"/>
      <c r="AG174" s="81"/>
      <c r="AH174" s="81"/>
      <c r="AI174" s="81"/>
      <c r="AJ174" s="81"/>
      <c r="AK174" s="81"/>
      <c r="AL174" s="81"/>
      <c r="AM174" s="81"/>
      <c r="AN174" s="81"/>
      <c r="AO174" s="81"/>
      <c r="AP174" s="81"/>
      <c r="AS174" s="81"/>
    </row>
    <row r="175" spans="17:45" x14ac:dyDescent="0.25">
      <c r="Q175" s="84"/>
      <c r="R175" s="81"/>
      <c r="S175" s="81"/>
      <c r="T175" s="81"/>
      <c r="Z175" s="81"/>
      <c r="AA175" s="81"/>
      <c r="AB175" s="81"/>
      <c r="AC175" s="81"/>
      <c r="AD175" s="81"/>
      <c r="AE175" s="81"/>
      <c r="AF175" s="81"/>
      <c r="AG175" s="81"/>
      <c r="AH175" s="81"/>
      <c r="AI175" s="81"/>
      <c r="AJ175" s="81"/>
      <c r="AK175" s="81"/>
      <c r="AL175" s="81"/>
      <c r="AM175" s="81"/>
      <c r="AN175" s="81"/>
      <c r="AO175" s="81"/>
      <c r="AP175" s="81"/>
      <c r="AS175" s="81"/>
    </row>
    <row r="176" spans="17:45" x14ac:dyDescent="0.25">
      <c r="Q176" s="84"/>
      <c r="R176" s="81"/>
      <c r="S176" s="81"/>
      <c r="T176" s="81"/>
      <c r="Z176" s="81"/>
      <c r="AA176" s="81"/>
      <c r="AB176" s="81"/>
      <c r="AC176" s="81"/>
      <c r="AD176" s="81"/>
      <c r="AE176" s="81"/>
      <c r="AF176" s="81"/>
      <c r="AG176" s="81"/>
      <c r="AH176" s="81"/>
      <c r="AI176" s="81"/>
      <c r="AJ176" s="81"/>
      <c r="AK176" s="81"/>
      <c r="AL176" s="81"/>
      <c r="AM176" s="81"/>
      <c r="AN176" s="81"/>
      <c r="AO176" s="81"/>
      <c r="AP176" s="81"/>
      <c r="AS176" s="81"/>
    </row>
    <row r="177" spans="17:45" x14ac:dyDescent="0.25">
      <c r="Q177" s="84"/>
      <c r="R177" s="81"/>
      <c r="S177" s="81"/>
      <c r="T177" s="81"/>
      <c r="Z177" s="81"/>
      <c r="AA177" s="81"/>
      <c r="AB177" s="81"/>
      <c r="AC177" s="81"/>
      <c r="AD177" s="81"/>
      <c r="AE177" s="81"/>
      <c r="AF177" s="81"/>
      <c r="AG177" s="81"/>
      <c r="AH177" s="81"/>
      <c r="AI177" s="81"/>
      <c r="AJ177" s="81"/>
      <c r="AK177" s="81"/>
      <c r="AL177" s="81"/>
      <c r="AM177" s="81"/>
      <c r="AN177" s="81"/>
      <c r="AO177" s="81"/>
      <c r="AP177" s="81"/>
      <c r="AS177" s="81"/>
    </row>
    <row r="178" spans="17:45" x14ac:dyDescent="0.25">
      <c r="Q178" s="84"/>
      <c r="R178" s="81"/>
      <c r="S178" s="81"/>
      <c r="T178" s="81"/>
      <c r="Z178" s="81"/>
      <c r="AA178" s="81"/>
      <c r="AB178" s="81"/>
      <c r="AC178" s="81"/>
      <c r="AD178" s="81"/>
      <c r="AE178" s="81"/>
      <c r="AF178" s="81"/>
      <c r="AG178" s="81"/>
      <c r="AH178" s="81"/>
      <c r="AI178" s="81"/>
      <c r="AJ178" s="81"/>
      <c r="AK178" s="81"/>
      <c r="AL178" s="81"/>
      <c r="AM178" s="81"/>
      <c r="AN178" s="81"/>
      <c r="AO178" s="81"/>
      <c r="AP178" s="81"/>
      <c r="AS178" s="81"/>
    </row>
    <row r="179" spans="17:45" x14ac:dyDescent="0.25">
      <c r="Q179" s="84"/>
      <c r="R179" s="81"/>
      <c r="S179" s="81"/>
      <c r="T179" s="81"/>
      <c r="Z179" s="81"/>
      <c r="AA179" s="81"/>
      <c r="AB179" s="81"/>
      <c r="AC179" s="81"/>
      <c r="AD179" s="81"/>
      <c r="AE179" s="81"/>
      <c r="AF179" s="81"/>
      <c r="AG179" s="81"/>
      <c r="AH179" s="81"/>
      <c r="AI179" s="81"/>
      <c r="AJ179" s="81"/>
      <c r="AK179" s="81"/>
      <c r="AL179" s="81"/>
      <c r="AM179" s="81"/>
      <c r="AN179" s="81"/>
      <c r="AO179" s="81"/>
      <c r="AP179" s="81"/>
      <c r="AS179" s="81"/>
    </row>
    <row r="180" spans="17:45" x14ac:dyDescent="0.25">
      <c r="Q180" s="84"/>
      <c r="R180" s="81"/>
      <c r="S180" s="81"/>
      <c r="T180" s="81"/>
      <c r="Z180" s="81"/>
      <c r="AA180" s="81"/>
      <c r="AB180" s="81"/>
      <c r="AC180" s="81"/>
      <c r="AD180" s="81"/>
      <c r="AE180" s="81"/>
      <c r="AF180" s="81"/>
      <c r="AG180" s="81"/>
      <c r="AH180" s="81"/>
      <c r="AI180" s="81"/>
      <c r="AJ180" s="81"/>
      <c r="AK180" s="81"/>
      <c r="AL180" s="81"/>
      <c r="AM180" s="81"/>
      <c r="AN180" s="81"/>
      <c r="AO180" s="81"/>
      <c r="AP180" s="81"/>
      <c r="AS180" s="81"/>
    </row>
    <row r="181" spans="17:45" x14ac:dyDescent="0.25">
      <c r="Q181" s="84"/>
      <c r="R181" s="81"/>
      <c r="S181" s="81"/>
      <c r="T181" s="81"/>
      <c r="Z181" s="81"/>
      <c r="AA181" s="81"/>
      <c r="AB181" s="81"/>
      <c r="AC181" s="81"/>
      <c r="AD181" s="81"/>
      <c r="AE181" s="81"/>
      <c r="AF181" s="81"/>
      <c r="AG181" s="81"/>
      <c r="AH181" s="81"/>
      <c r="AI181" s="81"/>
      <c r="AJ181" s="81"/>
      <c r="AK181" s="81"/>
      <c r="AL181" s="81"/>
      <c r="AM181" s="81"/>
      <c r="AN181" s="81"/>
      <c r="AO181" s="81"/>
      <c r="AP181" s="81"/>
      <c r="AS181" s="81"/>
    </row>
    <row r="182" spans="17:45" x14ac:dyDescent="0.25">
      <c r="Q182" s="84"/>
      <c r="R182" s="81"/>
      <c r="S182" s="81"/>
      <c r="T182" s="81"/>
      <c r="Z182" s="81"/>
      <c r="AA182" s="81"/>
      <c r="AB182" s="81"/>
      <c r="AC182" s="81"/>
      <c r="AD182" s="81"/>
      <c r="AE182" s="81"/>
      <c r="AF182" s="81"/>
      <c r="AG182" s="81"/>
      <c r="AH182" s="81"/>
      <c r="AI182" s="81"/>
      <c r="AJ182" s="81"/>
      <c r="AK182" s="81"/>
      <c r="AL182" s="81"/>
      <c r="AM182" s="81"/>
      <c r="AN182" s="81"/>
      <c r="AO182" s="81"/>
      <c r="AP182" s="81"/>
      <c r="AS182" s="81"/>
    </row>
    <row r="183" spans="17:45" x14ac:dyDescent="0.25">
      <c r="Q183" s="84"/>
      <c r="R183" s="81"/>
      <c r="S183" s="81"/>
      <c r="T183" s="81"/>
      <c r="Z183" s="81"/>
      <c r="AA183" s="81"/>
      <c r="AB183" s="81"/>
      <c r="AC183" s="81"/>
      <c r="AD183" s="81"/>
      <c r="AE183" s="81"/>
      <c r="AF183" s="81"/>
      <c r="AG183" s="81"/>
      <c r="AH183" s="81"/>
      <c r="AI183" s="81"/>
      <c r="AJ183" s="81"/>
      <c r="AK183" s="81"/>
      <c r="AL183" s="81"/>
      <c r="AM183" s="81"/>
      <c r="AN183" s="81"/>
      <c r="AO183" s="81"/>
      <c r="AP183" s="81"/>
      <c r="AS183" s="81"/>
    </row>
    <row r="184" spans="17:45" x14ac:dyDescent="0.25">
      <c r="Q184" s="84"/>
      <c r="R184" s="81"/>
      <c r="S184" s="81"/>
      <c r="T184" s="81"/>
      <c r="Z184" s="81"/>
      <c r="AA184" s="81"/>
      <c r="AB184" s="81"/>
      <c r="AC184" s="81"/>
      <c r="AD184" s="81"/>
      <c r="AE184" s="81"/>
      <c r="AF184" s="81"/>
      <c r="AG184" s="81"/>
      <c r="AH184" s="81"/>
      <c r="AI184" s="81"/>
      <c r="AJ184" s="81"/>
      <c r="AK184" s="81"/>
      <c r="AL184" s="81"/>
      <c r="AM184" s="81"/>
      <c r="AN184" s="81"/>
      <c r="AO184" s="81"/>
      <c r="AP184" s="81"/>
      <c r="AS184" s="81"/>
    </row>
    <row r="185" spans="17:45" x14ac:dyDescent="0.25">
      <c r="Q185" s="84"/>
      <c r="R185" s="81"/>
      <c r="S185" s="81"/>
      <c r="T185" s="81"/>
      <c r="Z185" s="81"/>
      <c r="AA185" s="81"/>
      <c r="AB185" s="81"/>
      <c r="AC185" s="81"/>
      <c r="AD185" s="81"/>
      <c r="AE185" s="81"/>
      <c r="AF185" s="81"/>
      <c r="AG185" s="81"/>
      <c r="AH185" s="81"/>
      <c r="AI185" s="81"/>
      <c r="AJ185" s="81"/>
      <c r="AK185" s="81"/>
      <c r="AL185" s="81"/>
      <c r="AM185" s="81"/>
      <c r="AN185" s="81"/>
      <c r="AO185" s="81"/>
      <c r="AP185" s="81"/>
      <c r="AS185" s="81"/>
    </row>
    <row r="186" spans="17:45" x14ac:dyDescent="0.25">
      <c r="Q186" s="84"/>
      <c r="R186" s="81"/>
      <c r="S186" s="81"/>
      <c r="T186" s="81"/>
      <c r="Z186" s="81"/>
      <c r="AA186" s="81"/>
      <c r="AB186" s="81"/>
      <c r="AC186" s="81"/>
      <c r="AD186" s="81"/>
      <c r="AE186" s="81"/>
      <c r="AF186" s="81"/>
      <c r="AG186" s="81"/>
      <c r="AH186" s="81"/>
      <c r="AI186" s="81"/>
      <c r="AJ186" s="81"/>
      <c r="AK186" s="81"/>
      <c r="AL186" s="81"/>
      <c r="AM186" s="81"/>
      <c r="AN186" s="81"/>
      <c r="AO186" s="81"/>
      <c r="AP186" s="81"/>
      <c r="AS186" s="81"/>
    </row>
    <row r="187" spans="17:45" x14ac:dyDescent="0.25">
      <c r="Q187" s="84"/>
      <c r="R187" s="81"/>
      <c r="S187" s="81"/>
      <c r="T187" s="81"/>
      <c r="Z187" s="81"/>
      <c r="AA187" s="81"/>
      <c r="AB187" s="81"/>
      <c r="AC187" s="81"/>
      <c r="AD187" s="81"/>
      <c r="AE187" s="81"/>
      <c r="AF187" s="81"/>
      <c r="AG187" s="81"/>
      <c r="AH187" s="81"/>
      <c r="AI187" s="81"/>
      <c r="AJ187" s="81"/>
      <c r="AK187" s="81"/>
      <c r="AL187" s="81"/>
      <c r="AM187" s="81"/>
      <c r="AN187" s="81"/>
      <c r="AO187" s="81"/>
      <c r="AP187" s="81"/>
      <c r="AS187" s="81"/>
    </row>
    <row r="188" spans="17:45" x14ac:dyDescent="0.25">
      <c r="Q188" s="84"/>
      <c r="R188" s="81"/>
      <c r="S188" s="81"/>
      <c r="T188" s="81"/>
      <c r="Z188" s="81"/>
      <c r="AA188" s="81"/>
      <c r="AB188" s="81"/>
      <c r="AC188" s="81"/>
      <c r="AD188" s="81"/>
      <c r="AE188" s="81"/>
      <c r="AF188" s="81"/>
      <c r="AG188" s="81"/>
      <c r="AH188" s="81"/>
      <c r="AI188" s="81"/>
      <c r="AJ188" s="81"/>
      <c r="AK188" s="81"/>
      <c r="AL188" s="81"/>
      <c r="AM188" s="81"/>
      <c r="AN188" s="81"/>
      <c r="AO188" s="81"/>
      <c r="AP188" s="81"/>
      <c r="AS188" s="81"/>
    </row>
    <row r="189" spans="17:45" x14ac:dyDescent="0.25">
      <c r="Q189" s="84"/>
      <c r="R189" s="81"/>
      <c r="S189" s="81"/>
      <c r="T189" s="81"/>
      <c r="Z189" s="81"/>
      <c r="AA189" s="81"/>
      <c r="AB189" s="81"/>
      <c r="AC189" s="81"/>
      <c r="AD189" s="81"/>
      <c r="AE189" s="81"/>
      <c r="AF189" s="81"/>
      <c r="AG189" s="81"/>
      <c r="AH189" s="81"/>
      <c r="AI189" s="81"/>
      <c r="AJ189" s="81"/>
      <c r="AK189" s="81"/>
      <c r="AL189" s="81"/>
      <c r="AM189" s="81"/>
      <c r="AN189" s="81"/>
      <c r="AO189" s="81"/>
      <c r="AP189" s="81"/>
      <c r="AS189" s="81"/>
    </row>
    <row r="190" spans="17:45" x14ac:dyDescent="0.25">
      <c r="Q190" s="84"/>
      <c r="R190" s="81"/>
      <c r="S190" s="81"/>
      <c r="T190" s="81"/>
      <c r="Z190" s="81"/>
      <c r="AA190" s="81"/>
      <c r="AB190" s="81"/>
      <c r="AC190" s="81"/>
      <c r="AD190" s="81"/>
      <c r="AE190" s="81"/>
      <c r="AF190" s="81"/>
      <c r="AG190" s="81"/>
      <c r="AH190" s="81"/>
      <c r="AI190" s="81"/>
      <c r="AJ190" s="81"/>
      <c r="AK190" s="81"/>
      <c r="AL190" s="81"/>
      <c r="AM190" s="81"/>
      <c r="AN190" s="81"/>
      <c r="AO190" s="81"/>
      <c r="AP190" s="81"/>
      <c r="AS190" s="81"/>
    </row>
    <row r="191" spans="17:45" x14ac:dyDescent="0.25">
      <c r="Q191" s="84"/>
      <c r="R191" s="81"/>
      <c r="S191" s="81"/>
      <c r="T191" s="81"/>
      <c r="Z191" s="81"/>
      <c r="AA191" s="81"/>
      <c r="AB191" s="81"/>
      <c r="AC191" s="81"/>
      <c r="AD191" s="81"/>
      <c r="AE191" s="81"/>
      <c r="AF191" s="81"/>
      <c r="AG191" s="81"/>
      <c r="AH191" s="81"/>
      <c r="AI191" s="81"/>
      <c r="AJ191" s="81"/>
      <c r="AK191" s="81"/>
      <c r="AL191" s="81"/>
      <c r="AM191" s="81"/>
      <c r="AN191" s="81"/>
      <c r="AO191" s="81"/>
      <c r="AP191" s="81"/>
      <c r="AS191" s="81"/>
    </row>
    <row r="192" spans="17:45" x14ac:dyDescent="0.25">
      <c r="Q192" s="84"/>
      <c r="R192" s="81"/>
      <c r="S192" s="81"/>
      <c r="T192" s="81"/>
      <c r="Z192" s="81"/>
      <c r="AA192" s="81"/>
      <c r="AB192" s="81"/>
      <c r="AC192" s="81"/>
      <c r="AD192" s="81"/>
      <c r="AE192" s="81"/>
      <c r="AF192" s="81"/>
      <c r="AG192" s="81"/>
      <c r="AH192" s="81"/>
      <c r="AI192" s="81"/>
      <c r="AJ192" s="81"/>
      <c r="AK192" s="81"/>
      <c r="AL192" s="81"/>
      <c r="AM192" s="81"/>
      <c r="AN192" s="81"/>
      <c r="AO192" s="81"/>
      <c r="AP192" s="81"/>
      <c r="AS192" s="81"/>
    </row>
    <row r="193" spans="17:45" x14ac:dyDescent="0.25">
      <c r="Q193" s="84"/>
      <c r="R193" s="81"/>
      <c r="S193" s="81"/>
      <c r="T193" s="81"/>
      <c r="Z193" s="81"/>
      <c r="AA193" s="81"/>
      <c r="AB193" s="81"/>
      <c r="AC193" s="81"/>
      <c r="AD193" s="81"/>
      <c r="AE193" s="81"/>
      <c r="AF193" s="81"/>
      <c r="AG193" s="81"/>
      <c r="AH193" s="81"/>
      <c r="AI193" s="81"/>
      <c r="AJ193" s="81"/>
      <c r="AK193" s="81"/>
      <c r="AL193" s="81"/>
      <c r="AM193" s="81"/>
      <c r="AN193" s="81"/>
      <c r="AO193" s="81"/>
      <c r="AP193" s="81"/>
      <c r="AS193" s="81"/>
    </row>
    <row r="194" spans="17:45" x14ac:dyDescent="0.25">
      <c r="Q194" s="84"/>
      <c r="R194" s="81"/>
      <c r="S194" s="81"/>
      <c r="T194" s="81"/>
      <c r="Z194" s="81"/>
      <c r="AA194" s="81"/>
      <c r="AB194" s="81"/>
      <c r="AC194" s="81"/>
      <c r="AD194" s="81"/>
      <c r="AE194" s="81"/>
      <c r="AF194" s="81"/>
      <c r="AG194" s="81"/>
      <c r="AH194" s="81"/>
      <c r="AI194" s="81"/>
      <c r="AJ194" s="81"/>
      <c r="AK194" s="81"/>
      <c r="AL194" s="81"/>
      <c r="AM194" s="81"/>
      <c r="AN194" s="81"/>
      <c r="AO194" s="81"/>
      <c r="AP194" s="81"/>
      <c r="AS194" s="81"/>
    </row>
    <row r="195" spans="17:45" x14ac:dyDescent="0.25">
      <c r="Q195" s="84"/>
      <c r="R195" s="81"/>
      <c r="S195" s="81"/>
      <c r="T195" s="81"/>
      <c r="Z195" s="81"/>
      <c r="AA195" s="81"/>
      <c r="AB195" s="81"/>
      <c r="AC195" s="81"/>
      <c r="AD195" s="81"/>
      <c r="AE195" s="81"/>
      <c r="AF195" s="81"/>
      <c r="AG195" s="81"/>
      <c r="AH195" s="81"/>
      <c r="AI195" s="81"/>
      <c r="AJ195" s="81"/>
      <c r="AK195" s="81"/>
      <c r="AL195" s="81"/>
      <c r="AM195" s="81"/>
      <c r="AN195" s="81"/>
      <c r="AO195" s="81"/>
      <c r="AP195" s="81"/>
      <c r="AS195" s="81"/>
    </row>
    <row r="196" spans="17:45" x14ac:dyDescent="0.25">
      <c r="Q196" s="84"/>
      <c r="R196" s="81"/>
      <c r="S196" s="81"/>
      <c r="T196" s="81"/>
      <c r="Z196" s="81"/>
      <c r="AA196" s="81"/>
      <c r="AB196" s="81"/>
      <c r="AC196" s="81"/>
      <c r="AD196" s="81"/>
      <c r="AE196" s="81"/>
      <c r="AF196" s="81"/>
      <c r="AG196" s="81"/>
      <c r="AH196" s="81"/>
      <c r="AI196" s="81"/>
      <c r="AJ196" s="81"/>
      <c r="AK196" s="81"/>
      <c r="AL196" s="81"/>
      <c r="AM196" s="81"/>
      <c r="AN196" s="81"/>
      <c r="AO196" s="81"/>
      <c r="AP196" s="81"/>
      <c r="AS196" s="81"/>
    </row>
    <row r="197" spans="17:45" x14ac:dyDescent="0.25">
      <c r="Q197" s="84"/>
      <c r="R197" s="81"/>
      <c r="S197" s="81"/>
      <c r="T197" s="81"/>
      <c r="Z197" s="81"/>
      <c r="AA197" s="81"/>
      <c r="AB197" s="81"/>
      <c r="AC197" s="81"/>
      <c r="AD197" s="81"/>
      <c r="AE197" s="81"/>
      <c r="AF197" s="81"/>
      <c r="AG197" s="81"/>
      <c r="AH197" s="81"/>
      <c r="AI197" s="81"/>
      <c r="AJ197" s="81"/>
      <c r="AK197" s="81"/>
      <c r="AL197" s="81"/>
      <c r="AM197" s="81"/>
      <c r="AN197" s="81"/>
      <c r="AO197" s="81"/>
      <c r="AP197" s="81"/>
      <c r="AS197" s="81"/>
    </row>
    <row r="198" spans="17:45" x14ac:dyDescent="0.25">
      <c r="Q198" s="84"/>
      <c r="R198" s="81"/>
      <c r="S198" s="81"/>
      <c r="T198" s="81"/>
      <c r="Z198" s="81"/>
      <c r="AA198" s="81"/>
      <c r="AB198" s="81"/>
      <c r="AC198" s="81"/>
      <c r="AD198" s="81"/>
      <c r="AE198" s="81"/>
      <c r="AF198" s="81"/>
      <c r="AG198" s="81"/>
      <c r="AH198" s="81"/>
      <c r="AI198" s="81"/>
      <c r="AJ198" s="81"/>
      <c r="AK198" s="81"/>
      <c r="AL198" s="81"/>
      <c r="AM198" s="81"/>
      <c r="AN198" s="81"/>
      <c r="AO198" s="81"/>
      <c r="AP198" s="81"/>
      <c r="AS198" s="81"/>
    </row>
    <row r="199" spans="17:45" x14ac:dyDescent="0.25">
      <c r="Q199" s="84"/>
      <c r="R199" s="81"/>
      <c r="S199" s="81"/>
      <c r="T199" s="81"/>
      <c r="Z199" s="81"/>
      <c r="AA199" s="81"/>
      <c r="AB199" s="81"/>
      <c r="AC199" s="81"/>
      <c r="AD199" s="81"/>
      <c r="AE199" s="81"/>
      <c r="AF199" s="81"/>
      <c r="AG199" s="81"/>
      <c r="AH199" s="81"/>
      <c r="AI199" s="81"/>
      <c r="AJ199" s="81"/>
      <c r="AK199" s="81"/>
      <c r="AL199" s="81"/>
      <c r="AM199" s="81"/>
      <c r="AN199" s="81"/>
      <c r="AO199" s="81"/>
      <c r="AP199" s="81"/>
      <c r="AS199" s="81"/>
    </row>
    <row r="200" spans="17:45" x14ac:dyDescent="0.25">
      <c r="Q200" s="84"/>
      <c r="R200" s="81"/>
      <c r="S200" s="81"/>
      <c r="T200" s="81"/>
      <c r="Z200" s="81"/>
      <c r="AA200" s="81"/>
      <c r="AB200" s="81"/>
      <c r="AC200" s="81"/>
      <c r="AD200" s="81"/>
      <c r="AE200" s="81"/>
      <c r="AF200" s="81"/>
      <c r="AG200" s="81"/>
      <c r="AH200" s="81"/>
      <c r="AI200" s="81"/>
      <c r="AJ200" s="81"/>
      <c r="AK200" s="81"/>
      <c r="AL200" s="81"/>
      <c r="AM200" s="81"/>
      <c r="AN200" s="81"/>
      <c r="AO200" s="81"/>
      <c r="AP200" s="81"/>
      <c r="AS200" s="81"/>
    </row>
    <row r="201" spans="17:45" x14ac:dyDescent="0.25">
      <c r="Q201" s="84"/>
      <c r="R201" s="81"/>
      <c r="S201" s="81"/>
      <c r="T201" s="81"/>
      <c r="Z201" s="81"/>
      <c r="AA201" s="81"/>
      <c r="AB201" s="81"/>
      <c r="AC201" s="81"/>
      <c r="AD201" s="81"/>
      <c r="AE201" s="81"/>
      <c r="AF201" s="81"/>
      <c r="AG201" s="81"/>
      <c r="AH201" s="81"/>
      <c r="AI201" s="81"/>
      <c r="AJ201" s="81"/>
      <c r="AK201" s="81"/>
      <c r="AL201" s="81"/>
      <c r="AM201" s="81"/>
      <c r="AN201" s="81"/>
      <c r="AO201" s="81"/>
      <c r="AP201" s="81"/>
      <c r="AS201" s="81"/>
    </row>
    <row r="202" spans="17:45" x14ac:dyDescent="0.25">
      <c r="Q202" s="84"/>
      <c r="R202" s="81"/>
      <c r="S202" s="81"/>
      <c r="T202" s="81"/>
      <c r="Z202" s="81"/>
      <c r="AA202" s="81"/>
      <c r="AB202" s="81"/>
      <c r="AC202" s="81"/>
      <c r="AD202" s="81"/>
      <c r="AE202" s="81"/>
      <c r="AF202" s="81"/>
      <c r="AG202" s="81"/>
      <c r="AH202" s="81"/>
      <c r="AI202" s="81"/>
      <c r="AJ202" s="81"/>
      <c r="AK202" s="81"/>
      <c r="AL202" s="81"/>
      <c r="AM202" s="81"/>
      <c r="AN202" s="81"/>
      <c r="AO202" s="81"/>
      <c r="AP202" s="81"/>
      <c r="AS202" s="81"/>
    </row>
    <row r="203" spans="17:45" x14ac:dyDescent="0.25">
      <c r="Q203" s="84"/>
      <c r="R203" s="81"/>
      <c r="S203" s="81"/>
      <c r="T203" s="81"/>
      <c r="Z203" s="81"/>
      <c r="AA203" s="81"/>
      <c r="AB203" s="81"/>
      <c r="AC203" s="81"/>
      <c r="AD203" s="81"/>
      <c r="AE203" s="81"/>
      <c r="AF203" s="81"/>
      <c r="AG203" s="81"/>
      <c r="AH203" s="81"/>
      <c r="AI203" s="81"/>
      <c r="AJ203" s="81"/>
      <c r="AK203" s="81"/>
      <c r="AL203" s="81"/>
      <c r="AM203" s="81"/>
      <c r="AN203" s="81"/>
      <c r="AO203" s="81"/>
      <c r="AP203" s="81"/>
      <c r="AS203" s="81"/>
    </row>
    <row r="204" spans="17:45" x14ac:dyDescent="0.25">
      <c r="Q204" s="84"/>
      <c r="R204" s="81"/>
      <c r="S204" s="81"/>
      <c r="T204" s="81"/>
      <c r="Z204" s="81"/>
      <c r="AA204" s="81"/>
      <c r="AB204" s="81"/>
      <c r="AC204" s="81"/>
      <c r="AD204" s="81"/>
      <c r="AE204" s="81"/>
      <c r="AF204" s="81"/>
      <c r="AG204" s="81"/>
      <c r="AH204" s="81"/>
      <c r="AI204" s="81"/>
      <c r="AJ204" s="81"/>
      <c r="AK204" s="81"/>
      <c r="AL204" s="81"/>
      <c r="AM204" s="81"/>
      <c r="AN204" s="81"/>
      <c r="AO204" s="81"/>
      <c r="AP204" s="81"/>
      <c r="AS204" s="81"/>
    </row>
    <row r="205" spans="17:45" x14ac:dyDescent="0.25">
      <c r="Q205" s="84"/>
      <c r="R205" s="81"/>
      <c r="S205" s="81"/>
      <c r="T205" s="81"/>
      <c r="Z205" s="81"/>
      <c r="AA205" s="81"/>
      <c r="AB205" s="81"/>
      <c r="AC205" s="81"/>
      <c r="AD205" s="81"/>
      <c r="AE205" s="81"/>
      <c r="AF205" s="81"/>
      <c r="AG205" s="81"/>
      <c r="AH205" s="81"/>
      <c r="AI205" s="81"/>
      <c r="AJ205" s="81"/>
      <c r="AK205" s="81"/>
      <c r="AL205" s="81"/>
      <c r="AM205" s="81"/>
      <c r="AN205" s="81"/>
      <c r="AO205" s="81"/>
      <c r="AP205" s="81"/>
      <c r="AS205" s="81"/>
    </row>
    <row r="206" spans="17:45" x14ac:dyDescent="0.25">
      <c r="Q206" s="84"/>
      <c r="R206" s="81"/>
      <c r="S206" s="81"/>
      <c r="T206" s="81"/>
      <c r="Z206" s="81"/>
      <c r="AA206" s="81"/>
      <c r="AB206" s="81"/>
      <c r="AC206" s="81"/>
      <c r="AD206" s="81"/>
      <c r="AE206" s="81"/>
      <c r="AF206" s="81"/>
      <c r="AG206" s="81"/>
      <c r="AH206" s="81"/>
      <c r="AI206" s="81"/>
      <c r="AJ206" s="81"/>
      <c r="AK206" s="81"/>
      <c r="AL206" s="81"/>
      <c r="AM206" s="81"/>
      <c r="AN206" s="81"/>
      <c r="AO206" s="81"/>
      <c r="AP206" s="81"/>
      <c r="AS206" s="81"/>
    </row>
    <row r="207" spans="17:45" x14ac:dyDescent="0.25">
      <c r="Q207" s="84"/>
      <c r="R207" s="81"/>
      <c r="S207" s="81"/>
      <c r="T207" s="81"/>
      <c r="Z207" s="81"/>
      <c r="AA207" s="81"/>
      <c r="AB207" s="81"/>
      <c r="AC207" s="81"/>
      <c r="AD207" s="81"/>
      <c r="AE207" s="81"/>
      <c r="AF207" s="81"/>
      <c r="AG207" s="81"/>
      <c r="AH207" s="81"/>
      <c r="AI207" s="81"/>
      <c r="AJ207" s="81"/>
      <c r="AK207" s="81"/>
      <c r="AL207" s="81"/>
      <c r="AM207" s="81"/>
      <c r="AN207" s="81"/>
      <c r="AO207" s="81"/>
      <c r="AP207" s="81"/>
      <c r="AS207" s="81"/>
    </row>
    <row r="208" spans="17:45" x14ac:dyDescent="0.25">
      <c r="Q208" s="84"/>
      <c r="R208" s="81"/>
      <c r="S208" s="81"/>
      <c r="T208" s="81"/>
      <c r="Z208" s="81"/>
      <c r="AA208" s="81"/>
      <c r="AB208" s="81"/>
      <c r="AC208" s="81"/>
      <c r="AD208" s="81"/>
      <c r="AE208" s="81"/>
      <c r="AF208" s="81"/>
      <c r="AG208" s="81"/>
      <c r="AH208" s="81"/>
      <c r="AI208" s="81"/>
      <c r="AJ208" s="81"/>
      <c r="AK208" s="81"/>
      <c r="AL208" s="81"/>
      <c r="AM208" s="81"/>
      <c r="AN208" s="81"/>
      <c r="AO208" s="81"/>
      <c r="AP208" s="81"/>
      <c r="AS208" s="81"/>
    </row>
    <row r="209" spans="17:45" x14ac:dyDescent="0.25">
      <c r="Q209" s="84"/>
      <c r="R209" s="81"/>
      <c r="S209" s="81"/>
      <c r="T209" s="81"/>
      <c r="Z209" s="81"/>
      <c r="AA209" s="81"/>
      <c r="AB209" s="81"/>
      <c r="AC209" s="81"/>
      <c r="AD209" s="81"/>
      <c r="AE209" s="81"/>
      <c r="AF209" s="81"/>
      <c r="AG209" s="81"/>
      <c r="AH209" s="81"/>
      <c r="AI209" s="81"/>
      <c r="AJ209" s="81"/>
      <c r="AK209" s="81"/>
      <c r="AL209" s="81"/>
      <c r="AM209" s="81"/>
      <c r="AN209" s="81"/>
      <c r="AO209" s="81"/>
      <c r="AP209" s="81"/>
      <c r="AS209" s="81"/>
    </row>
    <row r="210" spans="17:45" x14ac:dyDescent="0.25">
      <c r="Q210" s="84"/>
      <c r="R210" s="81"/>
      <c r="S210" s="81"/>
      <c r="T210" s="81"/>
      <c r="Z210" s="81"/>
      <c r="AA210" s="81"/>
      <c r="AB210" s="81"/>
      <c r="AC210" s="81"/>
      <c r="AD210" s="81"/>
      <c r="AE210" s="81"/>
      <c r="AF210" s="81"/>
      <c r="AG210" s="81"/>
      <c r="AH210" s="81"/>
      <c r="AI210" s="81"/>
      <c r="AJ210" s="81"/>
      <c r="AK210" s="81"/>
      <c r="AL210" s="81"/>
      <c r="AM210" s="81"/>
      <c r="AN210" s="81"/>
      <c r="AO210" s="81"/>
      <c r="AP210" s="81"/>
      <c r="AS210" s="81"/>
    </row>
    <row r="211" spans="17:45" x14ac:dyDescent="0.25">
      <c r="Q211" s="84"/>
      <c r="R211" s="81"/>
      <c r="S211" s="81"/>
      <c r="T211" s="81"/>
      <c r="Z211" s="81"/>
      <c r="AA211" s="81"/>
      <c r="AB211" s="81"/>
      <c r="AC211" s="81"/>
      <c r="AD211" s="81"/>
      <c r="AE211" s="81"/>
      <c r="AF211" s="81"/>
      <c r="AG211" s="81"/>
      <c r="AH211" s="81"/>
      <c r="AI211" s="81"/>
      <c r="AJ211" s="81"/>
      <c r="AK211" s="81"/>
      <c r="AL211" s="81"/>
      <c r="AM211" s="81"/>
      <c r="AN211" s="81"/>
      <c r="AO211" s="81"/>
      <c r="AP211" s="81"/>
      <c r="AS211" s="81"/>
    </row>
    <row r="212" spans="17:45" x14ac:dyDescent="0.25">
      <c r="Q212" s="84"/>
      <c r="R212" s="81"/>
      <c r="S212" s="81"/>
      <c r="T212" s="81"/>
      <c r="Z212" s="81"/>
      <c r="AA212" s="81"/>
      <c r="AB212" s="81"/>
      <c r="AC212" s="81"/>
      <c r="AD212" s="81"/>
      <c r="AE212" s="81"/>
      <c r="AF212" s="81"/>
      <c r="AG212" s="81"/>
      <c r="AH212" s="81"/>
      <c r="AI212" s="81"/>
      <c r="AJ212" s="81"/>
      <c r="AK212" s="81"/>
      <c r="AL212" s="81"/>
      <c r="AM212" s="81"/>
      <c r="AN212" s="81"/>
      <c r="AO212" s="81"/>
      <c r="AP212" s="81"/>
      <c r="AS212" s="81"/>
    </row>
    <row r="213" spans="17:45" x14ac:dyDescent="0.25">
      <c r="Q213" s="84"/>
      <c r="R213" s="81"/>
      <c r="S213" s="81"/>
      <c r="T213" s="81"/>
      <c r="Z213" s="81"/>
      <c r="AA213" s="81"/>
      <c r="AB213" s="81"/>
      <c r="AC213" s="81"/>
      <c r="AD213" s="81"/>
      <c r="AE213" s="81"/>
      <c r="AF213" s="81"/>
      <c r="AG213" s="81"/>
      <c r="AH213" s="81"/>
      <c r="AI213" s="81"/>
      <c r="AJ213" s="81"/>
      <c r="AK213" s="81"/>
      <c r="AL213" s="81"/>
      <c r="AM213" s="81"/>
      <c r="AN213" s="81"/>
      <c r="AO213" s="81"/>
      <c r="AP213" s="81"/>
      <c r="AS213" s="81"/>
    </row>
    <row r="214" spans="17:45" x14ac:dyDescent="0.25">
      <c r="Q214" s="84"/>
      <c r="R214" s="81"/>
      <c r="S214" s="81"/>
      <c r="T214" s="81"/>
      <c r="Z214" s="81"/>
      <c r="AA214" s="81"/>
      <c r="AB214" s="81"/>
      <c r="AC214" s="81"/>
      <c r="AD214" s="81"/>
      <c r="AE214" s="81"/>
      <c r="AF214" s="81"/>
      <c r="AG214" s="81"/>
      <c r="AH214" s="81"/>
      <c r="AI214" s="81"/>
      <c r="AJ214" s="81"/>
      <c r="AK214" s="81"/>
      <c r="AL214" s="81"/>
      <c r="AM214" s="81"/>
      <c r="AN214" s="81"/>
      <c r="AO214" s="81"/>
      <c r="AP214" s="81"/>
      <c r="AS214" s="81"/>
    </row>
    <row r="215" spans="17:45" x14ac:dyDescent="0.25">
      <c r="Q215" s="84"/>
      <c r="R215" s="81"/>
      <c r="S215" s="81"/>
      <c r="T215" s="81"/>
      <c r="Z215" s="81"/>
      <c r="AA215" s="81"/>
      <c r="AB215" s="81"/>
      <c r="AC215" s="81"/>
      <c r="AD215" s="81"/>
      <c r="AE215" s="81"/>
      <c r="AF215" s="81"/>
      <c r="AG215" s="81"/>
      <c r="AH215" s="81"/>
      <c r="AI215" s="81"/>
      <c r="AJ215" s="81"/>
      <c r="AK215" s="81"/>
      <c r="AL215" s="81"/>
      <c r="AM215" s="81"/>
      <c r="AN215" s="81"/>
      <c r="AO215" s="81"/>
      <c r="AP215" s="81"/>
      <c r="AS215" s="81"/>
    </row>
    <row r="216" spans="17:45" x14ac:dyDescent="0.25">
      <c r="Q216" s="84"/>
      <c r="R216" s="81"/>
      <c r="S216" s="81"/>
      <c r="T216" s="81"/>
      <c r="Z216" s="81"/>
      <c r="AA216" s="81"/>
      <c r="AB216" s="81"/>
      <c r="AC216" s="81"/>
      <c r="AD216" s="81"/>
      <c r="AE216" s="81"/>
      <c r="AF216" s="81"/>
      <c r="AG216" s="81"/>
      <c r="AH216" s="81"/>
      <c r="AI216" s="81"/>
      <c r="AJ216" s="81"/>
      <c r="AK216" s="81"/>
      <c r="AL216" s="81"/>
      <c r="AM216" s="81"/>
      <c r="AN216" s="81"/>
      <c r="AO216" s="81"/>
      <c r="AP216" s="81"/>
      <c r="AS216" s="81"/>
    </row>
    <row r="217" spans="17:45" x14ac:dyDescent="0.25">
      <c r="Q217" s="84"/>
      <c r="R217" s="81"/>
      <c r="S217" s="81"/>
      <c r="T217" s="81"/>
      <c r="Z217" s="81"/>
      <c r="AA217" s="81"/>
      <c r="AB217" s="81"/>
      <c r="AC217" s="81"/>
      <c r="AD217" s="81"/>
      <c r="AE217" s="81"/>
      <c r="AF217" s="81"/>
      <c r="AG217" s="81"/>
      <c r="AH217" s="81"/>
      <c r="AI217" s="81"/>
      <c r="AJ217" s="81"/>
      <c r="AK217" s="81"/>
      <c r="AL217" s="81"/>
      <c r="AM217" s="81"/>
      <c r="AN217" s="81"/>
      <c r="AO217" s="81"/>
      <c r="AP217" s="81"/>
      <c r="AS217" s="81"/>
    </row>
    <row r="218" spans="17:45" x14ac:dyDescent="0.25">
      <c r="Q218" s="84"/>
      <c r="R218" s="81"/>
      <c r="S218" s="81"/>
      <c r="T218" s="81"/>
      <c r="Z218" s="81"/>
      <c r="AA218" s="81"/>
      <c r="AB218" s="81"/>
      <c r="AC218" s="81"/>
      <c r="AD218" s="81"/>
      <c r="AE218" s="81"/>
      <c r="AF218" s="81"/>
      <c r="AG218" s="81"/>
      <c r="AH218" s="81"/>
      <c r="AI218" s="81"/>
      <c r="AJ218" s="81"/>
      <c r="AK218" s="81"/>
      <c r="AL218" s="81"/>
      <c r="AM218" s="81"/>
      <c r="AN218" s="81"/>
      <c r="AO218" s="81"/>
      <c r="AP218" s="81"/>
      <c r="AS218" s="81"/>
    </row>
    <row r="219" spans="17:45" x14ac:dyDescent="0.25">
      <c r="Q219" s="84"/>
      <c r="R219" s="81"/>
      <c r="S219" s="81"/>
      <c r="T219" s="81"/>
      <c r="Z219" s="81"/>
      <c r="AA219" s="81"/>
      <c r="AB219" s="81"/>
      <c r="AC219" s="81"/>
      <c r="AD219" s="81"/>
      <c r="AE219" s="81"/>
      <c r="AF219" s="81"/>
      <c r="AG219" s="81"/>
      <c r="AH219" s="81"/>
      <c r="AI219" s="81"/>
      <c r="AJ219" s="81"/>
      <c r="AK219" s="81"/>
      <c r="AL219" s="81"/>
      <c r="AM219" s="81"/>
      <c r="AN219" s="81"/>
      <c r="AO219" s="81"/>
      <c r="AP219" s="81"/>
      <c r="AS219" s="81"/>
    </row>
    <row r="220" spans="17:45" x14ac:dyDescent="0.25">
      <c r="Q220" s="84"/>
      <c r="R220" s="81"/>
      <c r="S220" s="81"/>
      <c r="T220" s="81"/>
      <c r="Z220" s="81"/>
      <c r="AA220" s="81"/>
      <c r="AB220" s="81"/>
      <c r="AC220" s="81"/>
      <c r="AD220" s="81"/>
      <c r="AE220" s="81"/>
      <c r="AF220" s="81"/>
      <c r="AG220" s="81"/>
      <c r="AH220" s="81"/>
      <c r="AI220" s="81"/>
      <c r="AJ220" s="81"/>
      <c r="AK220" s="81"/>
      <c r="AL220" s="81"/>
      <c r="AM220" s="81"/>
      <c r="AN220" s="81"/>
      <c r="AO220" s="81"/>
      <c r="AP220" s="81"/>
      <c r="AS220" s="81"/>
    </row>
    <row r="221" spans="17:45" x14ac:dyDescent="0.25">
      <c r="Q221" s="84"/>
      <c r="R221" s="81"/>
      <c r="S221" s="81"/>
      <c r="T221" s="81"/>
      <c r="Z221" s="81"/>
      <c r="AA221" s="81"/>
      <c r="AB221" s="81"/>
      <c r="AC221" s="81"/>
      <c r="AD221" s="81"/>
      <c r="AE221" s="81"/>
      <c r="AF221" s="81"/>
      <c r="AG221" s="81"/>
      <c r="AH221" s="81"/>
      <c r="AI221" s="81"/>
      <c r="AJ221" s="81"/>
      <c r="AK221" s="81"/>
      <c r="AL221" s="81"/>
      <c r="AM221" s="81"/>
      <c r="AN221" s="81"/>
      <c r="AO221" s="81"/>
      <c r="AP221" s="81"/>
      <c r="AS221" s="81"/>
    </row>
    <row r="222" spans="17:45" x14ac:dyDescent="0.25">
      <c r="Q222" s="84"/>
      <c r="R222" s="81"/>
      <c r="S222" s="81"/>
      <c r="T222" s="81"/>
      <c r="Z222" s="81"/>
      <c r="AA222" s="81"/>
      <c r="AB222" s="81"/>
      <c r="AC222" s="81"/>
      <c r="AD222" s="81"/>
      <c r="AE222" s="81"/>
      <c r="AF222" s="81"/>
      <c r="AG222" s="81"/>
      <c r="AH222" s="81"/>
      <c r="AI222" s="81"/>
      <c r="AJ222" s="81"/>
      <c r="AK222" s="81"/>
      <c r="AL222" s="81"/>
      <c r="AM222" s="81"/>
      <c r="AN222" s="81"/>
      <c r="AO222" s="81"/>
      <c r="AP222" s="81"/>
      <c r="AS222" s="81"/>
    </row>
    <row r="223" spans="17:45" x14ac:dyDescent="0.25">
      <c r="Q223" s="84"/>
      <c r="R223" s="81"/>
      <c r="S223" s="81"/>
      <c r="T223" s="81"/>
      <c r="Z223" s="81"/>
      <c r="AA223" s="81"/>
      <c r="AB223" s="81"/>
      <c r="AC223" s="81"/>
      <c r="AD223" s="81"/>
      <c r="AE223" s="81"/>
      <c r="AF223" s="81"/>
      <c r="AG223" s="81"/>
      <c r="AH223" s="81"/>
      <c r="AI223" s="81"/>
      <c r="AJ223" s="81"/>
      <c r="AK223" s="81"/>
      <c r="AL223" s="81"/>
      <c r="AM223" s="81"/>
      <c r="AN223" s="81"/>
      <c r="AO223" s="81"/>
      <c r="AP223" s="81"/>
      <c r="AS223" s="81"/>
    </row>
    <row r="224" spans="17:45" x14ac:dyDescent="0.25">
      <c r="Q224" s="84"/>
      <c r="R224" s="81"/>
      <c r="S224" s="81"/>
      <c r="T224" s="81"/>
      <c r="Z224" s="81"/>
      <c r="AA224" s="81"/>
      <c r="AB224" s="81"/>
      <c r="AC224" s="81"/>
      <c r="AD224" s="81"/>
      <c r="AE224" s="81"/>
      <c r="AF224" s="81"/>
      <c r="AG224" s="81"/>
      <c r="AH224" s="81"/>
      <c r="AI224" s="81"/>
      <c r="AJ224" s="81"/>
      <c r="AK224" s="81"/>
      <c r="AL224" s="81"/>
      <c r="AM224" s="81"/>
      <c r="AN224" s="81"/>
      <c r="AO224" s="81"/>
      <c r="AP224" s="81"/>
      <c r="AS224" s="81"/>
    </row>
    <row r="225" spans="17:45" x14ac:dyDescent="0.25">
      <c r="Q225" s="84"/>
      <c r="R225" s="81"/>
      <c r="S225" s="81"/>
      <c r="T225" s="81"/>
      <c r="Z225" s="81"/>
      <c r="AA225" s="81"/>
      <c r="AB225" s="81"/>
      <c r="AC225" s="81"/>
      <c r="AD225" s="81"/>
      <c r="AE225" s="81"/>
      <c r="AF225" s="81"/>
      <c r="AG225" s="81"/>
      <c r="AH225" s="81"/>
      <c r="AI225" s="81"/>
      <c r="AJ225" s="81"/>
      <c r="AK225" s="81"/>
      <c r="AL225" s="81"/>
      <c r="AM225" s="81"/>
      <c r="AN225" s="81"/>
      <c r="AO225" s="81"/>
      <c r="AP225" s="81"/>
      <c r="AS225" s="81"/>
    </row>
    <row r="226" spans="17:45" x14ac:dyDescent="0.25">
      <c r="Q226" s="84"/>
      <c r="R226" s="81"/>
      <c r="S226" s="81"/>
      <c r="T226" s="81"/>
      <c r="Z226" s="81"/>
      <c r="AA226" s="81"/>
      <c r="AB226" s="81"/>
      <c r="AC226" s="81"/>
      <c r="AD226" s="81"/>
      <c r="AE226" s="81"/>
      <c r="AF226" s="81"/>
      <c r="AG226" s="81"/>
      <c r="AH226" s="81"/>
      <c r="AI226" s="81"/>
      <c r="AJ226" s="81"/>
      <c r="AK226" s="81"/>
      <c r="AL226" s="81"/>
      <c r="AM226" s="81"/>
      <c r="AN226" s="81"/>
      <c r="AO226" s="81"/>
      <c r="AP226" s="81"/>
      <c r="AS226" s="81"/>
    </row>
    <row r="227" spans="17:45" x14ac:dyDescent="0.25">
      <c r="Q227" s="84"/>
      <c r="R227" s="81"/>
      <c r="S227" s="81"/>
      <c r="T227" s="81"/>
      <c r="Z227" s="81"/>
      <c r="AA227" s="81"/>
      <c r="AB227" s="81"/>
      <c r="AC227" s="81"/>
      <c r="AD227" s="81"/>
      <c r="AE227" s="81"/>
      <c r="AF227" s="81"/>
      <c r="AG227" s="81"/>
      <c r="AH227" s="81"/>
      <c r="AI227" s="81"/>
      <c r="AJ227" s="81"/>
      <c r="AK227" s="81"/>
      <c r="AL227" s="81"/>
      <c r="AM227" s="81"/>
      <c r="AN227" s="81"/>
      <c r="AO227" s="81"/>
      <c r="AP227" s="81"/>
      <c r="AS227" s="81"/>
    </row>
    <row r="228" spans="17:45" x14ac:dyDescent="0.25">
      <c r="Q228" s="84"/>
      <c r="R228" s="81"/>
      <c r="S228" s="81"/>
      <c r="T228" s="81"/>
      <c r="Z228" s="81"/>
      <c r="AA228" s="81"/>
      <c r="AB228" s="81"/>
      <c r="AC228" s="81"/>
      <c r="AD228" s="81"/>
      <c r="AE228" s="81"/>
      <c r="AF228" s="81"/>
      <c r="AG228" s="81"/>
      <c r="AH228" s="81"/>
      <c r="AI228" s="81"/>
      <c r="AJ228" s="81"/>
      <c r="AK228" s="81"/>
      <c r="AL228" s="81"/>
      <c r="AM228" s="81"/>
      <c r="AN228" s="81"/>
      <c r="AO228" s="81"/>
      <c r="AP228" s="81"/>
      <c r="AS228" s="81"/>
    </row>
    <row r="229" spans="17:45" x14ac:dyDescent="0.25">
      <c r="Q229" s="84"/>
      <c r="R229" s="81"/>
      <c r="S229" s="81"/>
      <c r="T229" s="81"/>
      <c r="Z229" s="81"/>
      <c r="AA229" s="81"/>
      <c r="AB229" s="81"/>
      <c r="AC229" s="81"/>
      <c r="AD229" s="81"/>
      <c r="AE229" s="81"/>
      <c r="AF229" s="81"/>
      <c r="AG229" s="81"/>
      <c r="AH229" s="81"/>
      <c r="AI229" s="81"/>
      <c r="AJ229" s="81"/>
      <c r="AK229" s="81"/>
      <c r="AL229" s="81"/>
      <c r="AM229" s="81"/>
      <c r="AN229" s="81"/>
      <c r="AO229" s="81"/>
      <c r="AP229" s="81"/>
      <c r="AS229" s="81"/>
    </row>
    <row r="230" spans="17:45" x14ac:dyDescent="0.25">
      <c r="Q230" s="84"/>
      <c r="R230" s="81"/>
      <c r="S230" s="81"/>
      <c r="T230" s="81"/>
      <c r="Z230" s="81"/>
      <c r="AA230" s="81"/>
      <c r="AB230" s="81"/>
      <c r="AC230" s="81"/>
      <c r="AD230" s="81"/>
      <c r="AE230" s="81"/>
      <c r="AF230" s="81"/>
      <c r="AG230" s="81"/>
      <c r="AH230" s="81"/>
      <c r="AI230" s="81"/>
      <c r="AJ230" s="81"/>
      <c r="AK230" s="81"/>
      <c r="AL230" s="81"/>
      <c r="AM230" s="81"/>
      <c r="AN230" s="81"/>
      <c r="AO230" s="81"/>
      <c r="AP230" s="81"/>
      <c r="AS230" s="81"/>
    </row>
    <row r="231" spans="17:45" x14ac:dyDescent="0.25">
      <c r="Q231" s="84"/>
      <c r="R231" s="81"/>
      <c r="S231" s="81"/>
      <c r="T231" s="81"/>
      <c r="Z231" s="81"/>
      <c r="AA231" s="81"/>
      <c r="AB231" s="81"/>
      <c r="AC231" s="81"/>
      <c r="AD231" s="81"/>
      <c r="AE231" s="81"/>
      <c r="AF231" s="81"/>
      <c r="AG231" s="81"/>
      <c r="AH231" s="81"/>
      <c r="AI231" s="81"/>
      <c r="AJ231" s="81"/>
      <c r="AK231" s="81"/>
      <c r="AL231" s="81"/>
      <c r="AM231" s="81"/>
      <c r="AN231" s="81"/>
      <c r="AO231" s="81"/>
      <c r="AP231" s="81"/>
      <c r="AS231" s="81"/>
    </row>
    <row r="232" spans="17:45" x14ac:dyDescent="0.25">
      <c r="Q232" s="84"/>
      <c r="R232" s="81"/>
      <c r="S232" s="81"/>
      <c r="T232" s="81"/>
      <c r="Z232" s="81"/>
      <c r="AA232" s="81"/>
      <c r="AB232" s="81"/>
      <c r="AC232" s="81"/>
      <c r="AD232" s="81"/>
      <c r="AE232" s="81"/>
      <c r="AF232" s="81"/>
      <c r="AG232" s="81"/>
      <c r="AH232" s="81"/>
      <c r="AI232" s="81"/>
      <c r="AJ232" s="81"/>
      <c r="AK232" s="81"/>
      <c r="AL232" s="81"/>
      <c r="AM232" s="81"/>
      <c r="AN232" s="81"/>
      <c r="AO232" s="81"/>
      <c r="AP232" s="81"/>
      <c r="AS232" s="81"/>
    </row>
    <row r="233" spans="17:45" x14ac:dyDescent="0.25">
      <c r="Q233" s="84"/>
      <c r="R233" s="81"/>
      <c r="S233" s="81"/>
      <c r="T233" s="81"/>
      <c r="Z233" s="81"/>
      <c r="AA233" s="81"/>
      <c r="AB233" s="81"/>
      <c r="AC233" s="81"/>
      <c r="AD233" s="81"/>
      <c r="AE233" s="81"/>
      <c r="AF233" s="81"/>
      <c r="AG233" s="81"/>
      <c r="AH233" s="81"/>
      <c r="AI233" s="81"/>
      <c r="AJ233" s="81"/>
      <c r="AK233" s="81"/>
      <c r="AL233" s="81"/>
      <c r="AM233" s="81"/>
      <c r="AN233" s="81"/>
      <c r="AO233" s="81"/>
      <c r="AP233" s="81"/>
      <c r="AS233" s="81"/>
    </row>
    <row r="234" spans="17:45" x14ac:dyDescent="0.25">
      <c r="Q234" s="84"/>
      <c r="R234" s="81"/>
      <c r="S234" s="81"/>
      <c r="T234" s="81"/>
      <c r="Z234" s="81"/>
      <c r="AA234" s="81"/>
      <c r="AB234" s="81"/>
      <c r="AC234" s="81"/>
      <c r="AD234" s="81"/>
      <c r="AE234" s="81"/>
      <c r="AF234" s="81"/>
      <c r="AG234" s="81"/>
      <c r="AH234" s="81"/>
      <c r="AI234" s="81"/>
      <c r="AJ234" s="81"/>
      <c r="AK234" s="81"/>
      <c r="AL234" s="81"/>
      <c r="AM234" s="81"/>
      <c r="AN234" s="81"/>
      <c r="AO234" s="81"/>
      <c r="AP234" s="81"/>
      <c r="AS234" s="81"/>
    </row>
    <row r="235" spans="17:45" x14ac:dyDescent="0.25">
      <c r="Q235" s="84"/>
      <c r="R235" s="81"/>
      <c r="S235" s="81"/>
      <c r="T235" s="81"/>
      <c r="Z235" s="81"/>
      <c r="AA235" s="81"/>
      <c r="AB235" s="81"/>
      <c r="AC235" s="81"/>
      <c r="AD235" s="81"/>
      <c r="AE235" s="81"/>
      <c r="AF235" s="81"/>
      <c r="AG235" s="81"/>
      <c r="AH235" s="81"/>
      <c r="AI235" s="81"/>
      <c r="AJ235" s="81"/>
      <c r="AK235" s="81"/>
      <c r="AL235" s="81"/>
      <c r="AM235" s="81"/>
      <c r="AN235" s="81"/>
      <c r="AO235" s="81"/>
      <c r="AP235" s="81"/>
      <c r="AS235" s="81"/>
    </row>
    <row r="236" spans="17:45" x14ac:dyDescent="0.25">
      <c r="Q236" s="84"/>
      <c r="R236" s="81"/>
      <c r="S236" s="81"/>
      <c r="T236" s="81"/>
      <c r="Z236" s="81"/>
      <c r="AA236" s="81"/>
      <c r="AB236" s="81"/>
      <c r="AC236" s="81"/>
      <c r="AD236" s="81"/>
      <c r="AE236" s="81"/>
      <c r="AF236" s="81"/>
      <c r="AG236" s="81"/>
      <c r="AH236" s="81"/>
      <c r="AI236" s="81"/>
      <c r="AJ236" s="81"/>
      <c r="AK236" s="81"/>
      <c r="AL236" s="81"/>
      <c r="AM236" s="81"/>
      <c r="AN236" s="81"/>
      <c r="AO236" s="81"/>
      <c r="AP236" s="81"/>
      <c r="AS236" s="81"/>
    </row>
    <row r="237" spans="17:45" x14ac:dyDescent="0.25">
      <c r="Q237" s="84"/>
      <c r="R237" s="81"/>
      <c r="S237" s="81"/>
      <c r="T237" s="81"/>
      <c r="Z237" s="81"/>
      <c r="AA237" s="81"/>
      <c r="AB237" s="81"/>
      <c r="AC237" s="81"/>
      <c r="AD237" s="81"/>
      <c r="AE237" s="81"/>
      <c r="AF237" s="81"/>
      <c r="AG237" s="81"/>
      <c r="AH237" s="81"/>
      <c r="AI237" s="81"/>
      <c r="AJ237" s="81"/>
      <c r="AK237" s="81"/>
      <c r="AL237" s="81"/>
      <c r="AM237" s="81"/>
      <c r="AN237" s="81"/>
      <c r="AO237" s="81"/>
      <c r="AP237" s="81"/>
      <c r="AS237" s="81"/>
    </row>
    <row r="238" spans="17:45" x14ac:dyDescent="0.25">
      <c r="Q238" s="84"/>
      <c r="R238" s="81"/>
      <c r="S238" s="81"/>
      <c r="T238" s="81"/>
      <c r="Z238" s="81"/>
      <c r="AA238" s="81"/>
      <c r="AB238" s="81"/>
      <c r="AC238" s="81"/>
      <c r="AD238" s="81"/>
      <c r="AE238" s="81"/>
      <c r="AF238" s="81"/>
      <c r="AG238" s="81"/>
      <c r="AH238" s="81"/>
      <c r="AI238" s="81"/>
      <c r="AJ238" s="81"/>
      <c r="AK238" s="81"/>
      <c r="AL238" s="81"/>
      <c r="AM238" s="81"/>
      <c r="AN238" s="81"/>
      <c r="AO238" s="81"/>
      <c r="AP238" s="81"/>
      <c r="AS238" s="81"/>
    </row>
    <row r="239" spans="17:45" x14ac:dyDescent="0.25">
      <c r="Q239" s="84"/>
      <c r="R239" s="81"/>
      <c r="S239" s="81"/>
      <c r="T239" s="81"/>
      <c r="Z239" s="81"/>
      <c r="AA239" s="81"/>
      <c r="AB239" s="81"/>
      <c r="AC239" s="81"/>
      <c r="AD239" s="81"/>
      <c r="AE239" s="81"/>
      <c r="AF239" s="81"/>
      <c r="AG239" s="81"/>
      <c r="AH239" s="81"/>
      <c r="AI239" s="81"/>
      <c r="AJ239" s="81"/>
      <c r="AK239" s="81"/>
      <c r="AL239" s="81"/>
      <c r="AM239" s="81"/>
      <c r="AN239" s="81"/>
      <c r="AO239" s="81"/>
      <c r="AP239" s="81"/>
      <c r="AS239" s="81"/>
    </row>
    <row r="240" spans="17:45" x14ac:dyDescent="0.25">
      <c r="Q240" s="84"/>
      <c r="R240" s="81"/>
      <c r="S240" s="81"/>
      <c r="T240" s="81"/>
      <c r="Z240" s="81"/>
      <c r="AA240" s="81"/>
      <c r="AB240" s="81"/>
      <c r="AC240" s="81"/>
      <c r="AD240" s="81"/>
      <c r="AE240" s="81"/>
      <c r="AF240" s="81"/>
      <c r="AG240" s="81"/>
      <c r="AH240" s="81"/>
      <c r="AI240" s="81"/>
      <c r="AJ240" s="81"/>
      <c r="AK240" s="81"/>
      <c r="AL240" s="81"/>
      <c r="AM240" s="81"/>
      <c r="AN240" s="81"/>
      <c r="AO240" s="81"/>
      <c r="AP240" s="81"/>
      <c r="AS240" s="81"/>
    </row>
    <row r="241" spans="17:45" x14ac:dyDescent="0.25">
      <c r="Q241" s="84"/>
      <c r="R241" s="81"/>
      <c r="S241" s="81"/>
      <c r="T241" s="81"/>
      <c r="Z241" s="81"/>
      <c r="AA241" s="81"/>
      <c r="AB241" s="81"/>
      <c r="AC241" s="81"/>
      <c r="AD241" s="81"/>
      <c r="AE241" s="81"/>
      <c r="AF241" s="81"/>
      <c r="AG241" s="81"/>
      <c r="AH241" s="81"/>
      <c r="AI241" s="81"/>
      <c r="AJ241" s="81"/>
      <c r="AK241" s="81"/>
      <c r="AL241" s="81"/>
      <c r="AM241" s="81"/>
      <c r="AN241" s="81"/>
      <c r="AO241" s="81"/>
      <c r="AP241" s="81"/>
      <c r="AS241" s="81"/>
    </row>
    <row r="242" spans="17:45" x14ac:dyDescent="0.25">
      <c r="Q242" s="84"/>
      <c r="R242" s="81"/>
      <c r="S242" s="81"/>
      <c r="T242" s="81"/>
      <c r="Z242" s="81"/>
      <c r="AA242" s="81"/>
      <c r="AB242" s="81"/>
      <c r="AC242" s="81"/>
      <c r="AD242" s="81"/>
      <c r="AE242" s="81"/>
      <c r="AF242" s="81"/>
      <c r="AG242" s="81"/>
      <c r="AH242" s="81"/>
      <c r="AI242" s="81"/>
      <c r="AJ242" s="81"/>
      <c r="AK242" s="81"/>
      <c r="AL242" s="81"/>
      <c r="AM242" s="81"/>
      <c r="AN242" s="81"/>
      <c r="AO242" s="81"/>
      <c r="AP242" s="81"/>
      <c r="AS242" s="81"/>
    </row>
    <row r="243" spans="17:45" x14ac:dyDescent="0.25">
      <c r="Q243" s="84"/>
      <c r="R243" s="81"/>
      <c r="S243" s="81"/>
      <c r="T243" s="81"/>
      <c r="Z243" s="81"/>
      <c r="AA243" s="81"/>
      <c r="AB243" s="81"/>
      <c r="AC243" s="81"/>
      <c r="AD243" s="81"/>
      <c r="AE243" s="81"/>
      <c r="AF243" s="81"/>
      <c r="AG243" s="81"/>
      <c r="AH243" s="81"/>
      <c r="AI243" s="81"/>
      <c r="AJ243" s="81"/>
      <c r="AK243" s="81"/>
      <c r="AL243" s="81"/>
      <c r="AM243" s="81"/>
      <c r="AN243" s="81"/>
      <c r="AO243" s="81"/>
      <c r="AP243" s="81"/>
      <c r="AS243" s="81"/>
    </row>
    <row r="244" spans="17:45" x14ac:dyDescent="0.25">
      <c r="Q244" s="84"/>
      <c r="R244" s="81"/>
      <c r="S244" s="81"/>
      <c r="T244" s="81"/>
      <c r="Z244" s="81"/>
      <c r="AA244" s="81"/>
      <c r="AB244" s="81"/>
      <c r="AC244" s="81"/>
      <c r="AD244" s="81"/>
      <c r="AE244" s="81"/>
      <c r="AF244" s="81"/>
      <c r="AG244" s="81"/>
      <c r="AH244" s="81"/>
      <c r="AI244" s="81"/>
      <c r="AJ244" s="81"/>
      <c r="AK244" s="81"/>
      <c r="AL244" s="81"/>
      <c r="AM244" s="81"/>
      <c r="AN244" s="81"/>
      <c r="AO244" s="81"/>
      <c r="AP244" s="81"/>
      <c r="AS244" s="81"/>
    </row>
    <row r="245" spans="17:45" x14ac:dyDescent="0.25">
      <c r="Q245" s="84"/>
      <c r="R245" s="81"/>
      <c r="S245" s="81"/>
      <c r="T245" s="81"/>
      <c r="Z245" s="81"/>
      <c r="AA245" s="81"/>
      <c r="AB245" s="81"/>
      <c r="AC245" s="81"/>
      <c r="AD245" s="81"/>
      <c r="AE245" s="81"/>
      <c r="AF245" s="81"/>
      <c r="AG245" s="81"/>
      <c r="AH245" s="81"/>
      <c r="AI245" s="81"/>
      <c r="AJ245" s="81"/>
      <c r="AK245" s="81"/>
      <c r="AL245" s="81"/>
      <c r="AM245" s="81"/>
      <c r="AN245" s="81"/>
      <c r="AO245" s="81"/>
      <c r="AP245" s="81"/>
      <c r="AS245" s="81"/>
    </row>
    <row r="246" spans="17:45" x14ac:dyDescent="0.25">
      <c r="Q246" s="84"/>
      <c r="R246" s="81"/>
      <c r="S246" s="81"/>
      <c r="T246" s="81"/>
      <c r="Z246" s="81"/>
      <c r="AA246" s="81"/>
      <c r="AB246" s="81"/>
      <c r="AC246" s="81"/>
      <c r="AD246" s="81"/>
      <c r="AE246" s="81"/>
      <c r="AF246" s="81"/>
      <c r="AG246" s="81"/>
      <c r="AH246" s="81"/>
      <c r="AI246" s="81"/>
      <c r="AJ246" s="81"/>
      <c r="AK246" s="81"/>
      <c r="AL246" s="81"/>
      <c r="AM246" s="81"/>
      <c r="AN246" s="81"/>
      <c r="AO246" s="81"/>
      <c r="AP246" s="81"/>
      <c r="AS246" s="81"/>
    </row>
    <row r="247" spans="17:45" x14ac:dyDescent="0.25">
      <c r="Q247" s="84"/>
      <c r="R247" s="81"/>
      <c r="S247" s="81"/>
      <c r="T247" s="81"/>
      <c r="Z247" s="81"/>
      <c r="AA247" s="81"/>
      <c r="AB247" s="81"/>
      <c r="AC247" s="81"/>
      <c r="AD247" s="81"/>
      <c r="AE247" s="81"/>
      <c r="AF247" s="81"/>
      <c r="AG247" s="81"/>
      <c r="AH247" s="81"/>
      <c r="AI247" s="81"/>
      <c r="AJ247" s="81"/>
      <c r="AK247" s="81"/>
      <c r="AL247" s="81"/>
      <c r="AM247" s="81"/>
      <c r="AN247" s="81"/>
      <c r="AO247" s="81"/>
      <c r="AP247" s="81"/>
      <c r="AS247" s="81"/>
    </row>
    <row r="248" spans="17:45" x14ac:dyDescent="0.25">
      <c r="Q248" s="84"/>
      <c r="R248" s="81"/>
      <c r="S248" s="81"/>
      <c r="T248" s="81"/>
      <c r="Z248" s="81"/>
      <c r="AA248" s="81"/>
      <c r="AB248" s="81"/>
      <c r="AC248" s="81"/>
      <c r="AD248" s="81"/>
      <c r="AE248" s="81"/>
      <c r="AF248" s="81"/>
      <c r="AG248" s="81"/>
      <c r="AH248" s="81"/>
      <c r="AI248" s="81"/>
      <c r="AJ248" s="81"/>
      <c r="AK248" s="81"/>
      <c r="AL248" s="81"/>
      <c r="AM248" s="81"/>
      <c r="AN248" s="81"/>
      <c r="AO248" s="81"/>
      <c r="AP248" s="81"/>
      <c r="AS248" s="81"/>
    </row>
    <row r="249" spans="17:45" x14ac:dyDescent="0.25">
      <c r="Q249" s="84"/>
      <c r="R249" s="81"/>
      <c r="S249" s="81"/>
      <c r="T249" s="81"/>
      <c r="Z249" s="81"/>
      <c r="AA249" s="81"/>
      <c r="AB249" s="81"/>
      <c r="AC249" s="81"/>
      <c r="AD249" s="81"/>
      <c r="AE249" s="81"/>
      <c r="AF249" s="81"/>
      <c r="AG249" s="81"/>
      <c r="AH249" s="81"/>
      <c r="AI249" s="81"/>
      <c r="AJ249" s="81"/>
      <c r="AK249" s="81"/>
      <c r="AL249" s="81"/>
      <c r="AM249" s="81"/>
      <c r="AN249" s="81"/>
      <c r="AO249" s="81"/>
      <c r="AP249" s="81"/>
      <c r="AS249" s="81"/>
    </row>
    <row r="250" spans="17:45" x14ac:dyDescent="0.25">
      <c r="Q250" s="84"/>
      <c r="R250" s="81"/>
      <c r="S250" s="81"/>
      <c r="T250" s="81"/>
      <c r="Z250" s="81"/>
      <c r="AA250" s="81"/>
      <c r="AB250" s="81"/>
      <c r="AC250" s="81"/>
      <c r="AD250" s="81"/>
      <c r="AE250" s="81"/>
      <c r="AF250" s="81"/>
      <c r="AG250" s="81"/>
      <c r="AH250" s="81"/>
      <c r="AI250" s="81"/>
      <c r="AJ250" s="81"/>
      <c r="AK250" s="81"/>
      <c r="AL250" s="81"/>
      <c r="AM250" s="81"/>
      <c r="AN250" s="81"/>
      <c r="AO250" s="81"/>
      <c r="AP250" s="81"/>
      <c r="AS250" s="81"/>
    </row>
    <row r="251" spans="17:45" x14ac:dyDescent="0.25">
      <c r="Q251" s="84"/>
      <c r="R251" s="81"/>
      <c r="S251" s="81"/>
      <c r="T251" s="81"/>
      <c r="Z251" s="81"/>
      <c r="AA251" s="81"/>
      <c r="AB251" s="81"/>
      <c r="AC251" s="81"/>
      <c r="AD251" s="81"/>
      <c r="AE251" s="81"/>
      <c r="AF251" s="81"/>
      <c r="AG251" s="81"/>
      <c r="AH251" s="81"/>
      <c r="AI251" s="81"/>
      <c r="AJ251" s="81"/>
      <c r="AK251" s="81"/>
      <c r="AL251" s="81"/>
      <c r="AM251" s="81"/>
      <c r="AN251" s="81"/>
      <c r="AO251" s="81"/>
      <c r="AP251" s="81"/>
      <c r="AS251" s="81"/>
    </row>
    <row r="252" spans="17:45" x14ac:dyDescent="0.25">
      <c r="Q252" s="84"/>
      <c r="R252" s="81"/>
      <c r="S252" s="81"/>
      <c r="T252" s="81"/>
      <c r="Z252" s="81"/>
      <c r="AA252" s="81"/>
      <c r="AB252" s="81"/>
      <c r="AC252" s="81"/>
      <c r="AD252" s="81"/>
      <c r="AE252" s="81"/>
      <c r="AF252" s="81"/>
      <c r="AG252" s="81"/>
      <c r="AH252" s="81"/>
      <c r="AI252" s="81"/>
      <c r="AJ252" s="81"/>
      <c r="AK252" s="81"/>
      <c r="AL252" s="81"/>
      <c r="AM252" s="81"/>
      <c r="AN252" s="81"/>
      <c r="AO252" s="81"/>
      <c r="AP252" s="81"/>
      <c r="AS252" s="81"/>
    </row>
    <row r="253" spans="17:45" x14ac:dyDescent="0.25">
      <c r="Q253" s="84"/>
      <c r="R253" s="81"/>
      <c r="S253" s="81"/>
      <c r="T253" s="81"/>
      <c r="Z253" s="81"/>
      <c r="AA253" s="81"/>
      <c r="AB253" s="81"/>
      <c r="AC253" s="81"/>
      <c r="AD253" s="81"/>
      <c r="AE253" s="81"/>
      <c r="AF253" s="81"/>
      <c r="AG253" s="81"/>
      <c r="AH253" s="81"/>
      <c r="AI253" s="81"/>
      <c r="AJ253" s="81"/>
      <c r="AK253" s="81"/>
      <c r="AL253" s="81"/>
      <c r="AM253" s="81"/>
      <c r="AN253" s="81"/>
      <c r="AO253" s="81"/>
      <c r="AP253" s="81"/>
      <c r="AS253" s="81"/>
    </row>
    <row r="254" spans="17:45" x14ac:dyDescent="0.25">
      <c r="Q254" s="84"/>
      <c r="R254" s="81"/>
      <c r="S254" s="81"/>
      <c r="T254" s="81"/>
      <c r="Z254" s="81"/>
      <c r="AA254" s="81"/>
      <c r="AB254" s="81"/>
      <c r="AC254" s="81"/>
      <c r="AD254" s="81"/>
      <c r="AE254" s="81"/>
      <c r="AF254" s="81"/>
      <c r="AG254" s="81"/>
      <c r="AH254" s="81"/>
      <c r="AI254" s="81"/>
      <c r="AJ254" s="81"/>
      <c r="AK254" s="81"/>
      <c r="AL254" s="81"/>
      <c r="AM254" s="81"/>
      <c r="AN254" s="81"/>
      <c r="AO254" s="81"/>
      <c r="AP254" s="81"/>
      <c r="AS254" s="81"/>
    </row>
    <row r="255" spans="17:45" x14ac:dyDescent="0.25">
      <c r="Q255" s="84"/>
      <c r="R255" s="81"/>
      <c r="S255" s="81"/>
      <c r="T255" s="81"/>
      <c r="Z255" s="81"/>
      <c r="AA255" s="81"/>
      <c r="AB255" s="81"/>
      <c r="AC255" s="81"/>
      <c r="AD255" s="81"/>
      <c r="AE255" s="81"/>
      <c r="AF255" s="81"/>
      <c r="AG255" s="81"/>
      <c r="AH255" s="81"/>
      <c r="AI255" s="81"/>
      <c r="AJ255" s="81"/>
      <c r="AK255" s="81"/>
      <c r="AL255" s="81"/>
      <c r="AM255" s="81"/>
      <c r="AN255" s="81"/>
      <c r="AO255" s="81"/>
      <c r="AP255" s="81"/>
      <c r="AS255" s="81"/>
    </row>
    <row r="256" spans="17:45" x14ac:dyDescent="0.25">
      <c r="Q256" s="84"/>
      <c r="R256" s="81"/>
      <c r="S256" s="81"/>
      <c r="T256" s="81"/>
      <c r="Z256" s="81"/>
      <c r="AA256" s="81"/>
      <c r="AB256" s="81"/>
      <c r="AC256" s="81"/>
      <c r="AD256" s="81"/>
      <c r="AE256" s="81"/>
      <c r="AF256" s="81"/>
      <c r="AG256" s="81"/>
      <c r="AH256" s="81"/>
      <c r="AI256" s="81"/>
      <c r="AJ256" s="81"/>
      <c r="AK256" s="81"/>
      <c r="AL256" s="81"/>
      <c r="AM256" s="81"/>
      <c r="AN256" s="81"/>
      <c r="AO256" s="81"/>
      <c r="AP256" s="81"/>
      <c r="AS256" s="81"/>
    </row>
    <row r="257" spans="17:45" x14ac:dyDescent="0.25">
      <c r="Q257" s="84"/>
      <c r="R257" s="81"/>
      <c r="S257" s="81"/>
      <c r="T257" s="81"/>
      <c r="Z257" s="81"/>
      <c r="AA257" s="81"/>
      <c r="AB257" s="81"/>
      <c r="AC257" s="81"/>
      <c r="AD257" s="81"/>
      <c r="AE257" s="81"/>
      <c r="AF257" s="81"/>
      <c r="AG257" s="81"/>
      <c r="AH257" s="81"/>
      <c r="AI257" s="81"/>
      <c r="AJ257" s="81"/>
      <c r="AK257" s="81"/>
      <c r="AL257" s="81"/>
      <c r="AM257" s="81"/>
      <c r="AN257" s="81"/>
      <c r="AO257" s="81"/>
      <c r="AP257" s="81"/>
      <c r="AS257" s="81"/>
    </row>
    <row r="258" spans="17:45" x14ac:dyDescent="0.25">
      <c r="Q258" s="84"/>
      <c r="R258" s="81"/>
      <c r="S258" s="81"/>
      <c r="T258" s="81"/>
      <c r="Z258" s="81"/>
      <c r="AA258" s="81"/>
      <c r="AB258" s="81"/>
      <c r="AC258" s="81"/>
      <c r="AD258" s="81"/>
      <c r="AE258" s="81"/>
      <c r="AF258" s="81"/>
      <c r="AG258" s="81"/>
      <c r="AH258" s="81"/>
      <c r="AI258" s="81"/>
      <c r="AJ258" s="81"/>
      <c r="AK258" s="81"/>
      <c r="AL258" s="81"/>
      <c r="AM258" s="81"/>
      <c r="AN258" s="81"/>
      <c r="AO258" s="81"/>
      <c r="AP258" s="81"/>
      <c r="AS258" s="81"/>
    </row>
    <row r="259" spans="17:45" x14ac:dyDescent="0.25">
      <c r="Q259" s="84"/>
      <c r="R259" s="81"/>
      <c r="S259" s="81"/>
      <c r="T259" s="81"/>
      <c r="Z259" s="81"/>
      <c r="AA259" s="81"/>
      <c r="AB259" s="81"/>
      <c r="AC259" s="81"/>
      <c r="AD259" s="81"/>
      <c r="AE259" s="81"/>
      <c r="AF259" s="81"/>
      <c r="AG259" s="81"/>
      <c r="AH259" s="81"/>
      <c r="AI259" s="81"/>
      <c r="AJ259" s="81"/>
      <c r="AK259" s="81"/>
      <c r="AL259" s="81"/>
      <c r="AM259" s="81"/>
      <c r="AN259" s="81"/>
      <c r="AO259" s="81"/>
      <c r="AP259" s="81"/>
      <c r="AS259" s="81"/>
    </row>
    <row r="260" spans="17:45" x14ac:dyDescent="0.25">
      <c r="Q260" s="84"/>
      <c r="R260" s="81"/>
      <c r="S260" s="81"/>
      <c r="T260" s="81"/>
      <c r="Z260" s="81"/>
      <c r="AA260" s="81"/>
      <c r="AB260" s="81"/>
      <c r="AC260" s="81"/>
      <c r="AD260" s="81"/>
      <c r="AE260" s="81"/>
      <c r="AF260" s="81"/>
      <c r="AG260" s="81"/>
      <c r="AH260" s="81"/>
      <c r="AI260" s="81"/>
      <c r="AJ260" s="81"/>
      <c r="AK260" s="81"/>
      <c r="AL260" s="81"/>
      <c r="AM260" s="81"/>
      <c r="AN260" s="81"/>
      <c r="AO260" s="81"/>
      <c r="AP260" s="81"/>
      <c r="AS260" s="81"/>
    </row>
    <row r="261" spans="17:45" x14ac:dyDescent="0.25">
      <c r="Q261" s="84"/>
      <c r="R261" s="81"/>
      <c r="S261" s="81"/>
      <c r="T261" s="81"/>
      <c r="Z261" s="81"/>
      <c r="AA261" s="81"/>
      <c r="AB261" s="81"/>
      <c r="AC261" s="81"/>
      <c r="AD261" s="81"/>
      <c r="AE261" s="81"/>
      <c r="AF261" s="81"/>
      <c r="AG261" s="81"/>
      <c r="AH261" s="81"/>
      <c r="AI261" s="81"/>
      <c r="AJ261" s="81"/>
      <c r="AK261" s="81"/>
      <c r="AL261" s="81"/>
      <c r="AM261" s="81"/>
      <c r="AN261" s="81"/>
      <c r="AO261" s="81"/>
      <c r="AP261" s="81"/>
      <c r="AS261" s="81"/>
    </row>
    <row r="262" spans="17:45" x14ac:dyDescent="0.25">
      <c r="Q262" s="84"/>
      <c r="R262" s="81"/>
      <c r="S262" s="81"/>
      <c r="T262" s="81"/>
      <c r="Z262" s="81"/>
      <c r="AA262" s="81"/>
      <c r="AB262" s="81"/>
      <c r="AC262" s="81"/>
      <c r="AD262" s="81"/>
      <c r="AE262" s="81"/>
      <c r="AF262" s="81"/>
      <c r="AG262" s="81"/>
      <c r="AH262" s="81"/>
      <c r="AI262" s="81"/>
      <c r="AJ262" s="81"/>
      <c r="AK262" s="81"/>
      <c r="AL262" s="81"/>
      <c r="AM262" s="81"/>
      <c r="AN262" s="81"/>
      <c r="AO262" s="81"/>
      <c r="AP262" s="81"/>
      <c r="AS262" s="81"/>
    </row>
    <row r="263" spans="17:45" x14ac:dyDescent="0.25">
      <c r="Q263" s="84"/>
      <c r="R263" s="81"/>
      <c r="S263" s="81"/>
      <c r="T263" s="81"/>
      <c r="Z263" s="81"/>
      <c r="AA263" s="81"/>
      <c r="AB263" s="81"/>
      <c r="AC263" s="81"/>
      <c r="AD263" s="81"/>
      <c r="AE263" s="81"/>
      <c r="AF263" s="81"/>
      <c r="AG263" s="81"/>
      <c r="AH263" s="81"/>
      <c r="AI263" s="81"/>
      <c r="AJ263" s="81"/>
      <c r="AK263" s="81"/>
      <c r="AL263" s="81"/>
      <c r="AM263" s="81"/>
      <c r="AN263" s="81"/>
      <c r="AO263" s="81"/>
      <c r="AP263" s="81"/>
      <c r="AS263" s="81"/>
    </row>
    <row r="264" spans="17:45" x14ac:dyDescent="0.25">
      <c r="Q264" s="84"/>
      <c r="R264" s="81"/>
      <c r="S264" s="81"/>
      <c r="T264" s="81"/>
      <c r="Z264" s="81"/>
      <c r="AA264" s="81"/>
      <c r="AB264" s="81"/>
      <c r="AC264" s="81"/>
      <c r="AD264" s="81"/>
      <c r="AE264" s="81"/>
      <c r="AF264" s="81"/>
      <c r="AG264" s="81"/>
      <c r="AH264" s="81"/>
      <c r="AI264" s="81"/>
      <c r="AJ264" s="81"/>
      <c r="AK264" s="81"/>
      <c r="AL264" s="81"/>
      <c r="AM264" s="81"/>
      <c r="AN264" s="81"/>
      <c r="AO264" s="81"/>
      <c r="AP264" s="81"/>
      <c r="AS264" s="81"/>
    </row>
    <row r="265" spans="17:45" x14ac:dyDescent="0.25">
      <c r="Q265" s="84"/>
      <c r="R265" s="81"/>
      <c r="S265" s="81"/>
      <c r="T265" s="81"/>
      <c r="Z265" s="81"/>
      <c r="AA265" s="81"/>
      <c r="AB265" s="81"/>
      <c r="AC265" s="81"/>
      <c r="AD265" s="81"/>
      <c r="AE265" s="81"/>
      <c r="AF265" s="81"/>
      <c r="AG265" s="81"/>
      <c r="AH265" s="81"/>
      <c r="AI265" s="81"/>
      <c r="AJ265" s="81"/>
      <c r="AK265" s="81"/>
      <c r="AL265" s="81"/>
      <c r="AM265" s="81"/>
      <c r="AN265" s="81"/>
      <c r="AO265" s="81"/>
      <c r="AP265" s="81"/>
      <c r="AS265" s="81"/>
    </row>
    <row r="266" spans="17:45" x14ac:dyDescent="0.25">
      <c r="Q266" s="84"/>
      <c r="R266" s="81"/>
      <c r="S266" s="81"/>
      <c r="T266" s="81"/>
      <c r="Z266" s="81"/>
      <c r="AA266" s="81"/>
      <c r="AB266" s="81"/>
      <c r="AC266" s="81"/>
      <c r="AD266" s="81"/>
      <c r="AE266" s="81"/>
      <c r="AF266" s="81"/>
      <c r="AG266" s="81"/>
      <c r="AH266" s="81"/>
      <c r="AI266" s="81"/>
      <c r="AJ266" s="81"/>
      <c r="AK266" s="81"/>
      <c r="AL266" s="81"/>
      <c r="AM266" s="81"/>
      <c r="AN266" s="81"/>
      <c r="AO266" s="81"/>
      <c r="AP266" s="81"/>
      <c r="AS266" s="81"/>
    </row>
    <row r="267" spans="17:45" x14ac:dyDescent="0.25">
      <c r="Q267" s="84"/>
      <c r="R267" s="81"/>
      <c r="S267" s="81"/>
      <c r="T267" s="81"/>
      <c r="Z267" s="81"/>
      <c r="AA267" s="81"/>
      <c r="AB267" s="81"/>
      <c r="AC267" s="81"/>
      <c r="AD267" s="81"/>
      <c r="AE267" s="81"/>
      <c r="AF267" s="81"/>
      <c r="AG267" s="81"/>
      <c r="AH267" s="81"/>
      <c r="AI267" s="81"/>
      <c r="AJ267" s="81"/>
      <c r="AK267" s="81"/>
      <c r="AL267" s="81"/>
      <c r="AM267" s="81"/>
      <c r="AN267" s="81"/>
      <c r="AO267" s="81"/>
      <c r="AP267" s="81"/>
      <c r="AS267" s="81"/>
    </row>
    <row r="268" spans="17:45" x14ac:dyDescent="0.25">
      <c r="Q268" s="84"/>
      <c r="R268" s="81"/>
      <c r="S268" s="81"/>
      <c r="T268" s="81"/>
      <c r="Z268" s="81"/>
      <c r="AA268" s="81"/>
      <c r="AB268" s="81"/>
      <c r="AC268" s="81"/>
      <c r="AD268" s="81"/>
      <c r="AE268" s="81"/>
      <c r="AF268" s="81"/>
      <c r="AG268" s="81"/>
      <c r="AH268" s="81"/>
      <c r="AI268" s="81"/>
      <c r="AJ268" s="81"/>
      <c r="AK268" s="81"/>
      <c r="AL268" s="81"/>
      <c r="AM268" s="81"/>
      <c r="AN268" s="81"/>
      <c r="AO268" s="81"/>
      <c r="AP268" s="81"/>
      <c r="AS268" s="81"/>
    </row>
    <row r="269" spans="17:45" x14ac:dyDescent="0.25">
      <c r="Q269" s="84"/>
      <c r="R269" s="81"/>
      <c r="S269" s="81"/>
      <c r="T269" s="81"/>
      <c r="Z269" s="81"/>
      <c r="AA269" s="81"/>
      <c r="AB269" s="81"/>
      <c r="AC269" s="81"/>
      <c r="AD269" s="81"/>
      <c r="AE269" s="81"/>
      <c r="AF269" s="81"/>
      <c r="AG269" s="81"/>
      <c r="AH269" s="81"/>
      <c r="AI269" s="81"/>
      <c r="AJ269" s="81"/>
      <c r="AK269" s="81"/>
      <c r="AL269" s="81"/>
      <c r="AM269" s="81"/>
      <c r="AN269" s="81"/>
      <c r="AO269" s="81"/>
      <c r="AP269" s="81"/>
      <c r="AS269" s="81"/>
    </row>
    <row r="270" spans="17:45" x14ac:dyDescent="0.25">
      <c r="Q270" s="84"/>
      <c r="R270" s="81"/>
      <c r="S270" s="81"/>
      <c r="T270" s="81"/>
      <c r="Z270" s="81"/>
      <c r="AA270" s="81"/>
      <c r="AB270" s="81"/>
      <c r="AC270" s="81"/>
      <c r="AD270" s="81"/>
      <c r="AE270" s="81"/>
      <c r="AF270" s="81"/>
      <c r="AG270" s="81"/>
      <c r="AH270" s="81"/>
      <c r="AI270" s="81"/>
      <c r="AJ270" s="81"/>
      <c r="AK270" s="81"/>
      <c r="AL270" s="81"/>
      <c r="AM270" s="81"/>
      <c r="AN270" s="81"/>
      <c r="AO270" s="81"/>
      <c r="AP270" s="81"/>
      <c r="AS270" s="81"/>
    </row>
    <row r="271" spans="17:45" x14ac:dyDescent="0.25">
      <c r="Q271" s="84"/>
      <c r="R271" s="81"/>
      <c r="S271" s="81"/>
      <c r="T271" s="81"/>
      <c r="Z271" s="81"/>
      <c r="AA271" s="81"/>
      <c r="AB271" s="81"/>
      <c r="AC271" s="81"/>
      <c r="AD271" s="81"/>
      <c r="AE271" s="81"/>
      <c r="AF271" s="81"/>
      <c r="AG271" s="81"/>
      <c r="AH271" s="81"/>
      <c r="AI271" s="81"/>
      <c r="AJ271" s="81"/>
      <c r="AK271" s="81"/>
      <c r="AL271" s="81"/>
      <c r="AM271" s="81"/>
      <c r="AN271" s="81"/>
      <c r="AO271" s="81"/>
      <c r="AP271" s="81"/>
      <c r="AS271" s="81"/>
    </row>
    <row r="272" spans="17:45" x14ac:dyDescent="0.25">
      <c r="Q272" s="84"/>
      <c r="R272" s="81"/>
      <c r="S272" s="81"/>
      <c r="T272" s="81"/>
      <c r="Z272" s="81"/>
      <c r="AA272" s="81"/>
      <c r="AB272" s="81"/>
      <c r="AC272" s="81"/>
      <c r="AD272" s="81"/>
      <c r="AE272" s="81"/>
      <c r="AF272" s="81"/>
      <c r="AG272" s="81"/>
      <c r="AH272" s="81"/>
      <c r="AI272" s="81"/>
      <c r="AJ272" s="81"/>
      <c r="AK272" s="81"/>
      <c r="AL272" s="81"/>
      <c r="AM272" s="81"/>
      <c r="AN272" s="81"/>
      <c r="AO272" s="81"/>
      <c r="AP272" s="81"/>
      <c r="AS272" s="81"/>
    </row>
    <row r="273" spans="17:45" x14ac:dyDescent="0.25">
      <c r="Q273" s="84"/>
      <c r="R273" s="81"/>
      <c r="S273" s="81"/>
      <c r="T273" s="81"/>
      <c r="Z273" s="81"/>
      <c r="AA273" s="81"/>
      <c r="AB273" s="81"/>
      <c r="AC273" s="81"/>
      <c r="AD273" s="81"/>
      <c r="AE273" s="81"/>
      <c r="AF273" s="81"/>
      <c r="AG273" s="81"/>
      <c r="AH273" s="81"/>
      <c r="AI273" s="81"/>
      <c r="AJ273" s="81"/>
      <c r="AK273" s="81"/>
      <c r="AL273" s="81"/>
      <c r="AM273" s="81"/>
      <c r="AN273" s="81"/>
      <c r="AO273" s="81"/>
      <c r="AP273" s="81"/>
      <c r="AS273" s="81"/>
    </row>
    <row r="274" spans="17:45" x14ac:dyDescent="0.25">
      <c r="Q274" s="84"/>
      <c r="R274" s="81"/>
      <c r="S274" s="81"/>
      <c r="T274" s="81"/>
      <c r="Z274" s="81"/>
      <c r="AA274" s="81"/>
      <c r="AB274" s="81"/>
      <c r="AC274" s="81"/>
      <c r="AD274" s="81"/>
      <c r="AE274" s="81"/>
      <c r="AF274" s="81"/>
      <c r="AG274" s="81"/>
      <c r="AH274" s="81"/>
      <c r="AI274" s="81"/>
      <c r="AJ274" s="81"/>
      <c r="AK274" s="81"/>
      <c r="AL274" s="81"/>
      <c r="AM274" s="81"/>
      <c r="AN274" s="81"/>
      <c r="AO274" s="81"/>
      <c r="AP274" s="81"/>
      <c r="AS274" s="81"/>
    </row>
    <row r="275" spans="17:45" x14ac:dyDescent="0.25">
      <c r="Q275" s="84"/>
      <c r="R275" s="81"/>
      <c r="S275" s="81"/>
      <c r="T275" s="81"/>
      <c r="Z275" s="81"/>
      <c r="AA275" s="81"/>
      <c r="AB275" s="81"/>
      <c r="AC275" s="81"/>
      <c r="AD275" s="81"/>
      <c r="AE275" s="81"/>
      <c r="AF275" s="81"/>
      <c r="AG275" s="81"/>
      <c r="AH275" s="81"/>
      <c r="AI275" s="81"/>
      <c r="AJ275" s="81"/>
      <c r="AK275" s="81"/>
      <c r="AL275" s="81"/>
      <c r="AM275" s="81"/>
      <c r="AN275" s="81"/>
      <c r="AO275" s="81"/>
      <c r="AP275" s="81"/>
      <c r="AS275" s="81"/>
    </row>
    <row r="276" spans="17:45" x14ac:dyDescent="0.25">
      <c r="Q276" s="84"/>
      <c r="R276" s="81"/>
      <c r="S276" s="81"/>
      <c r="T276" s="81"/>
      <c r="Z276" s="81"/>
      <c r="AA276" s="81"/>
      <c r="AB276" s="81"/>
      <c r="AC276" s="81"/>
      <c r="AD276" s="81"/>
      <c r="AE276" s="81"/>
      <c r="AF276" s="81"/>
      <c r="AG276" s="81"/>
      <c r="AH276" s="81"/>
      <c r="AI276" s="81"/>
      <c r="AJ276" s="81"/>
      <c r="AK276" s="81"/>
      <c r="AL276" s="81"/>
      <c r="AM276" s="81"/>
      <c r="AN276" s="81"/>
      <c r="AO276" s="81"/>
      <c r="AP276" s="81"/>
      <c r="AS276" s="81"/>
    </row>
    <row r="277" spans="17:45" x14ac:dyDescent="0.25">
      <c r="Q277" s="84"/>
      <c r="R277" s="81"/>
      <c r="S277" s="81"/>
      <c r="T277" s="81"/>
      <c r="Z277" s="81"/>
      <c r="AA277" s="81"/>
      <c r="AB277" s="81"/>
      <c r="AC277" s="81"/>
      <c r="AD277" s="81"/>
      <c r="AE277" s="81"/>
      <c r="AF277" s="81"/>
      <c r="AG277" s="81"/>
      <c r="AH277" s="81"/>
      <c r="AI277" s="81"/>
      <c r="AJ277" s="81"/>
      <c r="AK277" s="81"/>
      <c r="AL277" s="81"/>
      <c r="AM277" s="81"/>
      <c r="AN277" s="81"/>
      <c r="AO277" s="81"/>
      <c r="AP277" s="81"/>
      <c r="AS277" s="81"/>
    </row>
    <row r="278" spans="17:45" x14ac:dyDescent="0.25">
      <c r="Q278" s="84"/>
      <c r="R278" s="81"/>
      <c r="S278" s="81"/>
      <c r="T278" s="81"/>
      <c r="Z278" s="81"/>
      <c r="AA278" s="81"/>
      <c r="AB278" s="81"/>
      <c r="AC278" s="81"/>
      <c r="AD278" s="81"/>
      <c r="AE278" s="81"/>
      <c r="AF278" s="81"/>
      <c r="AG278" s="81"/>
      <c r="AH278" s="81"/>
      <c r="AI278" s="81"/>
      <c r="AJ278" s="81"/>
      <c r="AK278" s="81"/>
      <c r="AL278" s="81"/>
      <c r="AM278" s="81"/>
      <c r="AN278" s="81"/>
      <c r="AO278" s="81"/>
      <c r="AP278" s="81"/>
      <c r="AS278" s="81"/>
    </row>
    <row r="279" spans="17:45" x14ac:dyDescent="0.25">
      <c r="Q279" s="84"/>
      <c r="R279" s="81"/>
      <c r="S279" s="81"/>
      <c r="T279" s="81"/>
      <c r="Z279" s="81"/>
      <c r="AA279" s="81"/>
      <c r="AB279" s="81"/>
      <c r="AC279" s="81"/>
      <c r="AD279" s="81"/>
      <c r="AE279" s="81"/>
      <c r="AF279" s="81"/>
      <c r="AG279" s="81"/>
      <c r="AH279" s="81"/>
      <c r="AI279" s="81"/>
      <c r="AJ279" s="81"/>
      <c r="AK279" s="81"/>
      <c r="AL279" s="81"/>
      <c r="AM279" s="81"/>
      <c r="AN279" s="81"/>
      <c r="AO279" s="81"/>
      <c r="AP279" s="81"/>
      <c r="AS279" s="81"/>
    </row>
    <row r="280" spans="17:45" x14ac:dyDescent="0.25">
      <c r="Q280" s="84"/>
      <c r="R280" s="81"/>
      <c r="S280" s="81"/>
      <c r="T280" s="81"/>
      <c r="Z280" s="81"/>
      <c r="AA280" s="81"/>
      <c r="AB280" s="81"/>
      <c r="AC280" s="81"/>
      <c r="AD280" s="81"/>
      <c r="AE280" s="81"/>
      <c r="AF280" s="81"/>
      <c r="AG280" s="81"/>
      <c r="AH280" s="81"/>
      <c r="AI280" s="81"/>
      <c r="AJ280" s="81"/>
      <c r="AK280" s="81"/>
      <c r="AL280" s="81"/>
      <c r="AM280" s="81"/>
      <c r="AN280" s="81"/>
      <c r="AO280" s="81"/>
      <c r="AP280" s="81"/>
      <c r="AS280" s="81"/>
    </row>
    <row r="281" spans="17:45" x14ac:dyDescent="0.25">
      <c r="Q281" s="84"/>
      <c r="R281" s="81"/>
      <c r="S281" s="81"/>
      <c r="T281" s="81"/>
      <c r="Z281" s="81"/>
      <c r="AA281" s="81"/>
      <c r="AB281" s="81"/>
      <c r="AC281" s="81"/>
      <c r="AD281" s="81"/>
      <c r="AE281" s="81"/>
      <c r="AF281" s="81"/>
      <c r="AG281" s="81"/>
      <c r="AH281" s="81"/>
      <c r="AI281" s="81"/>
      <c r="AJ281" s="81"/>
      <c r="AK281" s="81"/>
      <c r="AL281" s="81"/>
      <c r="AM281" s="81"/>
      <c r="AN281" s="81"/>
      <c r="AO281" s="81"/>
      <c r="AP281" s="81"/>
      <c r="AS281" s="81"/>
    </row>
    <row r="282" spans="17:45" x14ac:dyDescent="0.25">
      <c r="Q282" s="84"/>
      <c r="R282" s="81"/>
      <c r="S282" s="81"/>
      <c r="T282" s="81"/>
      <c r="Z282" s="81"/>
      <c r="AA282" s="81"/>
      <c r="AB282" s="81"/>
      <c r="AC282" s="81"/>
      <c r="AD282" s="81"/>
      <c r="AE282" s="81"/>
      <c r="AF282" s="81"/>
      <c r="AG282" s="81"/>
      <c r="AH282" s="81"/>
      <c r="AI282" s="81"/>
      <c r="AJ282" s="81"/>
      <c r="AK282" s="81"/>
      <c r="AL282" s="81"/>
      <c r="AM282" s="81"/>
      <c r="AN282" s="81"/>
      <c r="AO282" s="81"/>
      <c r="AP282" s="81"/>
      <c r="AS282" s="81"/>
    </row>
    <row r="283" spans="17:45" x14ac:dyDescent="0.25">
      <c r="Q283" s="84"/>
      <c r="R283" s="81"/>
      <c r="S283" s="81"/>
      <c r="T283" s="81"/>
      <c r="Z283" s="81"/>
      <c r="AA283" s="81"/>
      <c r="AB283" s="81"/>
      <c r="AC283" s="81"/>
      <c r="AD283" s="81"/>
      <c r="AE283" s="81"/>
      <c r="AF283" s="81"/>
      <c r="AG283" s="81"/>
      <c r="AH283" s="81"/>
      <c r="AI283" s="81"/>
      <c r="AJ283" s="81"/>
      <c r="AK283" s="81"/>
      <c r="AL283" s="81"/>
      <c r="AM283" s="81"/>
      <c r="AN283" s="81"/>
      <c r="AO283" s="81"/>
      <c r="AP283" s="81"/>
      <c r="AS283" s="81"/>
    </row>
    <row r="284" spans="17:45" x14ac:dyDescent="0.25">
      <c r="Q284" s="84"/>
      <c r="R284" s="81"/>
      <c r="S284" s="81"/>
      <c r="T284" s="81"/>
      <c r="Z284" s="81"/>
      <c r="AA284" s="81"/>
      <c r="AB284" s="81"/>
      <c r="AC284" s="81"/>
      <c r="AD284" s="81"/>
      <c r="AE284" s="81"/>
      <c r="AF284" s="81"/>
      <c r="AG284" s="81"/>
      <c r="AH284" s="81"/>
      <c r="AI284" s="81"/>
      <c r="AJ284" s="81"/>
      <c r="AK284" s="81"/>
      <c r="AL284" s="81"/>
      <c r="AM284" s="81"/>
      <c r="AN284" s="81"/>
      <c r="AO284" s="81"/>
      <c r="AP284" s="81"/>
      <c r="AS284" s="81"/>
    </row>
    <row r="285" spans="17:45" x14ac:dyDescent="0.25">
      <c r="Q285" s="84"/>
      <c r="R285" s="81"/>
      <c r="S285" s="81"/>
      <c r="T285" s="81"/>
      <c r="Z285" s="81"/>
      <c r="AA285" s="81"/>
      <c r="AB285" s="81"/>
      <c r="AC285" s="81"/>
      <c r="AD285" s="81"/>
      <c r="AE285" s="81"/>
      <c r="AF285" s="81"/>
      <c r="AG285" s="81"/>
      <c r="AH285" s="81"/>
      <c r="AI285" s="81"/>
      <c r="AJ285" s="81"/>
      <c r="AK285" s="81"/>
      <c r="AL285" s="81"/>
      <c r="AM285" s="81"/>
      <c r="AN285" s="81"/>
      <c r="AO285" s="81"/>
      <c r="AP285" s="81"/>
      <c r="AS285" s="81"/>
    </row>
    <row r="286" spans="17:45" x14ac:dyDescent="0.25">
      <c r="Q286" s="84"/>
      <c r="R286" s="81"/>
      <c r="S286" s="81"/>
      <c r="T286" s="81"/>
      <c r="Z286" s="81"/>
      <c r="AA286" s="81"/>
      <c r="AB286" s="81"/>
      <c r="AC286" s="81"/>
      <c r="AD286" s="81"/>
      <c r="AE286" s="81"/>
      <c r="AF286" s="81"/>
      <c r="AG286" s="81"/>
      <c r="AH286" s="81"/>
      <c r="AI286" s="81"/>
      <c r="AJ286" s="81"/>
      <c r="AK286" s="81"/>
      <c r="AL286" s="81"/>
      <c r="AM286" s="81"/>
      <c r="AN286" s="81"/>
      <c r="AO286" s="81"/>
      <c r="AP286" s="81"/>
      <c r="AS286" s="81"/>
    </row>
    <row r="287" spans="17:45" x14ac:dyDescent="0.25">
      <c r="Q287" s="84"/>
      <c r="R287" s="81"/>
      <c r="S287" s="81"/>
      <c r="T287" s="81"/>
      <c r="Z287" s="81"/>
      <c r="AA287" s="81"/>
      <c r="AB287" s="81"/>
      <c r="AC287" s="81"/>
      <c r="AD287" s="81"/>
      <c r="AE287" s="81"/>
      <c r="AF287" s="81"/>
      <c r="AG287" s="81"/>
      <c r="AH287" s="81"/>
      <c r="AI287" s="81"/>
      <c r="AJ287" s="81"/>
      <c r="AK287" s="81"/>
      <c r="AL287" s="81"/>
      <c r="AM287" s="81"/>
      <c r="AN287" s="81"/>
      <c r="AO287" s="81"/>
      <c r="AP287" s="81"/>
      <c r="AS287" s="81"/>
    </row>
    <row r="288" spans="17:45" x14ac:dyDescent="0.25">
      <c r="Q288" s="84"/>
      <c r="R288" s="81"/>
      <c r="S288" s="81"/>
      <c r="T288" s="81"/>
      <c r="Z288" s="81"/>
      <c r="AA288" s="81"/>
      <c r="AB288" s="81"/>
      <c r="AC288" s="81"/>
      <c r="AD288" s="81"/>
      <c r="AE288" s="81"/>
      <c r="AF288" s="81"/>
      <c r="AG288" s="81"/>
      <c r="AH288" s="81"/>
      <c r="AI288" s="81"/>
      <c r="AJ288" s="81"/>
      <c r="AK288" s="81"/>
      <c r="AL288" s="81"/>
      <c r="AM288" s="81"/>
      <c r="AN288" s="81"/>
      <c r="AO288" s="81"/>
      <c r="AP288" s="81"/>
      <c r="AS288" s="81"/>
    </row>
    <row r="289" spans="17:45" x14ac:dyDescent="0.25">
      <c r="Q289" s="84"/>
      <c r="R289" s="81"/>
      <c r="S289" s="81"/>
      <c r="T289" s="81"/>
      <c r="Z289" s="81"/>
      <c r="AA289" s="81"/>
      <c r="AB289" s="81"/>
      <c r="AC289" s="81"/>
      <c r="AD289" s="81"/>
      <c r="AE289" s="81"/>
      <c r="AF289" s="81"/>
      <c r="AG289" s="81"/>
      <c r="AH289" s="81"/>
      <c r="AI289" s="81"/>
      <c r="AJ289" s="81"/>
      <c r="AK289" s="81"/>
      <c r="AL289" s="81"/>
      <c r="AM289" s="81"/>
      <c r="AN289" s="81"/>
      <c r="AO289" s="81"/>
      <c r="AP289" s="81"/>
      <c r="AS289" s="81"/>
    </row>
    <row r="290" spans="17:45" x14ac:dyDescent="0.25">
      <c r="Q290" s="84"/>
      <c r="R290" s="81"/>
      <c r="S290" s="81"/>
      <c r="T290" s="81"/>
      <c r="Z290" s="81"/>
      <c r="AA290" s="81"/>
      <c r="AB290" s="81"/>
      <c r="AC290" s="81"/>
      <c r="AD290" s="81"/>
      <c r="AE290" s="81"/>
      <c r="AF290" s="81"/>
      <c r="AG290" s="81"/>
      <c r="AH290" s="81"/>
      <c r="AI290" s="81"/>
      <c r="AJ290" s="81"/>
      <c r="AK290" s="81"/>
      <c r="AL290" s="81"/>
      <c r="AM290" s="81"/>
      <c r="AN290" s="81"/>
      <c r="AO290" s="81"/>
      <c r="AP290" s="81"/>
      <c r="AS290" s="81"/>
    </row>
    <row r="291" spans="17:45" x14ac:dyDescent="0.25">
      <c r="Q291" s="84"/>
      <c r="R291" s="81"/>
      <c r="S291" s="81"/>
      <c r="T291" s="81"/>
      <c r="Z291" s="81"/>
      <c r="AA291" s="81"/>
      <c r="AB291" s="81"/>
      <c r="AC291" s="81"/>
      <c r="AD291" s="81"/>
      <c r="AE291" s="81"/>
      <c r="AF291" s="81"/>
      <c r="AG291" s="81"/>
      <c r="AH291" s="81"/>
      <c r="AI291" s="81"/>
      <c r="AJ291" s="81"/>
      <c r="AK291" s="81"/>
      <c r="AL291" s="81"/>
      <c r="AM291" s="81"/>
      <c r="AN291" s="81"/>
      <c r="AO291" s="81"/>
      <c r="AP291" s="81"/>
      <c r="AS291" s="81"/>
    </row>
    <row r="292" spans="17:45" x14ac:dyDescent="0.25">
      <c r="Q292" s="84"/>
      <c r="R292" s="81"/>
      <c r="S292" s="81"/>
      <c r="T292" s="81"/>
      <c r="Z292" s="81"/>
      <c r="AA292" s="81"/>
      <c r="AB292" s="81"/>
      <c r="AC292" s="81"/>
      <c r="AD292" s="81"/>
      <c r="AE292" s="81"/>
      <c r="AF292" s="81"/>
      <c r="AG292" s="81"/>
      <c r="AH292" s="81"/>
      <c r="AI292" s="81"/>
      <c r="AJ292" s="81"/>
      <c r="AK292" s="81"/>
      <c r="AL292" s="81"/>
      <c r="AM292" s="81"/>
      <c r="AN292" s="81"/>
      <c r="AO292" s="81"/>
      <c r="AP292" s="81"/>
      <c r="AS292" s="81"/>
    </row>
    <row r="293" spans="17:45" x14ac:dyDescent="0.25">
      <c r="Q293" s="84"/>
      <c r="R293" s="81"/>
      <c r="S293" s="81"/>
      <c r="T293" s="81"/>
      <c r="Z293" s="81"/>
      <c r="AA293" s="81"/>
      <c r="AB293" s="81"/>
      <c r="AC293" s="81"/>
      <c r="AD293" s="81"/>
      <c r="AE293" s="81"/>
      <c r="AF293" s="81"/>
      <c r="AG293" s="81"/>
      <c r="AH293" s="81"/>
      <c r="AI293" s="81"/>
      <c r="AJ293" s="81"/>
      <c r="AK293" s="81"/>
      <c r="AL293" s="81"/>
      <c r="AM293" s="81"/>
      <c r="AN293" s="81"/>
      <c r="AO293" s="81"/>
      <c r="AP293" s="81"/>
      <c r="AS293" s="81"/>
    </row>
    <row r="294" spans="17:45" x14ac:dyDescent="0.25">
      <c r="Q294" s="84"/>
      <c r="R294" s="81"/>
      <c r="S294" s="81"/>
      <c r="T294" s="81"/>
      <c r="Z294" s="81"/>
      <c r="AA294" s="81"/>
      <c r="AB294" s="81"/>
      <c r="AC294" s="81"/>
      <c r="AD294" s="81"/>
      <c r="AE294" s="81"/>
      <c r="AF294" s="81"/>
      <c r="AG294" s="81"/>
      <c r="AH294" s="81"/>
      <c r="AI294" s="81"/>
      <c r="AJ294" s="81"/>
      <c r="AK294" s="81"/>
      <c r="AL294" s="81"/>
      <c r="AM294" s="81"/>
      <c r="AN294" s="81"/>
      <c r="AO294" s="81"/>
      <c r="AP294" s="81"/>
      <c r="AS294" s="81"/>
    </row>
    <row r="295" spans="17:45" x14ac:dyDescent="0.25">
      <c r="Q295" s="84"/>
      <c r="R295" s="81"/>
      <c r="S295" s="81"/>
      <c r="T295" s="81"/>
      <c r="Z295" s="81"/>
      <c r="AA295" s="81"/>
      <c r="AB295" s="81"/>
      <c r="AC295" s="81"/>
      <c r="AD295" s="81"/>
      <c r="AE295" s="81"/>
      <c r="AF295" s="81"/>
      <c r="AG295" s="81"/>
      <c r="AH295" s="81"/>
      <c r="AI295" s="81"/>
      <c r="AJ295" s="81"/>
      <c r="AK295" s="81"/>
      <c r="AL295" s="81"/>
      <c r="AM295" s="81"/>
      <c r="AN295" s="81"/>
      <c r="AO295" s="81"/>
      <c r="AP295" s="81"/>
      <c r="AS295" s="81"/>
    </row>
    <row r="296" spans="17:45" x14ac:dyDescent="0.25">
      <c r="Q296" s="84"/>
      <c r="R296" s="81"/>
      <c r="S296" s="81"/>
      <c r="T296" s="81"/>
      <c r="Z296" s="81"/>
      <c r="AA296" s="81"/>
      <c r="AB296" s="81"/>
      <c r="AC296" s="81"/>
      <c r="AD296" s="81"/>
      <c r="AE296" s="81"/>
      <c r="AF296" s="81"/>
      <c r="AG296" s="81"/>
      <c r="AH296" s="81"/>
      <c r="AI296" s="81"/>
      <c r="AJ296" s="81"/>
      <c r="AK296" s="81"/>
      <c r="AL296" s="81"/>
      <c r="AM296" s="81"/>
      <c r="AN296" s="81"/>
      <c r="AO296" s="81"/>
      <c r="AP296" s="81"/>
      <c r="AS296" s="81"/>
    </row>
    <row r="297" spans="17:45" x14ac:dyDescent="0.25">
      <c r="Q297" s="84"/>
      <c r="R297" s="81"/>
      <c r="S297" s="81"/>
      <c r="T297" s="81"/>
      <c r="Z297" s="81"/>
      <c r="AA297" s="81"/>
      <c r="AB297" s="81"/>
      <c r="AC297" s="81"/>
      <c r="AD297" s="81"/>
      <c r="AE297" s="81"/>
      <c r="AF297" s="81"/>
      <c r="AG297" s="81"/>
      <c r="AH297" s="81"/>
      <c r="AI297" s="81"/>
      <c r="AJ297" s="81"/>
      <c r="AK297" s="81"/>
      <c r="AL297" s="81"/>
      <c r="AM297" s="81"/>
      <c r="AN297" s="81"/>
      <c r="AO297" s="81"/>
      <c r="AP297" s="81"/>
      <c r="AS297" s="81"/>
    </row>
    <row r="298" spans="17:45" x14ac:dyDescent="0.25">
      <c r="Q298" s="84"/>
      <c r="R298" s="81"/>
      <c r="S298" s="81"/>
      <c r="T298" s="81"/>
      <c r="Z298" s="81"/>
      <c r="AA298" s="81"/>
      <c r="AB298" s="81"/>
      <c r="AC298" s="81"/>
      <c r="AD298" s="81"/>
      <c r="AE298" s="81"/>
      <c r="AF298" s="81"/>
      <c r="AG298" s="81"/>
      <c r="AH298" s="81"/>
      <c r="AI298" s="81"/>
      <c r="AJ298" s="81"/>
      <c r="AK298" s="81"/>
      <c r="AL298" s="81"/>
      <c r="AM298" s="81"/>
      <c r="AN298" s="81"/>
      <c r="AO298" s="81"/>
      <c r="AP298" s="81"/>
      <c r="AS298" s="81"/>
    </row>
    <row r="299" spans="17:45" x14ac:dyDescent="0.25">
      <c r="Q299" s="84"/>
      <c r="R299" s="81"/>
      <c r="S299" s="81"/>
      <c r="T299" s="81"/>
      <c r="Z299" s="81"/>
      <c r="AA299" s="81"/>
      <c r="AB299" s="81"/>
      <c r="AC299" s="81"/>
      <c r="AD299" s="81"/>
      <c r="AE299" s="81"/>
      <c r="AF299" s="81"/>
      <c r="AG299" s="81"/>
      <c r="AH299" s="81"/>
      <c r="AI299" s="81"/>
      <c r="AJ299" s="81"/>
      <c r="AK299" s="81"/>
      <c r="AL299" s="81"/>
      <c r="AM299" s="81"/>
      <c r="AN299" s="81"/>
      <c r="AO299" s="81"/>
      <c r="AP299" s="81"/>
      <c r="AS299" s="81"/>
    </row>
    <row r="300" spans="17:45" x14ac:dyDescent="0.25">
      <c r="Q300" s="84"/>
      <c r="R300" s="81"/>
      <c r="S300" s="81"/>
      <c r="T300" s="81"/>
      <c r="Z300" s="81"/>
      <c r="AA300" s="81"/>
      <c r="AB300" s="81"/>
      <c r="AC300" s="81"/>
      <c r="AD300" s="81"/>
      <c r="AE300" s="81"/>
      <c r="AF300" s="81"/>
      <c r="AG300" s="81"/>
      <c r="AH300" s="81"/>
      <c r="AI300" s="81"/>
      <c r="AJ300" s="81"/>
      <c r="AK300" s="81"/>
      <c r="AL300" s="81"/>
      <c r="AM300" s="81"/>
      <c r="AN300" s="81"/>
      <c r="AO300" s="81"/>
      <c r="AP300" s="81"/>
      <c r="AS300" s="81"/>
    </row>
    <row r="301" spans="17:45" x14ac:dyDescent="0.25">
      <c r="Q301" s="84"/>
      <c r="R301" s="81"/>
      <c r="S301" s="81"/>
      <c r="T301" s="81"/>
      <c r="Z301" s="81"/>
      <c r="AA301" s="81"/>
      <c r="AB301" s="81"/>
      <c r="AC301" s="81"/>
      <c r="AD301" s="81"/>
      <c r="AE301" s="81"/>
      <c r="AF301" s="81"/>
      <c r="AG301" s="81"/>
      <c r="AH301" s="81"/>
      <c r="AI301" s="81"/>
      <c r="AJ301" s="81"/>
      <c r="AK301" s="81"/>
      <c r="AL301" s="81"/>
      <c r="AM301" s="81"/>
      <c r="AN301" s="81"/>
      <c r="AO301" s="81"/>
      <c r="AP301" s="81"/>
      <c r="AS301" s="81"/>
    </row>
    <row r="302" spans="17:45" x14ac:dyDescent="0.25">
      <c r="Q302" s="84"/>
      <c r="R302" s="81"/>
      <c r="S302" s="81"/>
      <c r="T302" s="81"/>
      <c r="Z302" s="81"/>
      <c r="AA302" s="81"/>
      <c r="AB302" s="81"/>
      <c r="AC302" s="81"/>
      <c r="AD302" s="81"/>
      <c r="AE302" s="81"/>
      <c r="AF302" s="81"/>
      <c r="AG302" s="81"/>
      <c r="AH302" s="81"/>
      <c r="AI302" s="81"/>
      <c r="AJ302" s="81"/>
      <c r="AK302" s="81"/>
      <c r="AL302" s="81"/>
      <c r="AM302" s="81"/>
      <c r="AN302" s="81"/>
      <c r="AO302" s="81"/>
      <c r="AP302" s="81"/>
      <c r="AS302" s="81"/>
    </row>
    <row r="303" spans="17:45" x14ac:dyDescent="0.25">
      <c r="Q303" s="84"/>
      <c r="R303" s="81"/>
      <c r="S303" s="81"/>
      <c r="T303" s="81"/>
      <c r="Z303" s="81"/>
      <c r="AA303" s="81"/>
      <c r="AB303" s="81"/>
      <c r="AC303" s="81"/>
      <c r="AD303" s="81"/>
      <c r="AE303" s="81"/>
      <c r="AF303" s="81"/>
      <c r="AG303" s="81"/>
      <c r="AH303" s="81"/>
      <c r="AI303" s="81"/>
      <c r="AJ303" s="81"/>
      <c r="AK303" s="81"/>
      <c r="AL303" s="81"/>
      <c r="AM303" s="81"/>
      <c r="AN303" s="81"/>
      <c r="AO303" s="81"/>
      <c r="AP303" s="81"/>
      <c r="AS303" s="81"/>
    </row>
    <row r="304" spans="17:45" x14ac:dyDescent="0.25">
      <c r="Q304" s="84"/>
      <c r="R304" s="81"/>
      <c r="S304" s="81"/>
      <c r="T304" s="81"/>
      <c r="Z304" s="81"/>
      <c r="AA304" s="81"/>
      <c r="AB304" s="81"/>
      <c r="AC304" s="81"/>
      <c r="AD304" s="81"/>
      <c r="AE304" s="81"/>
      <c r="AF304" s="81"/>
      <c r="AG304" s="81"/>
      <c r="AH304" s="81"/>
      <c r="AI304" s="81"/>
      <c r="AJ304" s="81"/>
      <c r="AK304" s="81"/>
      <c r="AL304" s="81"/>
      <c r="AM304" s="81"/>
      <c r="AN304" s="81"/>
      <c r="AO304" s="81"/>
      <c r="AP304" s="81"/>
      <c r="AS304" s="81"/>
    </row>
    <row r="305" spans="17:45" x14ac:dyDescent="0.25">
      <c r="Q305" s="84"/>
      <c r="R305" s="81"/>
      <c r="S305" s="81"/>
      <c r="T305" s="81"/>
      <c r="Z305" s="81"/>
      <c r="AA305" s="81"/>
      <c r="AB305" s="81"/>
      <c r="AC305" s="81"/>
      <c r="AD305" s="81"/>
      <c r="AE305" s="81"/>
      <c r="AF305" s="81"/>
      <c r="AG305" s="81"/>
      <c r="AH305" s="81"/>
      <c r="AI305" s="81"/>
      <c r="AJ305" s="81"/>
      <c r="AK305" s="81"/>
      <c r="AL305" s="81"/>
      <c r="AM305" s="81"/>
      <c r="AN305" s="81"/>
      <c r="AO305" s="81"/>
      <c r="AP305" s="81"/>
      <c r="AS305" s="81"/>
    </row>
    <row r="306" spans="17:45" x14ac:dyDescent="0.25">
      <c r="Q306" s="84"/>
      <c r="R306" s="81"/>
      <c r="S306" s="81"/>
      <c r="T306" s="81"/>
      <c r="Z306" s="81"/>
      <c r="AA306" s="81"/>
      <c r="AB306" s="81"/>
      <c r="AC306" s="81"/>
      <c r="AD306" s="81"/>
      <c r="AE306" s="81"/>
      <c r="AF306" s="81"/>
      <c r="AG306" s="81"/>
      <c r="AH306" s="81"/>
      <c r="AI306" s="81"/>
      <c r="AJ306" s="81"/>
      <c r="AK306" s="81"/>
      <c r="AL306" s="81"/>
      <c r="AM306" s="81"/>
      <c r="AN306" s="81"/>
      <c r="AO306" s="81"/>
      <c r="AP306" s="81"/>
      <c r="AS306" s="81"/>
    </row>
    <row r="307" spans="17:45" x14ac:dyDescent="0.25">
      <c r="Q307" s="84"/>
      <c r="R307" s="81"/>
      <c r="S307" s="81"/>
      <c r="T307" s="81"/>
      <c r="Z307" s="81"/>
      <c r="AA307" s="81"/>
      <c r="AB307" s="81"/>
      <c r="AC307" s="81"/>
      <c r="AD307" s="81"/>
      <c r="AE307" s="81"/>
      <c r="AF307" s="81"/>
      <c r="AG307" s="81"/>
      <c r="AH307" s="81"/>
      <c r="AI307" s="81"/>
      <c r="AJ307" s="81"/>
      <c r="AK307" s="81"/>
      <c r="AL307" s="81"/>
      <c r="AM307" s="81"/>
      <c r="AN307" s="81"/>
      <c r="AO307" s="81"/>
      <c r="AP307" s="81"/>
      <c r="AS307" s="81"/>
    </row>
  </sheetData>
  <mergeCells count="2">
    <mergeCell ref="D1:E1"/>
    <mergeCell ref="N1:Q1"/>
  </mergeCells>
  <conditionalFormatting sqref="AF4:AF6">
    <cfRule type="cellIs" dxfId="33" priority="180" operator="greaterThan">
      <formula>1.08</formula>
    </cfRule>
  </conditionalFormatting>
  <conditionalFormatting sqref="AJ4:AJ6 AL4:AL6">
    <cfRule type="cellIs" dxfId="32" priority="178" operator="greaterThan">
      <formula>1.08</formula>
    </cfRule>
  </conditionalFormatting>
  <conditionalFormatting sqref="AM4:AN6">
    <cfRule type="cellIs" dxfId="31" priority="176" operator="greaterThan">
      <formula>1</formula>
    </cfRule>
  </conditionalFormatting>
  <conditionalFormatting sqref="AE4">
    <cfRule type="cellIs" dxfId="30" priority="179" operator="greaterThan">
      <formula>1.1</formula>
    </cfRule>
  </conditionalFormatting>
  <conditionalFormatting sqref="AG4:AH6">
    <cfRule type="cellIs" dxfId="29" priority="177" operator="greaterThan">
      <formula>1</formula>
    </cfRule>
  </conditionalFormatting>
  <conditionalFormatting sqref="AE5:AE6">
    <cfRule type="cellIs" dxfId="28" priority="175" operator="greaterThan">
      <formula>1.1</formula>
    </cfRule>
  </conditionalFormatting>
  <conditionalFormatting sqref="AP4">
    <cfRule type="cellIs" dxfId="27" priority="174" operator="greaterThan">
      <formula>7%</formula>
    </cfRule>
  </conditionalFormatting>
  <conditionalFormatting sqref="AP5:AP6">
    <cfRule type="cellIs" dxfId="26" priority="173" operator="greaterThan">
      <formula>7%</formula>
    </cfRule>
  </conditionalFormatting>
  <conditionalFormatting sqref="AF6">
    <cfRule type="cellIs" dxfId="25" priority="172" operator="greaterThan">
      <formula>1.08</formula>
    </cfRule>
  </conditionalFormatting>
  <conditionalFormatting sqref="AJ6 AL6">
    <cfRule type="cellIs" dxfId="24" priority="170" operator="greaterThan">
      <formula>1.08</formula>
    </cfRule>
  </conditionalFormatting>
  <conditionalFormatting sqref="AM6:AN6">
    <cfRule type="cellIs" dxfId="23" priority="168" operator="greaterThan">
      <formula>1</formula>
    </cfRule>
  </conditionalFormatting>
  <conditionalFormatting sqref="AG6:AH6">
    <cfRule type="cellIs" dxfId="22" priority="169" operator="greaterThan">
      <formula>1</formula>
    </cfRule>
  </conditionalFormatting>
  <conditionalFormatting sqref="AE6">
    <cfRule type="cellIs" dxfId="21" priority="166" operator="greaterThan">
      <formula>1.1</formula>
    </cfRule>
  </conditionalFormatting>
  <conditionalFormatting sqref="AP6">
    <cfRule type="cellIs" dxfId="20" priority="164" operator="greaterThan">
      <formula>7%</formula>
    </cfRule>
  </conditionalFormatting>
  <dataValidations count="1">
    <dataValidation type="list" allowBlank="1" showInputMessage="1" showErrorMessage="1" sqref="B1:B2" xr:uid="{975747E3-D8C8-43BC-98AA-ECC22C89DE52}">
      <formula1>$B$25:$B$26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43BDE63-ECB0-44B5-88E1-15F5A5E728A9}">
          <x14:formula1>
            <xm:f>Cabos!$B$13:$B$207</xm:f>
          </x14:formula1>
          <xm:sqref>N4:N6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479"/>
  <sheetViews>
    <sheetView topLeftCell="B1" workbookViewId="0">
      <selection activeCell="J35" sqref="J35"/>
    </sheetView>
  </sheetViews>
  <sheetFormatPr defaultRowHeight="15" x14ac:dyDescent="0.25"/>
  <cols>
    <col min="1" max="1" width="12" bestFit="1" customWidth="1"/>
    <col min="2" max="2" width="4.5703125" bestFit="1" customWidth="1"/>
    <col min="3" max="3" width="6" bestFit="1" customWidth="1"/>
    <col min="4" max="4" width="7.5703125" customWidth="1"/>
    <col min="6" max="6" width="6.5703125" customWidth="1"/>
    <col min="7" max="7" width="9" style="1" customWidth="1"/>
    <col min="8" max="9" width="9" customWidth="1"/>
    <col min="10" max="10" width="24.28515625" customWidth="1"/>
    <col min="11" max="11" width="7.85546875" style="79" customWidth="1"/>
    <col min="12" max="12" width="7.28515625" style="79" customWidth="1"/>
    <col min="13" max="13" width="6.7109375" style="79" customWidth="1"/>
    <col min="14" max="15" width="7.7109375" hidden="1" customWidth="1"/>
    <col min="16" max="16" width="6.7109375" hidden="1" customWidth="1"/>
    <col min="17" max="17" width="34.42578125" hidden="1" customWidth="1"/>
    <col min="18" max="18" width="34.28515625" hidden="1" customWidth="1"/>
    <col min="19" max="19" width="33.85546875" hidden="1" customWidth="1"/>
    <col min="20" max="20" width="37" hidden="1" customWidth="1"/>
    <col min="21" max="21" width="8.7109375" style="81" customWidth="1"/>
    <col min="22" max="22" width="17.140625" hidden="1" customWidth="1"/>
    <col min="23" max="23" width="35.42578125" hidden="1" customWidth="1"/>
    <col min="24" max="24" width="29.5703125" hidden="1" customWidth="1"/>
    <col min="25" max="25" width="34.28515625" hidden="1" customWidth="1"/>
    <col min="26" max="26" width="34.5703125" hidden="1" customWidth="1"/>
    <col min="27" max="28" width="6.7109375" customWidth="1"/>
    <col min="29" max="29" width="7.5703125" bestFit="1" customWidth="1"/>
    <col min="30" max="30" width="7.5703125" customWidth="1"/>
    <col min="31" max="31" width="9.5703125" bestFit="1" customWidth="1"/>
    <col min="32" max="32" width="6.7109375" customWidth="1"/>
    <col min="33" max="33" width="7.5703125" bestFit="1" customWidth="1"/>
    <col min="34" max="35" width="9.140625" customWidth="1"/>
  </cols>
  <sheetData>
    <row r="1" spans="1:35" x14ac:dyDescent="0.25">
      <c r="D1" s="205" t="s">
        <v>123</v>
      </c>
      <c r="E1" s="205"/>
      <c r="F1" s="99"/>
      <c r="G1" s="87" t="s">
        <v>3</v>
      </c>
      <c r="H1" s="87" t="s">
        <v>18</v>
      </c>
      <c r="I1" s="90" t="s">
        <v>117</v>
      </c>
      <c r="J1" s="205" t="s">
        <v>6</v>
      </c>
      <c r="K1" s="205"/>
      <c r="L1" s="205"/>
      <c r="M1" s="205"/>
      <c r="N1" s="90"/>
      <c r="O1" s="90"/>
      <c r="P1" s="90"/>
      <c r="Q1" s="90"/>
      <c r="R1" s="90"/>
      <c r="S1" s="90"/>
      <c r="T1" s="90"/>
      <c r="U1" s="87" t="s">
        <v>19</v>
      </c>
      <c r="V1" s="90"/>
      <c r="W1" s="90"/>
      <c r="X1" s="90"/>
      <c r="Y1" s="90"/>
      <c r="Z1" s="90"/>
      <c r="AA1" s="90"/>
      <c r="AB1" s="90"/>
      <c r="AC1" s="90"/>
      <c r="AD1" s="90"/>
      <c r="AE1" s="90"/>
      <c r="AF1" s="90"/>
      <c r="AG1" s="90"/>
      <c r="AH1" s="90"/>
      <c r="AI1" s="90"/>
    </row>
    <row r="2" spans="1:35" ht="15.75" x14ac:dyDescent="0.25">
      <c r="A2" t="s">
        <v>133</v>
      </c>
      <c r="C2" t="s">
        <v>128</v>
      </c>
      <c r="D2" s="90" t="s">
        <v>0</v>
      </c>
      <c r="E2" s="90" t="s">
        <v>1</v>
      </c>
      <c r="F2" s="90" t="s">
        <v>129</v>
      </c>
      <c r="G2" s="87" t="s">
        <v>2</v>
      </c>
      <c r="H2" s="87" t="s">
        <v>4</v>
      </c>
      <c r="I2" s="87" t="s">
        <v>118</v>
      </c>
      <c r="J2" s="87" t="s">
        <v>7</v>
      </c>
      <c r="K2" s="91" t="s">
        <v>8</v>
      </c>
      <c r="L2" s="91" t="s">
        <v>109</v>
      </c>
      <c r="M2" s="91" t="s">
        <v>108</v>
      </c>
      <c r="N2" s="87" t="s">
        <v>93</v>
      </c>
      <c r="O2" s="87" t="s">
        <v>94</v>
      </c>
      <c r="P2" s="87" t="s">
        <v>95</v>
      </c>
      <c r="Q2" s="87" t="s">
        <v>96</v>
      </c>
      <c r="R2" s="92" t="s">
        <v>125</v>
      </c>
      <c r="S2" s="87" t="s">
        <v>97</v>
      </c>
      <c r="T2" s="87" t="s">
        <v>101</v>
      </c>
      <c r="U2" s="87" t="s">
        <v>20</v>
      </c>
      <c r="V2" s="87" t="s">
        <v>98</v>
      </c>
      <c r="W2" s="87" t="s">
        <v>99</v>
      </c>
      <c r="X2" s="86" t="s">
        <v>103</v>
      </c>
      <c r="Y2" s="87" t="s">
        <v>100</v>
      </c>
      <c r="Z2" s="87" t="s">
        <v>102</v>
      </c>
      <c r="AA2" s="87" t="s">
        <v>106</v>
      </c>
      <c r="AB2" s="99"/>
      <c r="AC2" s="87" t="s">
        <v>107</v>
      </c>
      <c r="AD2" s="101"/>
      <c r="AE2" s="87" t="s">
        <v>122</v>
      </c>
      <c r="AF2" s="87" t="s">
        <v>104</v>
      </c>
      <c r="AG2" s="87" t="s">
        <v>105</v>
      </c>
      <c r="AH2" s="87" t="s">
        <v>126</v>
      </c>
      <c r="AI2" s="87" t="s">
        <v>124</v>
      </c>
    </row>
    <row r="3" spans="1:35" x14ac:dyDescent="0.25">
      <c r="A3">
        <v>1542.7730989781744</v>
      </c>
      <c r="B3" s="107">
        <f>A3*745.7/1000000</f>
        <v>1.1504458999080249</v>
      </c>
      <c r="C3">
        <v>0.68500000000000005</v>
      </c>
      <c r="D3">
        <f>B3/C3</f>
        <v>1.6794830655591604</v>
      </c>
      <c r="E3">
        <v>0.86</v>
      </c>
      <c r="F3" s="107">
        <f>D3/E3</f>
        <v>1.9528872855339074</v>
      </c>
      <c r="G3" s="78">
        <v>10.72</v>
      </c>
      <c r="H3">
        <v>6.15</v>
      </c>
      <c r="I3" s="82">
        <v>1</v>
      </c>
      <c r="J3" t="s">
        <v>120</v>
      </c>
      <c r="K3" s="79">
        <v>1</v>
      </c>
      <c r="L3" s="79">
        <v>1</v>
      </c>
      <c r="M3" s="84">
        <f>VLOOKUP(J3,Cabos!$B$13:$F$46,2,0)*K3*L3</f>
        <v>362.5</v>
      </c>
      <c r="N3" s="85">
        <f>VLOOKUP(J3,Cabos!$B$13:$F$46,3,0)/K3*G3</f>
        <v>0.86135200000000012</v>
      </c>
      <c r="O3" s="85">
        <f>VLOOKUP(J3,Cabos!$B$13:$F$46,4,0)/K3*G3</f>
        <v>1.2864</v>
      </c>
      <c r="P3" s="85">
        <f>1/VLOOKUP(J3,Cabos!$B$13:$F$46,5,0) * K3 * G3</f>
        <v>1.7143770989924837E-3</v>
      </c>
      <c r="Q3" t="str">
        <f>IMSQRT(IMDIV(COMPLEX(N3,O3),COMPLEX(0,P3)))</f>
        <v>28,752359121933-8,73717088516638i</v>
      </c>
      <c r="R3" t="str">
        <f>IMSQRT(IMPRODUCT(COMPLEX(N3,O3),COMPLEX(0,P3)))</f>
        <v>0,0149788056755131+0,0492923860206494i</v>
      </c>
      <c r="S3" t="str">
        <f>IMPRODUCT(Q3,_xlfn.IMSINH(R3))</f>
        <v>0,860718887774379+1,28613914019875i</v>
      </c>
      <c r="T3" t="str">
        <f>IMDIV(IMSUB(_xlfn.IMCOSH(R3),COMPLEX(1,0)),IMPRODUCT(Q3,_xlfn.IMSINH(R3)))</f>
        <v>1,0552945772121E-07+0,000857346103821309i</v>
      </c>
      <c r="U3" s="80">
        <f t="shared" ref="U3" si="0">D3/E3/H3/SQRT(3)*1000</f>
        <v>183.33333333333317</v>
      </c>
      <c r="V3" s="81" t="str">
        <f t="shared" ref="V3" si="1">COMPLEX(H3*1000/SQRT(3)*I3,0)</f>
        <v>3550,7041555162</v>
      </c>
      <c r="W3" s="81" t="str">
        <f t="shared" ref="W3" si="2">COMPLEX(U3*E3,-U3*SQRT(1-E3*E3))</f>
        <v>157,666666666667-93,5539060292691i</v>
      </c>
      <c r="X3" s="81" t="str">
        <f t="shared" ref="X3" si="3">IMPRODUCT(S3,IMSUM(W3,IMPRODUCT(T3,V3)))</f>
        <v>252,115098649326+124,878324348288i</v>
      </c>
      <c r="Y3" s="81" t="str">
        <f>IMSUM(V3,X3)</f>
        <v>3802,81925416553+124,878324348288i</v>
      </c>
      <c r="Z3" s="81" t="str">
        <f t="shared" ref="Z3" si="4">IMSUM(IMPRODUCT(Y3,T3),IMDIV(X3,S3))</f>
        <v>157,560378735173-87,2493782062779i</v>
      </c>
      <c r="AA3" s="83">
        <f>IMABS(Y3)/H3/1000*SQRT(3)</f>
        <v>1.0715815608261494</v>
      </c>
      <c r="AB3" s="106">
        <f>H3*AA3</f>
        <v>6.5902265990808191</v>
      </c>
      <c r="AC3" s="83">
        <f>IMABS(Z3)/M3</f>
        <v>0.49684073539093609</v>
      </c>
      <c r="AD3" s="83"/>
      <c r="AE3" s="88">
        <f>IMREAL(IMPRODUCT(Y3,IMCONJUGATE(Z3)))*3/1000000</f>
        <v>1.764834257390697</v>
      </c>
      <c r="AF3" s="83">
        <f t="shared" ref="AF3" si="5">IMABS(V3)/H3/1000*SQRT(3)</f>
        <v>1.0000000000000004</v>
      </c>
      <c r="AG3" s="83">
        <f>IMABS(W3)/M3</f>
        <v>0.50574712643678221</v>
      </c>
      <c r="AH3" s="88">
        <f t="shared" ref="AH3:AH18" si="6">D3</f>
        <v>1.6794830655591604</v>
      </c>
      <c r="AI3" s="89">
        <f t="shared" ref="AI3:AI18" si="7">IF(AH3&gt;0, (AE3-AH3)/AH3,0)</f>
        <v>5.0819918093738044E-2</v>
      </c>
    </row>
    <row r="4" spans="1:35" x14ac:dyDescent="0.25">
      <c r="A4">
        <v>1605.487452595177</v>
      </c>
      <c r="B4" s="107">
        <f>A4*745.7/1000000</f>
        <v>1.1972119934002237</v>
      </c>
      <c r="C4">
        <v>0.87</v>
      </c>
      <c r="D4">
        <v>6</v>
      </c>
      <c r="E4">
        <v>0.86</v>
      </c>
      <c r="F4" s="107">
        <f>D4/(E4*C4)</f>
        <v>8.019246190858059</v>
      </c>
      <c r="G4" s="100">
        <v>6</v>
      </c>
      <c r="H4">
        <v>6.6</v>
      </c>
      <c r="I4" s="82">
        <v>1</v>
      </c>
      <c r="J4" t="s">
        <v>121</v>
      </c>
      <c r="K4" s="79">
        <v>2</v>
      </c>
      <c r="L4" s="79">
        <v>1</v>
      </c>
      <c r="M4" s="84">
        <f>VLOOKUP(J4,Cabos!$B$13:$F$46,2,0)*K4*L4</f>
        <v>790.25</v>
      </c>
      <c r="N4" s="85">
        <f>VLOOKUP(J4,Cabos!$B$13:$F$46,3,0)/K4*G4</f>
        <v>0.19525049999999999</v>
      </c>
      <c r="O4" s="85">
        <f>VLOOKUP(J4,Cabos!$B$13:$F$46,4,0)/K4*G4</f>
        <v>0.35100000000000003</v>
      </c>
      <c r="P4" s="85">
        <f>1/VLOOKUP(J4,Cabos!$B$13:$F$46,5,0) * K4 * G4</f>
        <v>2.0884093282283328E-3</v>
      </c>
      <c r="Q4" t="str">
        <f>IMSQRT(IMDIV(COMPLEX(N4,O4),COMPLEX(0,P4)))</f>
        <v>13,4237573992388-3,48235017102222i</v>
      </c>
      <c r="R4" t="str">
        <f>IMSQRT(IMPRODUCT(COMPLEX(N4,O4),COMPLEX(0,P4)))</f>
        <v>0,00727257258132033+0,0280343001724444i</v>
      </c>
      <c r="S4" t="str">
        <f>IMPRODUCT(Q4,_xlfn.IMSINH(R4))</f>
        <v>0,195202794085328+0,350970387080244i</v>
      </c>
      <c r="T4" t="str">
        <f>IMDIV(IMSUB(_xlfn.IMCOSH(R4),COMPLEX(1,0)),IMPRODUCT(Q4,_xlfn.IMSINH(R4)))</f>
        <v>3,5487535023187E-08+0,0010442684536008i</v>
      </c>
      <c r="U4" s="80">
        <f>F4/H4/SQRT(3)*1000</f>
        <v>701.50211318027004</v>
      </c>
      <c r="V4" s="81" t="str">
        <f>COMPLEX(H4*1000/SQRT(3)*I4,0)</f>
        <v>3810,51177665153</v>
      </c>
      <c r="W4" s="81" t="str">
        <f>COMPLEX(U4*E4,-U4*SQRT(1-E4*E4))</f>
        <v>603,291817335032-357,972342413459i</v>
      </c>
      <c r="X4" s="81" t="str">
        <f>IMPRODUCT(S4,IMSUM(W4,IMPRODUCT(T4,V4)))</f>
        <v>242,005385974172+142,637159087798i</v>
      </c>
      <c r="Y4" s="81" t="str">
        <f>IMSUM(V4,X4)</f>
        <v>4052,5171626257+142,637159087798i</v>
      </c>
      <c r="Z4" s="81" t="str">
        <f>IMSUM(IMPRODUCT(Y4,T4),IMDIV(X4,S4))</f>
        <v>603,143144889-349,761224280579i</v>
      </c>
      <c r="AA4" s="83">
        <f>IMABS(Y4)/H4/1000*SQRT(3)</f>
        <v>1.0641684991234968</v>
      </c>
      <c r="AB4" s="106">
        <f>H4*AA4</f>
        <v>7.0235120942150786</v>
      </c>
      <c r="AC4" s="83">
        <f>IMABS(Z4)/M4</f>
        <v>0.88227670647289103</v>
      </c>
      <c r="AD4" s="106">
        <f>AC4*M4/K4</f>
        <v>348.60958364510105</v>
      </c>
      <c r="AE4" s="88">
        <f>IMREAL(IMPRODUCT(Y4,IMCONJUGATE(Z4)))*3/1000000</f>
        <v>7.18307699637678</v>
      </c>
      <c r="AF4" s="83">
        <f t="shared" ref="AF4" si="8">IMABS(V4)/H4/1000*SQRT(3)</f>
        <v>1</v>
      </c>
      <c r="AG4" s="83">
        <f t="shared" ref="AG4" si="9">IMABS(W4)/M4</f>
        <v>0.88769644186051255</v>
      </c>
      <c r="AH4" s="88">
        <f t="shared" si="6"/>
        <v>6</v>
      </c>
      <c r="AI4" s="89">
        <f t="shared" si="7"/>
        <v>0.19717949939613</v>
      </c>
    </row>
    <row r="5" spans="1:35" hidden="1" x14ac:dyDescent="0.25">
      <c r="D5">
        <v>2</v>
      </c>
      <c r="E5">
        <v>0.86</v>
      </c>
      <c r="F5">
        <f t="shared" ref="F5:F23" si="10">D5/E5</f>
        <v>2.3255813953488373</v>
      </c>
      <c r="G5" s="78">
        <v>20</v>
      </c>
      <c r="H5">
        <v>13.8</v>
      </c>
      <c r="I5" s="82">
        <v>1</v>
      </c>
      <c r="J5" t="s">
        <v>121</v>
      </c>
      <c r="K5" s="79">
        <v>1</v>
      </c>
      <c r="L5" s="79">
        <v>1</v>
      </c>
      <c r="M5" s="84">
        <f>VLOOKUP(J5,Cabos!$B$13:$F$46,2,0)*K5*L5</f>
        <v>395.125</v>
      </c>
      <c r="N5" s="85">
        <f>VLOOKUP(J5,Cabos!$B$13:$F$46,3,0)/K5*G5</f>
        <v>1.3016700000000001</v>
      </c>
      <c r="O5" s="85">
        <f>VLOOKUP(J5,Cabos!$B$13:$F$46,4,0)/K5*G5</f>
        <v>2.3400000000000003</v>
      </c>
      <c r="P5" s="85">
        <f>1/VLOOKUP(J5,Cabos!$B$13:$F$46,5,0) * K5 * G5</f>
        <v>3.4806822137138883E-3</v>
      </c>
      <c r="Q5" t="str">
        <f t="shared" ref="Q5:Q20" si="11">IMSQRT(IMDIV(COMPLEX(N5,O5),COMPLEX(0,P5)))</f>
        <v>26,8475147984776-6,96470034204444i</v>
      </c>
      <c r="R5" t="str">
        <f t="shared" ref="R5:R20" si="12">IMSQRT(IMPRODUCT(COMPLEX(N5,O5),COMPLEX(0,P5)))</f>
        <v>0,0242419086044011+0,0934476672414814i</v>
      </c>
      <c r="S5" t="str">
        <f t="shared" ref="S5:S20" si="13">IMPRODUCT(Q5,_xlfn.IMSINH(R5))</f>
        <v>1,29813798999423+2,33780653497285i</v>
      </c>
      <c r="T5" t="str">
        <f t="shared" ref="T5:T20" si="14">IMDIV(IMSUB(_xlfn.IMCOSH(R5),COMPLEX(1,0)),IMPRODUCT(Q5,_xlfn.IMSINH(R5)))</f>
        <v>6,58151776947481E-07+0,00174152299829086i</v>
      </c>
      <c r="U5" s="80">
        <f t="shared" ref="U5:U20" si="15">D5/E5/H5/SQRT(3)*1000</f>
        <v>97.295293088915699</v>
      </c>
      <c r="V5" s="81" t="str">
        <f t="shared" ref="V5:V20" si="16">COMPLEX(H5*1000/SQRT(3)*I5,0)</f>
        <v>7967,43371481684</v>
      </c>
      <c r="W5" s="81" t="str">
        <f t="shared" ref="W5:W20" si="17">COMPLEX(U5*E5,-U5*SQRT(1-E5*E5))</f>
        <v>83,6739520564675-49,649207491258i</v>
      </c>
      <c r="X5" s="81" t="str">
        <f t="shared" ref="X5:X20" si="18">IMPRODUCT(S5,IMSUM(W5,IMPRODUCT(T5,V5)))</f>
        <v>192,25922259272+149,186521956811i</v>
      </c>
      <c r="Y5" s="81" t="str">
        <f t="shared" ref="Y5:Y20" si="19">IMSUM(V5,X5)</f>
        <v>8159,69293740956+149,186521956811i</v>
      </c>
      <c r="Z5" s="81" t="str">
        <f t="shared" ref="Z5:Z20" si="20">IMSUM(IMPRODUCT(Y5,T5),IMDIV(X5,S5))</f>
        <v>83,4247543945081-21,5633473426817i</v>
      </c>
      <c r="AA5" s="83">
        <f t="shared" ref="AA5:AA20" si="21">IMABS(Y5)/H5/1000*SQRT(3)</f>
        <v>1.0243017928064246</v>
      </c>
      <c r="AB5" s="83"/>
      <c r="AC5" s="83">
        <f t="shared" ref="AC5:AC20" si="22">IMABS(Z5)/M5</f>
        <v>0.21807405470063848</v>
      </c>
      <c r="AD5" s="83"/>
      <c r="AE5" s="88">
        <f t="shared" ref="AE5:AE20" si="23">IMREAL(IMPRODUCT(Y5,IMCONJUGATE(Z5)))*3/1000000</f>
        <v>2.0325102553385821</v>
      </c>
      <c r="AF5" s="83">
        <f t="shared" ref="AF5:AF20" si="24">IMABS(V5)/H5/1000*SQRT(3)</f>
        <v>1.0000000000000004</v>
      </c>
      <c r="AG5" s="83">
        <f t="shared" ref="AG5:AG20" si="25">IMABS(W5)/M5</f>
        <v>0.24623927387261177</v>
      </c>
      <c r="AH5" s="88">
        <f t="shared" si="6"/>
        <v>2</v>
      </c>
      <c r="AI5" s="89">
        <f t="shared" si="7"/>
        <v>1.6255127669291047E-2</v>
      </c>
    </row>
    <row r="6" spans="1:35" hidden="1" x14ac:dyDescent="0.25">
      <c r="C6">
        <f>D3/E3</f>
        <v>1.9528872855339074</v>
      </c>
      <c r="D6">
        <v>5</v>
      </c>
      <c r="E6">
        <v>0.86</v>
      </c>
      <c r="F6">
        <f t="shared" si="10"/>
        <v>5.8139534883720927</v>
      </c>
      <c r="G6" s="78">
        <v>20</v>
      </c>
      <c r="H6">
        <v>13.8</v>
      </c>
      <c r="I6" s="82">
        <v>1</v>
      </c>
      <c r="J6" t="s">
        <v>121</v>
      </c>
      <c r="K6" s="79">
        <v>1</v>
      </c>
      <c r="L6" s="79">
        <v>1</v>
      </c>
      <c r="M6" s="84">
        <f>VLOOKUP(J6,Cabos!$B$13:$F$46,2,0)*K6*L6</f>
        <v>395.125</v>
      </c>
      <c r="N6" s="85">
        <f>VLOOKUP(J6,Cabos!$B$13:$F$46,3,0)/K6*G6</f>
        <v>1.3016700000000001</v>
      </c>
      <c r="O6" s="85">
        <f>VLOOKUP(J6,Cabos!$B$13:$F$46,4,0)/K6*G6</f>
        <v>2.3400000000000003</v>
      </c>
      <c r="P6" s="85">
        <f>1/VLOOKUP(J6,Cabos!$B$13:$F$46,5,0) * K6 * G6</f>
        <v>3.4806822137138883E-3</v>
      </c>
      <c r="Q6" t="str">
        <f t="shared" si="11"/>
        <v>26,8475147984776-6,96470034204444i</v>
      </c>
      <c r="R6" t="str">
        <f t="shared" si="12"/>
        <v>0,0242419086044011+0,0934476672414814i</v>
      </c>
      <c r="S6" t="str">
        <f t="shared" si="13"/>
        <v>1,29813798999423+2,33780653497285i</v>
      </c>
      <c r="T6" t="str">
        <f t="shared" si="14"/>
        <v>6,58151776947481E-07+0,00174152299829086i</v>
      </c>
      <c r="U6" s="80">
        <f t="shared" si="15"/>
        <v>243.23823272228924</v>
      </c>
      <c r="V6" s="81" t="str">
        <f t="shared" si="16"/>
        <v>7967,43371481684</v>
      </c>
      <c r="W6" s="81" t="str">
        <f t="shared" si="17"/>
        <v>209,184880141169-124,123018728145i</v>
      </c>
      <c r="X6" s="81" t="str">
        <f t="shared" si="18"/>
        <v>529,295089092832+345,929506217471i</v>
      </c>
      <c r="Y6" s="81" t="str">
        <f t="shared" si="19"/>
        <v>8496,72880390967+345,929506217471i</v>
      </c>
      <c r="Z6" s="81" t="str">
        <f t="shared" si="20"/>
        <v>208,593271868121-95,4500733800647i</v>
      </c>
      <c r="AA6" s="83">
        <f t="shared" si="21"/>
        <v>1.0673157946553566</v>
      </c>
      <c r="AB6" s="83"/>
      <c r="AC6" s="83">
        <f t="shared" si="22"/>
        <v>0.58056202926215972</v>
      </c>
      <c r="AD6" s="83"/>
      <c r="AE6" s="88">
        <f t="shared" si="23"/>
        <v>5.2180243938925202</v>
      </c>
      <c r="AF6" s="83">
        <f t="shared" si="24"/>
        <v>1.0000000000000004</v>
      </c>
      <c r="AG6" s="83">
        <f t="shared" si="25"/>
        <v>0.61559818468152994</v>
      </c>
      <c r="AH6" s="88">
        <f t="shared" si="6"/>
        <v>5</v>
      </c>
      <c r="AI6" s="89">
        <f t="shared" si="7"/>
        <v>4.3604878778504032E-2</v>
      </c>
    </row>
    <row r="7" spans="1:35" hidden="1" x14ac:dyDescent="0.25">
      <c r="C7">
        <f>D4/E4</f>
        <v>6.9767441860465116</v>
      </c>
      <c r="D7">
        <v>20</v>
      </c>
      <c r="E7">
        <v>0.86</v>
      </c>
      <c r="F7">
        <f t="shared" si="10"/>
        <v>23.255813953488371</v>
      </c>
      <c r="G7" s="1">
        <v>20</v>
      </c>
      <c r="H7">
        <v>13.8</v>
      </c>
      <c r="I7" s="82">
        <v>1</v>
      </c>
      <c r="J7" t="s">
        <v>120</v>
      </c>
      <c r="K7" s="79">
        <v>1</v>
      </c>
      <c r="L7" s="79">
        <v>1</v>
      </c>
      <c r="M7" s="84">
        <f>VLOOKUP(J7,Cabos!$B$13:$F$46,2,0)*K7*L7</f>
        <v>362.5</v>
      </c>
      <c r="N7" s="85">
        <f>VLOOKUP(J7,Cabos!$B$13:$F$46,3,0)/K7*G7</f>
        <v>1.6070000000000002</v>
      </c>
      <c r="O7" s="85">
        <f>VLOOKUP(J7,Cabos!$B$13:$F$46,4,0)/K7*G7</f>
        <v>2.4</v>
      </c>
      <c r="P7" s="85">
        <f>1/VLOOKUP(J7,Cabos!$B$13:$F$46,5,0) * K7 * G7</f>
        <v>3.1984647369262755E-3</v>
      </c>
      <c r="Q7" t="str">
        <f t="shared" si="11"/>
        <v>28,7523591219329-8,73717088516636i</v>
      </c>
      <c r="R7" t="str">
        <f t="shared" si="12"/>
        <v>0,0279455329767036+0,091963406754943i</v>
      </c>
      <c r="S7" t="str">
        <f t="shared" si="13"/>
        <v>1,60289006696746+2,39830571289858i</v>
      </c>
      <c r="T7" t="str">
        <f t="shared" si="14"/>
        <v>6,86048271043025E-07+0,00160025581913686i</v>
      </c>
      <c r="U7" s="80">
        <f t="shared" si="15"/>
        <v>972.95293088915696</v>
      </c>
      <c r="V7" s="81" t="str">
        <f t="shared" si="16"/>
        <v>7967,43371481684</v>
      </c>
      <c r="W7" s="81" t="str">
        <f t="shared" si="17"/>
        <v>836,739520564675-496,49207491258i</v>
      </c>
      <c r="X7" s="81" t="str">
        <f t="shared" si="18"/>
        <v>2501,37177213965+1231,38480604064i</v>
      </c>
      <c r="Y7" s="81" t="str">
        <f t="shared" si="19"/>
        <v>10468,8054869565+1231,38480604064i</v>
      </c>
      <c r="Z7" s="81" t="str">
        <f t="shared" si="20"/>
        <v>834,781638013241-466,988531057525i</v>
      </c>
      <c r="AA7" s="83">
        <f t="shared" si="21"/>
        <v>1.3230078106531049</v>
      </c>
      <c r="AB7" s="83"/>
      <c r="AC7" s="83">
        <f t="shared" si="22"/>
        <v>2.6386876301378943</v>
      </c>
      <c r="AD7" s="83"/>
      <c r="AE7" s="88">
        <f t="shared" si="23"/>
        <v>24.49237203211224</v>
      </c>
      <c r="AF7" s="83">
        <f t="shared" si="24"/>
        <v>1.0000000000000004</v>
      </c>
      <c r="AG7" s="83">
        <f t="shared" si="25"/>
        <v>2.6840080852114681</v>
      </c>
      <c r="AH7" s="88">
        <f t="shared" si="6"/>
        <v>20</v>
      </c>
      <c r="AI7" s="89">
        <f t="shared" si="7"/>
        <v>0.22461860160561198</v>
      </c>
    </row>
    <row r="8" spans="1:35" hidden="1" x14ac:dyDescent="0.25">
      <c r="D8">
        <v>10</v>
      </c>
      <c r="E8">
        <v>0.86</v>
      </c>
      <c r="F8">
        <f t="shared" si="10"/>
        <v>11.627906976744185</v>
      </c>
      <c r="G8" s="78">
        <v>20</v>
      </c>
      <c r="H8">
        <v>13.8</v>
      </c>
      <c r="I8" s="82">
        <v>1</v>
      </c>
      <c r="J8" t="s">
        <v>120</v>
      </c>
      <c r="K8" s="79">
        <v>1</v>
      </c>
      <c r="L8" s="79">
        <v>1</v>
      </c>
      <c r="M8" s="84">
        <f>VLOOKUP(J8,Cabos!$B$13:$F$46,2,0)*K8*L8</f>
        <v>362.5</v>
      </c>
      <c r="N8" s="85">
        <f>VLOOKUP(J8,Cabos!$B$13:$F$46,3,0)/K8*G8</f>
        <v>1.6070000000000002</v>
      </c>
      <c r="O8" s="85">
        <f>VLOOKUP(J8,Cabos!$B$13:$F$46,4,0)/K8*G8</f>
        <v>2.4</v>
      </c>
      <c r="P8" s="85">
        <f>1/VLOOKUP(J8,Cabos!$B$13:$F$46,5,0) * K8 * G8</f>
        <v>3.1984647369262755E-3</v>
      </c>
      <c r="Q8" t="str">
        <f t="shared" si="11"/>
        <v>28,7523591219329-8,73717088516636i</v>
      </c>
      <c r="R8" t="str">
        <f t="shared" si="12"/>
        <v>0,0279455329767036+0,091963406754943i</v>
      </c>
      <c r="S8" t="str">
        <f t="shared" si="13"/>
        <v>1,60289006696746+2,39830571289858i</v>
      </c>
      <c r="T8" t="str">
        <f t="shared" si="14"/>
        <v>6,86048271043025E-07+0,00160025581913686i</v>
      </c>
      <c r="U8" s="80">
        <f t="shared" si="15"/>
        <v>486.47646544457848</v>
      </c>
      <c r="V8" s="81" t="str">
        <f t="shared" si="16"/>
        <v>7967,43371481684</v>
      </c>
      <c r="W8" s="81" t="str">
        <f t="shared" si="17"/>
        <v>418,369760282337-248,24603745629i</v>
      </c>
      <c r="X8" s="81" t="str">
        <f t="shared" si="18"/>
        <v>1235,40114922768+625,917327454217i</v>
      </c>
      <c r="Y8" s="81" t="str">
        <f t="shared" si="19"/>
        <v>9202,83486404452+625,917327454217i</v>
      </c>
      <c r="Z8" s="81" t="str">
        <f t="shared" si="20"/>
        <v>417,379912069852-220,768785837324i</v>
      </c>
      <c r="AA8" s="83">
        <f t="shared" si="21"/>
        <v>1.1577248158108684</v>
      </c>
      <c r="AB8" s="83"/>
      <c r="AC8" s="83">
        <f t="shared" si="22"/>
        <v>1.3025389210326639</v>
      </c>
      <c r="AD8" s="83"/>
      <c r="AE8" s="88">
        <f t="shared" si="23"/>
        <v>11.108686193794981</v>
      </c>
      <c r="AF8" s="83">
        <f t="shared" si="24"/>
        <v>1.0000000000000004</v>
      </c>
      <c r="AG8" s="83">
        <f t="shared" si="25"/>
        <v>1.3420040426057327</v>
      </c>
      <c r="AH8" s="88">
        <f t="shared" si="6"/>
        <v>10</v>
      </c>
      <c r="AI8" s="89">
        <f t="shared" si="7"/>
        <v>0.11086861937949806</v>
      </c>
    </row>
    <row r="9" spans="1:35" hidden="1" x14ac:dyDescent="0.25">
      <c r="D9">
        <v>5</v>
      </c>
      <c r="E9">
        <v>0.86</v>
      </c>
      <c r="F9">
        <f t="shared" si="10"/>
        <v>5.8139534883720927</v>
      </c>
      <c r="G9" s="78">
        <v>20</v>
      </c>
      <c r="H9">
        <v>13.8</v>
      </c>
      <c r="I9" s="82">
        <v>1</v>
      </c>
      <c r="J9" t="s">
        <v>120</v>
      </c>
      <c r="K9" s="79">
        <v>1</v>
      </c>
      <c r="L9" s="79">
        <v>1</v>
      </c>
      <c r="M9" s="84">
        <f>VLOOKUP(J9,Cabos!$B$13:$F$46,2,0)*K9*L9</f>
        <v>362.5</v>
      </c>
      <c r="N9" s="85">
        <f>VLOOKUP(J9,Cabos!$B$13:$F$46,3,0)/K9*G9</f>
        <v>1.6070000000000002</v>
      </c>
      <c r="O9" s="85">
        <f>VLOOKUP(J9,Cabos!$B$13:$F$46,4,0)/K9*G9</f>
        <v>2.4</v>
      </c>
      <c r="P9" s="85">
        <f>1/VLOOKUP(J9,Cabos!$B$13:$F$46,5,0) * K9 * G9</f>
        <v>3.1984647369262755E-3</v>
      </c>
      <c r="Q9" t="str">
        <f t="shared" si="11"/>
        <v>28,7523591219329-8,73717088516636i</v>
      </c>
      <c r="R9" t="str">
        <f t="shared" si="12"/>
        <v>0,0279455329767036+0,091963406754943i</v>
      </c>
      <c r="S9" t="str">
        <f t="shared" si="13"/>
        <v>1,60289006696746+2,39830571289858i</v>
      </c>
      <c r="T9" t="str">
        <f t="shared" si="14"/>
        <v>6,86048271043025E-07+0,00160025581913686i</v>
      </c>
      <c r="U9" s="80">
        <f t="shared" si="15"/>
        <v>243.23823272228924</v>
      </c>
      <c r="V9" s="81" t="str">
        <f t="shared" si="16"/>
        <v>7967,43371481684</v>
      </c>
      <c r="W9" s="81" t="str">
        <f t="shared" si="17"/>
        <v>209,184880141169-124,123018728145i</v>
      </c>
      <c r="X9" s="81" t="str">
        <f t="shared" si="18"/>
        <v>602,415837771697+323,183588161009i</v>
      </c>
      <c r="Y9" s="81" t="str">
        <f t="shared" si="19"/>
        <v>8569,84955258854+323,183588161009i</v>
      </c>
      <c r="Z9" s="81" t="str">
        <f t="shared" si="20"/>
        <v>208,679049098158-97,6589132272229i</v>
      </c>
      <c r="AA9" s="83">
        <f t="shared" si="21"/>
        <v>1.0763743503331511</v>
      </c>
      <c r="AB9" s="83"/>
      <c r="AC9" s="83">
        <f t="shared" si="22"/>
        <v>0.6355864994326057</v>
      </c>
      <c r="AD9" s="83"/>
      <c r="AE9" s="88">
        <f t="shared" si="23"/>
        <v>5.2703588926673106</v>
      </c>
      <c r="AF9" s="83">
        <f t="shared" si="24"/>
        <v>1.0000000000000004</v>
      </c>
      <c r="AG9" s="83">
        <f t="shared" si="25"/>
        <v>0.67100202130286757</v>
      </c>
      <c r="AH9" s="88">
        <f t="shared" si="6"/>
        <v>5</v>
      </c>
      <c r="AI9" s="89">
        <f t="shared" si="7"/>
        <v>5.4071778533462123E-2</v>
      </c>
    </row>
    <row r="10" spans="1:35" hidden="1" x14ac:dyDescent="0.25">
      <c r="D10">
        <v>20</v>
      </c>
      <c r="E10">
        <v>0.86</v>
      </c>
      <c r="F10">
        <f t="shared" si="10"/>
        <v>23.255813953488371</v>
      </c>
      <c r="G10" s="78">
        <v>10</v>
      </c>
      <c r="H10">
        <v>13.8</v>
      </c>
      <c r="I10" s="82">
        <v>1</v>
      </c>
      <c r="J10" t="s">
        <v>119</v>
      </c>
      <c r="K10" s="79">
        <v>3</v>
      </c>
      <c r="L10" s="79">
        <v>1</v>
      </c>
      <c r="M10" s="84">
        <f>VLOOKUP(J10,Cabos!$B$13:$F$46,2,0)*K10*L10</f>
        <v>835.19999999999993</v>
      </c>
      <c r="N10" s="85">
        <f>VLOOKUP(J10,Cabos!$B$13:$F$46,3,0)/K10*G10</f>
        <v>0.4312116666666666</v>
      </c>
      <c r="O10" s="85">
        <f>VLOOKUP(J10,Cabos!$B$13:$F$46,4,0)/K10*G10</f>
        <v>0.42000000000000004</v>
      </c>
      <c r="P10" s="85">
        <f>1/VLOOKUP(J10,Cabos!$B$13:$F$46,5,0) * K10 * G10</f>
        <v>4.4098191974129061E-3</v>
      </c>
      <c r="Q10" t="str">
        <f t="shared" si="11"/>
        <v>10,7643889352312-4,54203359178778i</v>
      </c>
      <c r="R10" t="str">
        <f t="shared" si="12"/>
        <v>0,02002954692836+0,0474690089750017i</v>
      </c>
      <c r="S10" t="str">
        <f t="shared" si="13"/>
        <v>0,43094547148542+0,420006988227011i</v>
      </c>
      <c r="T10" t="str">
        <f t="shared" si="14"/>
        <v>3,49527782335104E-07+0,00220524990911433i</v>
      </c>
      <c r="U10" s="80">
        <f t="shared" si="15"/>
        <v>972.95293088915696</v>
      </c>
      <c r="V10" s="81" t="str">
        <f t="shared" si="16"/>
        <v>7967,43371481684</v>
      </c>
      <c r="W10" s="81" t="str">
        <f t="shared" si="17"/>
        <v>836,739520564675-496,49207491258i</v>
      </c>
      <c r="X10" s="81" t="str">
        <f t="shared" si="18"/>
        <v>561,740848952662+145,048394873909i</v>
      </c>
      <c r="Y10" s="81" t="str">
        <f t="shared" si="19"/>
        <v>8529,1745637695+145,048394873909i</v>
      </c>
      <c r="Z10" s="81" t="str">
        <f t="shared" si="20"/>
        <v>836,425418627971-460,112880307089i</v>
      </c>
      <c r="AA10" s="83">
        <f t="shared" si="21"/>
        <v>1.0706594039048762</v>
      </c>
      <c r="AB10" s="83"/>
      <c r="AC10" s="83">
        <f t="shared" si="22"/>
        <v>1.1429912413293992</v>
      </c>
      <c r="AD10" s="83"/>
      <c r="AE10" s="88">
        <f t="shared" si="23"/>
        <v>21.201839310907769</v>
      </c>
      <c r="AF10" s="83">
        <f t="shared" si="24"/>
        <v>1.0000000000000004</v>
      </c>
      <c r="AG10" s="83">
        <f t="shared" si="25"/>
        <v>1.164934064761922</v>
      </c>
      <c r="AH10" s="88">
        <f t="shared" si="6"/>
        <v>20</v>
      </c>
      <c r="AI10" s="89">
        <f t="shared" si="7"/>
        <v>6.0091965545388426E-2</v>
      </c>
    </row>
    <row r="11" spans="1:35" hidden="1" x14ac:dyDescent="0.25">
      <c r="D11">
        <v>10</v>
      </c>
      <c r="E11">
        <v>0.86</v>
      </c>
      <c r="F11">
        <f t="shared" si="10"/>
        <v>11.627906976744185</v>
      </c>
      <c r="G11" s="78">
        <v>10</v>
      </c>
      <c r="H11">
        <v>13.8</v>
      </c>
      <c r="I11" s="82">
        <v>1</v>
      </c>
      <c r="J11" t="s">
        <v>119</v>
      </c>
      <c r="K11" s="79">
        <v>3</v>
      </c>
      <c r="L11" s="79">
        <v>1</v>
      </c>
      <c r="M11" s="84">
        <f>VLOOKUP(J11,Cabos!$B$13:$F$46,2,0)*K11*L11</f>
        <v>835.19999999999993</v>
      </c>
      <c r="N11" s="85">
        <f>VLOOKUP(J11,Cabos!$B$13:$F$46,3,0)/K11*G11</f>
        <v>0.4312116666666666</v>
      </c>
      <c r="O11" s="85">
        <f>VLOOKUP(J11,Cabos!$B$13:$F$46,4,0)/K11*G11</f>
        <v>0.42000000000000004</v>
      </c>
      <c r="P11" s="85">
        <f>1/VLOOKUP(J11,Cabos!$B$13:$F$46,5,0) * K11 * G11</f>
        <v>4.4098191974129061E-3</v>
      </c>
      <c r="Q11" t="str">
        <f t="shared" si="11"/>
        <v>10,7643889352312-4,54203359178778i</v>
      </c>
      <c r="R11" t="str">
        <f t="shared" si="12"/>
        <v>0,02002954692836+0,0474690089750017i</v>
      </c>
      <c r="S11" t="str">
        <f t="shared" si="13"/>
        <v>0,43094547148542+0,420006988227011i</v>
      </c>
      <c r="T11" t="str">
        <f t="shared" si="14"/>
        <v>3,49527782335104E-07+0,00220524990911433i</v>
      </c>
      <c r="U11" s="80">
        <f t="shared" si="15"/>
        <v>486.47646544457848</v>
      </c>
      <c r="V11" s="81" t="str">
        <f t="shared" si="16"/>
        <v>7967,43371481684</v>
      </c>
      <c r="W11" s="81" t="str">
        <f t="shared" si="17"/>
        <v>418,369760282337-248,24603745629i</v>
      </c>
      <c r="X11" s="81" t="str">
        <f t="shared" si="18"/>
        <v>277,181224821241+76,3106775484554i</v>
      </c>
      <c r="Y11" s="81" t="str">
        <f t="shared" si="19"/>
        <v>8244,61493963808+76,3106775484554i</v>
      </c>
      <c r="Z11" s="81" t="str">
        <f t="shared" si="20"/>
        <v>418,207142729022-212,494391961795i</v>
      </c>
      <c r="AA11" s="83">
        <f t="shared" si="21"/>
        <v>1.0348335971362703</v>
      </c>
      <c r="AB11" s="83"/>
      <c r="AC11" s="83">
        <f t="shared" si="22"/>
        <v>0.56165711827759457</v>
      </c>
      <c r="AD11" s="83"/>
      <c r="AE11" s="88">
        <f t="shared" si="23"/>
        <v>10.295223797343601</v>
      </c>
      <c r="AF11" s="83">
        <f t="shared" si="24"/>
        <v>1.0000000000000004</v>
      </c>
      <c r="AG11" s="83">
        <f t="shared" si="25"/>
        <v>0.58246703238096043</v>
      </c>
      <c r="AH11" s="88">
        <f t="shared" si="6"/>
        <v>10</v>
      </c>
      <c r="AI11" s="89">
        <f t="shared" si="7"/>
        <v>2.9522379734360095E-2</v>
      </c>
    </row>
    <row r="12" spans="1:35" hidden="1" x14ac:dyDescent="0.25">
      <c r="D12">
        <v>5</v>
      </c>
      <c r="E12">
        <v>0.86</v>
      </c>
      <c r="F12">
        <f t="shared" si="10"/>
        <v>5.8139534883720927</v>
      </c>
      <c r="G12" s="78">
        <v>10</v>
      </c>
      <c r="H12">
        <v>13.8</v>
      </c>
      <c r="I12" s="82">
        <v>1</v>
      </c>
      <c r="J12" t="s">
        <v>119</v>
      </c>
      <c r="K12" s="79">
        <v>3</v>
      </c>
      <c r="L12" s="79">
        <v>1</v>
      </c>
      <c r="M12" s="84">
        <f>VLOOKUP(J12,Cabos!$B$13:$F$46,2,0)*K12*L12</f>
        <v>835.19999999999993</v>
      </c>
      <c r="N12" s="85">
        <f>VLOOKUP(J12,Cabos!$B$13:$F$46,3,0)/K12*G12</f>
        <v>0.4312116666666666</v>
      </c>
      <c r="O12" s="85">
        <f>VLOOKUP(J12,Cabos!$B$13:$F$46,4,0)/K12*G12</f>
        <v>0.42000000000000004</v>
      </c>
      <c r="P12" s="85">
        <f>1/VLOOKUP(J12,Cabos!$B$13:$F$46,5,0) * K12 * G12</f>
        <v>4.4098191974129061E-3</v>
      </c>
      <c r="Q12" t="str">
        <f t="shared" si="11"/>
        <v>10,7643889352312-4,54203359178778i</v>
      </c>
      <c r="R12" t="str">
        <f t="shared" si="12"/>
        <v>0,02002954692836+0,0474690089750017i</v>
      </c>
      <c r="S12" t="str">
        <f t="shared" si="13"/>
        <v>0,43094547148542+0,420006988227011i</v>
      </c>
      <c r="T12" t="str">
        <f t="shared" si="14"/>
        <v>3,49527782335104E-07+0,00220524990911433i</v>
      </c>
      <c r="U12" s="80">
        <f t="shared" si="15"/>
        <v>243.23823272228924</v>
      </c>
      <c r="V12" s="81" t="str">
        <f t="shared" si="16"/>
        <v>7967,43371481684</v>
      </c>
      <c r="W12" s="81" t="str">
        <f t="shared" si="17"/>
        <v>209,184880141169-124,123018728145i</v>
      </c>
      <c r="X12" s="81" t="str">
        <f t="shared" si="18"/>
        <v>134,901412755532+41,9418188857292i</v>
      </c>
      <c r="Y12" s="81" t="str">
        <f t="shared" si="19"/>
        <v>8102,33512757237+41,9418188857292i</v>
      </c>
      <c r="Z12" s="81" t="str">
        <f t="shared" si="20"/>
        <v>209,098004779549-88,6851477891482i</v>
      </c>
      <c r="AA12" s="83">
        <f t="shared" si="21"/>
        <v>1.0169452264033121</v>
      </c>
      <c r="AB12" s="83"/>
      <c r="AC12" s="83">
        <f t="shared" si="22"/>
        <v>0.27194418787022939</v>
      </c>
      <c r="AD12" s="83"/>
      <c r="AE12" s="88">
        <f t="shared" si="23"/>
        <v>5.0713874784726301</v>
      </c>
      <c r="AF12" s="83">
        <f t="shared" si="24"/>
        <v>1.0000000000000004</v>
      </c>
      <c r="AG12" s="83">
        <f t="shared" si="25"/>
        <v>0.29123351619048077</v>
      </c>
      <c r="AH12" s="88">
        <f t="shared" si="6"/>
        <v>5</v>
      </c>
      <c r="AI12" s="89">
        <f t="shared" si="7"/>
        <v>1.4277495694526011E-2</v>
      </c>
    </row>
    <row r="13" spans="1:35" hidden="1" x14ac:dyDescent="0.25">
      <c r="D13">
        <v>20</v>
      </c>
      <c r="E13">
        <v>0.86</v>
      </c>
      <c r="F13">
        <f t="shared" si="10"/>
        <v>23.255813953488371</v>
      </c>
      <c r="G13" s="78">
        <v>5</v>
      </c>
      <c r="H13">
        <v>13.8</v>
      </c>
      <c r="I13" s="82">
        <v>1</v>
      </c>
      <c r="J13" t="s">
        <v>119</v>
      </c>
      <c r="K13" s="79">
        <v>3</v>
      </c>
      <c r="L13" s="79">
        <v>1</v>
      </c>
      <c r="M13" s="84">
        <f>VLOOKUP(J13,Cabos!$B$13:$F$46,2,0)*K13*L13</f>
        <v>835.19999999999993</v>
      </c>
      <c r="N13" s="85">
        <f>VLOOKUP(J13,Cabos!$B$13:$F$46,3,0)/K13*G13</f>
        <v>0.2156058333333333</v>
      </c>
      <c r="O13" s="85">
        <f>VLOOKUP(J13,Cabos!$B$13:$F$46,4,0)/K13*G13</f>
        <v>0.21000000000000002</v>
      </c>
      <c r="P13" s="85">
        <f>1/VLOOKUP(J13,Cabos!$B$13:$F$46,5,0) * K13 * G13</f>
        <v>2.204909598706453E-3</v>
      </c>
      <c r="Q13" t="str">
        <f t="shared" si="11"/>
        <v>10,7643889352312-4,54203359178777i</v>
      </c>
      <c r="R13" t="str">
        <f t="shared" si="12"/>
        <v>0,01001477346418+0,0237345044875008i</v>
      </c>
      <c r="S13" t="str">
        <f t="shared" si="13"/>
        <v>0,215572556686914+0,210000875961978i</v>
      </c>
      <c r="T13" t="str">
        <f t="shared" si="14"/>
        <v>4,3678835063412E-08+0,00110249733847815i</v>
      </c>
      <c r="U13" s="80">
        <f t="shared" si="15"/>
        <v>972.95293088915696</v>
      </c>
      <c r="V13" s="81" t="str">
        <f t="shared" si="16"/>
        <v>7967,43371481684</v>
      </c>
      <c r="W13" s="81" t="str">
        <f t="shared" si="17"/>
        <v>836,739520564675-496,49207491258i</v>
      </c>
      <c r="X13" s="81" t="str">
        <f t="shared" si="18"/>
        <v>282,79726005777+70,5796447794903i</v>
      </c>
      <c r="Y13" s="81" t="str">
        <f t="shared" si="19"/>
        <v>8250,23097487461+70,5796447794903i</v>
      </c>
      <c r="Z13" s="81" t="str">
        <f t="shared" si="20"/>
        <v>836,662415062855-478,612139673026i</v>
      </c>
      <c r="AA13" s="83">
        <f t="shared" si="21"/>
        <v>1.0355320376012098</v>
      </c>
      <c r="AB13" s="83"/>
      <c r="AC13" s="83">
        <f t="shared" si="22"/>
        <v>1.1540764229892346</v>
      </c>
      <c r="AD13" s="83"/>
      <c r="AE13" s="88">
        <f t="shared" si="23"/>
        <v>20.606633692379074</v>
      </c>
      <c r="AF13" s="83">
        <f t="shared" si="24"/>
        <v>1.0000000000000004</v>
      </c>
      <c r="AG13" s="83">
        <f t="shared" si="25"/>
        <v>1.164934064761922</v>
      </c>
      <c r="AH13" s="88">
        <f t="shared" si="6"/>
        <v>20</v>
      </c>
      <c r="AI13" s="89">
        <f t="shared" si="7"/>
        <v>3.0331684618953681E-2</v>
      </c>
    </row>
    <row r="14" spans="1:35" hidden="1" x14ac:dyDescent="0.25">
      <c r="D14">
        <v>10</v>
      </c>
      <c r="E14">
        <v>0.86</v>
      </c>
      <c r="F14">
        <f t="shared" si="10"/>
        <v>11.627906976744185</v>
      </c>
      <c r="G14" s="78">
        <v>5</v>
      </c>
      <c r="H14">
        <v>13.8</v>
      </c>
      <c r="I14" s="82">
        <v>1</v>
      </c>
      <c r="J14" t="s">
        <v>119</v>
      </c>
      <c r="K14" s="79">
        <v>3</v>
      </c>
      <c r="L14" s="79">
        <v>1</v>
      </c>
      <c r="M14" s="84">
        <f>VLOOKUP(J14,Cabos!$B$13:$F$46,2,0)*K14*L14</f>
        <v>835.19999999999993</v>
      </c>
      <c r="N14" s="85">
        <f>VLOOKUP(J14,Cabos!$B$13:$F$46,3,0)/K14*G14</f>
        <v>0.2156058333333333</v>
      </c>
      <c r="O14" s="85">
        <f>VLOOKUP(J14,Cabos!$B$13:$F$46,4,0)/K14*G14</f>
        <v>0.21000000000000002</v>
      </c>
      <c r="P14" s="85">
        <f>1/VLOOKUP(J14,Cabos!$B$13:$F$46,5,0) * K14 * G14</f>
        <v>2.204909598706453E-3</v>
      </c>
      <c r="Q14" t="str">
        <f t="shared" si="11"/>
        <v>10,7643889352312-4,54203359178777i</v>
      </c>
      <c r="R14" t="str">
        <f t="shared" si="12"/>
        <v>0,01001477346418+0,0237345044875008i</v>
      </c>
      <c r="S14" t="str">
        <f t="shared" si="13"/>
        <v>0,215572556686914+0,210000875961978i</v>
      </c>
      <c r="T14" t="str">
        <f t="shared" si="14"/>
        <v>4,3678835063412E-08+0,00110249733847815i</v>
      </c>
      <c r="U14" s="80">
        <f t="shared" si="15"/>
        <v>486.47646544457848</v>
      </c>
      <c r="V14" s="81" t="str">
        <f t="shared" si="16"/>
        <v>7967,43371481684</v>
      </c>
      <c r="W14" s="81" t="str">
        <f t="shared" si="17"/>
        <v>418,369760282337-248,24603745629i</v>
      </c>
      <c r="X14" s="81" t="str">
        <f t="shared" si="18"/>
        <v>140,476335873304+36,2366616260444i</v>
      </c>
      <c r="Y14" s="81" t="str">
        <f t="shared" si="19"/>
        <v>8107,91005069014+36,2366616260444i</v>
      </c>
      <c r="Z14" s="81" t="str">
        <f t="shared" si="20"/>
        <v>418,330511611627-230,523012156921i</v>
      </c>
      <c r="AA14" s="83">
        <f t="shared" si="21"/>
        <v>1.0176414786378523</v>
      </c>
      <c r="AB14" s="83"/>
      <c r="AC14" s="83">
        <f t="shared" si="22"/>
        <v>0.57188861067774033</v>
      </c>
      <c r="AD14" s="83"/>
      <c r="AE14" s="88">
        <f t="shared" si="23"/>
        <v>10.150298325653131</v>
      </c>
      <c r="AF14" s="83">
        <f t="shared" si="24"/>
        <v>1.0000000000000004</v>
      </c>
      <c r="AG14" s="83">
        <f t="shared" si="25"/>
        <v>0.58246703238096043</v>
      </c>
      <c r="AH14" s="88">
        <f t="shared" si="6"/>
        <v>10</v>
      </c>
      <c r="AI14" s="89">
        <f t="shared" si="7"/>
        <v>1.502983256531305E-2</v>
      </c>
    </row>
    <row r="15" spans="1:35" hidden="1" x14ac:dyDescent="0.25">
      <c r="D15">
        <v>5</v>
      </c>
      <c r="E15">
        <v>0.86</v>
      </c>
      <c r="F15">
        <f t="shared" si="10"/>
        <v>5.8139534883720927</v>
      </c>
      <c r="G15" s="78">
        <v>5</v>
      </c>
      <c r="H15">
        <v>13.8</v>
      </c>
      <c r="I15" s="82">
        <v>1</v>
      </c>
      <c r="J15" t="s">
        <v>119</v>
      </c>
      <c r="K15" s="79">
        <v>3</v>
      </c>
      <c r="L15" s="79">
        <v>1</v>
      </c>
      <c r="M15" s="84">
        <f>VLOOKUP(J15,Cabos!$B$13:$F$46,2,0)*K15*L15</f>
        <v>835.19999999999993</v>
      </c>
      <c r="N15" s="85">
        <f>VLOOKUP(J15,Cabos!$B$13:$F$46,3,0)/K15*G15</f>
        <v>0.2156058333333333</v>
      </c>
      <c r="O15" s="85">
        <f>VLOOKUP(J15,Cabos!$B$13:$F$46,4,0)/K15*G15</f>
        <v>0.21000000000000002</v>
      </c>
      <c r="P15" s="85">
        <f>1/VLOOKUP(J15,Cabos!$B$13:$F$46,5,0) * K15 * G15</f>
        <v>2.204909598706453E-3</v>
      </c>
      <c r="Q15" t="str">
        <f t="shared" si="11"/>
        <v>10,7643889352312-4,54203359178777i</v>
      </c>
      <c r="R15" t="str">
        <f t="shared" si="12"/>
        <v>0,01001477346418+0,0237345044875008i</v>
      </c>
      <c r="S15" t="str">
        <f t="shared" si="13"/>
        <v>0,215572556686914+0,210000875961978i</v>
      </c>
      <c r="T15" t="str">
        <f t="shared" si="14"/>
        <v>4,3678835063412E-08+0,00110249733847815i</v>
      </c>
      <c r="U15" s="80">
        <f t="shared" si="15"/>
        <v>243.23823272228924</v>
      </c>
      <c r="V15" s="81" t="str">
        <f t="shared" si="16"/>
        <v>7967,43371481684</v>
      </c>
      <c r="W15" s="81" t="str">
        <f t="shared" si="17"/>
        <v>209,184880141169-124,123018728145i</v>
      </c>
      <c r="X15" s="81" t="str">
        <f t="shared" si="18"/>
        <v>69,3158737810718+19,0651700493217i</v>
      </c>
      <c r="Y15" s="81" t="str">
        <f t="shared" si="19"/>
        <v>8036,74958859791+19,0651700493217i</v>
      </c>
      <c r="Z15" s="81" t="str">
        <f t="shared" si="20"/>
        <v>209,164559886015-106,478448398869i</v>
      </c>
      <c r="AA15" s="83">
        <f t="shared" si="21"/>
        <v>1.008702737907222</v>
      </c>
      <c r="AB15" s="83"/>
      <c r="AC15" s="83">
        <f t="shared" si="22"/>
        <v>0.28101916564279406</v>
      </c>
      <c r="AD15" s="83"/>
      <c r="AE15" s="88">
        <f t="shared" si="23"/>
        <v>5.0369194826636399</v>
      </c>
      <c r="AF15" s="83">
        <f t="shared" si="24"/>
        <v>1.0000000000000004</v>
      </c>
      <c r="AG15" s="83">
        <f t="shared" si="25"/>
        <v>0.29123351619048077</v>
      </c>
      <c r="AH15" s="88">
        <f t="shared" si="6"/>
        <v>5</v>
      </c>
      <c r="AI15" s="89">
        <f t="shared" si="7"/>
        <v>7.3838965327279737E-3</v>
      </c>
    </row>
    <row r="16" spans="1:35" hidden="1" x14ac:dyDescent="0.25">
      <c r="D16">
        <v>20</v>
      </c>
      <c r="E16">
        <v>0.86</v>
      </c>
      <c r="F16">
        <f t="shared" si="10"/>
        <v>23.255813953488371</v>
      </c>
      <c r="G16" s="78">
        <v>3</v>
      </c>
      <c r="H16">
        <v>13.8</v>
      </c>
      <c r="I16" s="82">
        <v>1</v>
      </c>
      <c r="J16" t="s">
        <v>119</v>
      </c>
      <c r="K16" s="79">
        <v>3</v>
      </c>
      <c r="L16" s="79">
        <v>1</v>
      </c>
      <c r="M16" s="84">
        <f>VLOOKUP(J16,Cabos!$B$13:$F$46,2,0)*K16*L16</f>
        <v>835.19999999999993</v>
      </c>
      <c r="N16" s="85">
        <f>VLOOKUP(J16,Cabos!$B$13:$F$46,3,0)/K16*G16</f>
        <v>0.12936349999999999</v>
      </c>
      <c r="O16" s="85">
        <f>VLOOKUP(J16,Cabos!$B$13:$F$46,4,0)/K16*G16</f>
        <v>0.126</v>
      </c>
      <c r="P16" s="85">
        <f>1/VLOOKUP(J16,Cabos!$B$13:$F$46,5,0) * K16 * G16</f>
        <v>1.322945759223872E-3</v>
      </c>
      <c r="Q16" t="str">
        <f t="shared" si="11"/>
        <v>10,7643889352312-4,54203359178778i</v>
      </c>
      <c r="R16" t="str">
        <f t="shared" si="12"/>
        <v>0,006008864078508+0,0142407026925005i</v>
      </c>
      <c r="S16" t="str">
        <f t="shared" si="13"/>
        <v>0,129356312140751+0,126000189319936i</v>
      </c>
      <c r="T16" t="str">
        <f t="shared" si="14"/>
        <v>9,43406980480808E-09+0,000661482068077119i</v>
      </c>
      <c r="U16" s="80">
        <f t="shared" si="15"/>
        <v>972.95293088915696</v>
      </c>
      <c r="V16" s="81" t="str">
        <f t="shared" si="16"/>
        <v>7967,43371481684</v>
      </c>
      <c r="W16" s="81" t="str">
        <f t="shared" si="17"/>
        <v>836,739520564675-496,49207491258i</v>
      </c>
      <c r="X16" s="81" t="str">
        <f t="shared" si="18"/>
        <v>170,131583131934+41,8867121072108i</v>
      </c>
      <c r="Y16" s="81" t="str">
        <f t="shared" si="19"/>
        <v>8137,56529794877+41,8867121072108i</v>
      </c>
      <c r="Z16" s="81" t="str">
        <f t="shared" si="20"/>
        <v>836,711965191409-485,838906464073i</v>
      </c>
      <c r="AA16" s="83">
        <f t="shared" si="21"/>
        <v>1.021366903173591</v>
      </c>
      <c r="AB16" s="83"/>
      <c r="AC16" s="83">
        <f t="shared" si="22"/>
        <v>1.1584485508529649</v>
      </c>
      <c r="AD16" s="83"/>
      <c r="AE16" s="88">
        <f t="shared" si="23"/>
        <v>20.365344173743768</v>
      </c>
      <c r="AF16" s="83">
        <f t="shared" si="24"/>
        <v>1.0000000000000004</v>
      </c>
      <c r="AG16" s="83">
        <f t="shared" si="25"/>
        <v>1.164934064761922</v>
      </c>
      <c r="AH16" s="88">
        <f t="shared" si="6"/>
        <v>20</v>
      </c>
      <c r="AI16" s="89">
        <f t="shared" si="7"/>
        <v>1.8267208687188407E-2</v>
      </c>
    </row>
    <row r="17" spans="2:35" hidden="1" x14ac:dyDescent="0.25">
      <c r="D17">
        <v>10</v>
      </c>
      <c r="E17">
        <v>0.86</v>
      </c>
      <c r="F17">
        <f t="shared" si="10"/>
        <v>11.627906976744185</v>
      </c>
      <c r="G17" s="78">
        <v>3</v>
      </c>
      <c r="H17">
        <v>13.8</v>
      </c>
      <c r="I17" s="82">
        <v>1</v>
      </c>
      <c r="J17" t="s">
        <v>119</v>
      </c>
      <c r="K17" s="79">
        <v>3</v>
      </c>
      <c r="L17" s="79">
        <v>1</v>
      </c>
      <c r="M17" s="84">
        <f>VLOOKUP(J17,Cabos!$B$13:$F$46,2,0)*K17*L17</f>
        <v>835.19999999999993</v>
      </c>
      <c r="N17" s="85">
        <f>VLOOKUP(J17,Cabos!$B$13:$F$46,3,0)/K17*G17</f>
        <v>0.12936349999999999</v>
      </c>
      <c r="O17" s="85">
        <f>VLOOKUP(J17,Cabos!$B$13:$F$46,4,0)/K17*G17</f>
        <v>0.126</v>
      </c>
      <c r="P17" s="85">
        <f>1/VLOOKUP(J17,Cabos!$B$13:$F$46,5,0) * K17 * G17</f>
        <v>1.322945759223872E-3</v>
      </c>
      <c r="Q17" t="str">
        <f t="shared" si="11"/>
        <v>10,7643889352312-4,54203359178778i</v>
      </c>
      <c r="R17" t="str">
        <f t="shared" si="12"/>
        <v>0,006008864078508+0,0142407026925005i</v>
      </c>
      <c r="S17" t="str">
        <f t="shared" si="13"/>
        <v>0,129356312140751+0,126000189319936i</v>
      </c>
      <c r="T17" t="str">
        <f t="shared" si="14"/>
        <v>9,43406980480808E-09+0,000661482068077119i</v>
      </c>
      <c r="U17" s="80">
        <f t="shared" si="15"/>
        <v>486.47646544457848</v>
      </c>
      <c r="V17" s="81" t="str">
        <f t="shared" si="16"/>
        <v>7967,43371481684</v>
      </c>
      <c r="W17" s="81" t="str">
        <f t="shared" si="17"/>
        <v>418,369760282337-248,24603745629i</v>
      </c>
      <c r="X17" s="81" t="str">
        <f t="shared" si="18"/>
        <v>84,7337661131844+21,2842350148003i</v>
      </c>
      <c r="Y17" s="81" t="str">
        <f t="shared" si="19"/>
        <v>8052,16748093002+21,2842350148003i</v>
      </c>
      <c r="Z17" s="81" t="str">
        <f t="shared" si="20"/>
        <v>418,355832272578-237,64935832676i</v>
      </c>
      <c r="AA17" s="83">
        <f t="shared" si="21"/>
        <v>1.0106385442701917</v>
      </c>
      <c r="AB17" s="83"/>
      <c r="AC17" s="83">
        <f t="shared" si="22"/>
        <v>0.57608146864266052</v>
      </c>
      <c r="AD17" s="83"/>
      <c r="AE17" s="88">
        <f t="shared" si="23"/>
        <v>10.09083912986676</v>
      </c>
      <c r="AF17" s="83">
        <f t="shared" si="24"/>
        <v>1.0000000000000004</v>
      </c>
      <c r="AG17" s="83">
        <f t="shared" si="25"/>
        <v>0.58246703238096043</v>
      </c>
      <c r="AH17" s="88">
        <f t="shared" si="6"/>
        <v>10</v>
      </c>
      <c r="AI17" s="89">
        <f t="shared" si="7"/>
        <v>9.0839129866759905E-3</v>
      </c>
    </row>
    <row r="18" spans="2:35" hidden="1" x14ac:dyDescent="0.25">
      <c r="D18">
        <v>0</v>
      </c>
      <c r="E18">
        <v>0.86</v>
      </c>
      <c r="F18">
        <f t="shared" si="10"/>
        <v>0</v>
      </c>
      <c r="G18" s="78">
        <v>3</v>
      </c>
      <c r="H18">
        <v>13.8</v>
      </c>
      <c r="I18" s="82">
        <v>1</v>
      </c>
      <c r="J18" t="s">
        <v>119</v>
      </c>
      <c r="K18" s="79">
        <v>3</v>
      </c>
      <c r="L18" s="79">
        <v>1</v>
      </c>
      <c r="M18" s="84">
        <f>VLOOKUP(J18,Cabos!$B$13:$F$46,2,0)*K18*L18</f>
        <v>835.19999999999993</v>
      </c>
      <c r="N18" s="85">
        <f>VLOOKUP(J18,Cabos!$B$13:$F$46,3,0)/K18*G18</f>
        <v>0.12936349999999999</v>
      </c>
      <c r="O18" s="85">
        <f>VLOOKUP(J18,Cabos!$B$13:$F$46,4,0)/K18*G18</f>
        <v>0.126</v>
      </c>
      <c r="P18" s="85">
        <f>1/VLOOKUP(J18,Cabos!$B$13:$F$46,5,0) * K18 * G18</f>
        <v>1.322945759223872E-3</v>
      </c>
      <c r="Q18" t="str">
        <f t="shared" si="11"/>
        <v>10,7643889352312-4,54203359178778i</v>
      </c>
      <c r="R18" t="str">
        <f t="shared" si="12"/>
        <v>0,006008864078508+0,0142407026925005i</v>
      </c>
      <c r="S18" t="str">
        <f t="shared" si="13"/>
        <v>0,129356312140751+0,126000189319936i</v>
      </c>
      <c r="T18" t="str">
        <f t="shared" si="14"/>
        <v>9,43406980480808E-09+0,000661482068077119i</v>
      </c>
      <c r="U18" s="80">
        <f t="shared" si="15"/>
        <v>0</v>
      </c>
      <c r="V18" s="81" t="str">
        <f t="shared" si="16"/>
        <v>7967,43371481684</v>
      </c>
      <c r="W18" s="81" t="str">
        <f t="shared" si="17"/>
        <v>0</v>
      </c>
      <c r="X18" s="81" t="str">
        <f t="shared" si="18"/>
        <v>-0,664050905565255+0,681757922390066i</v>
      </c>
      <c r="Y18" s="81" t="str">
        <f t="shared" si="19"/>
        <v>7966,76966391127+0,681757922390066i</v>
      </c>
      <c r="Z18" s="81" t="str">
        <f t="shared" si="20"/>
        <v>-0,000300646253470201+10,5401898105542i</v>
      </c>
      <c r="AA18" s="83">
        <f t="shared" si="21"/>
        <v>0.99991665801579921</v>
      </c>
      <c r="AB18" s="83"/>
      <c r="AC18" s="83">
        <f t="shared" si="22"/>
        <v>1.2619959069494716E-2</v>
      </c>
      <c r="AD18" s="83"/>
      <c r="AE18" s="88">
        <f t="shared" si="23"/>
        <v>1.4372035365376201E-5</v>
      </c>
      <c r="AF18" s="83">
        <f t="shared" si="24"/>
        <v>1.0000000000000004</v>
      </c>
      <c r="AG18" s="83">
        <f t="shared" si="25"/>
        <v>0</v>
      </c>
      <c r="AH18" s="88">
        <f t="shared" si="6"/>
        <v>0</v>
      </c>
      <c r="AI18" s="89">
        <f t="shared" si="7"/>
        <v>0</v>
      </c>
    </row>
    <row r="19" spans="2:35" hidden="1" x14ac:dyDescent="0.25">
      <c r="F19" t="e">
        <f t="shared" si="10"/>
        <v>#DIV/0!</v>
      </c>
      <c r="G19" s="97"/>
      <c r="I19" s="82"/>
      <c r="M19" s="84"/>
      <c r="N19" s="85"/>
      <c r="O19" s="85"/>
      <c r="P19" s="85"/>
      <c r="U19" s="80"/>
      <c r="V19" s="81"/>
      <c r="W19" s="81"/>
      <c r="X19" s="81"/>
      <c r="Y19" s="81"/>
      <c r="Z19" s="81"/>
      <c r="AA19" s="83"/>
      <c r="AB19" s="83"/>
      <c r="AC19" s="83"/>
      <c r="AD19" s="83"/>
      <c r="AE19" s="88"/>
      <c r="AF19" s="83"/>
      <c r="AG19" s="83"/>
      <c r="AH19" s="88"/>
      <c r="AI19" s="89"/>
    </row>
    <row r="20" spans="2:35" hidden="1" x14ac:dyDescent="0.25">
      <c r="D20">
        <v>80</v>
      </c>
      <c r="E20">
        <v>0.69</v>
      </c>
      <c r="F20">
        <f t="shared" si="10"/>
        <v>115.94202898550725</v>
      </c>
      <c r="G20" s="78">
        <v>98</v>
      </c>
      <c r="H20">
        <v>132</v>
      </c>
      <c r="I20" s="82">
        <v>1</v>
      </c>
      <c r="J20" t="s">
        <v>127</v>
      </c>
      <c r="K20" s="79">
        <v>1</v>
      </c>
      <c r="L20" s="79">
        <v>1</v>
      </c>
      <c r="M20" s="84">
        <f>VLOOKUP(J20,Cabos!$B$13:$F$46,2,0)*K20*L20</f>
        <v>395.125</v>
      </c>
      <c r="N20" s="85">
        <f>VLOOKUP(J20,Cabos!$B$13:$F$46,3,0)/K20*G20</f>
        <v>6.3781829999999999</v>
      </c>
      <c r="O20" s="98">
        <f>VLOOKUP(J20,Cabos!$B$13:$F$46,4,0)/K20*G20 * 50 / 60</f>
        <v>9.5550000000000015</v>
      </c>
      <c r="P20" s="98">
        <f>1/VLOOKUP(J20,Cabos!$B$13:$F$46,5,0) * K20 * G20 * 50 / 60 * 2.3 / 3</f>
        <v>9.4751904706655843E-3</v>
      </c>
      <c r="Q20" t="str">
        <f t="shared" si="11"/>
        <v>33,3232342106468-10,1002444652406i</v>
      </c>
      <c r="R20" t="str">
        <f t="shared" si="12"/>
        <v>0,0957017401084401+0,315743991244478i</v>
      </c>
      <c r="S20" t="str">
        <f t="shared" si="13"/>
        <v>6,1868099087941+9,47484829972159i</v>
      </c>
      <c r="T20" t="str">
        <f t="shared" si="14"/>
        <v>0,0000242966379770772+0,00477351696423625i</v>
      </c>
      <c r="U20" s="80">
        <f t="shared" si="15"/>
        <v>507.11486094828797</v>
      </c>
      <c r="V20" s="81" t="str">
        <f t="shared" si="16"/>
        <v>76210,2355330306</v>
      </c>
      <c r="W20" s="81" t="str">
        <f t="shared" si="17"/>
        <v>349,909254054319-367,054486584419i</v>
      </c>
      <c r="X20" s="81" t="str">
        <f t="shared" si="18"/>
        <v>2207,20030324088+3312,68974163963i</v>
      </c>
      <c r="Y20" s="81" t="str">
        <f t="shared" si="19"/>
        <v>78417,4358362715+3312,68974163963i</v>
      </c>
      <c r="Z20" s="81" t="str">
        <f t="shared" si="20"/>
        <v>337,853005927849+371,143813060676i</v>
      </c>
      <c r="AA20" s="83">
        <f t="shared" si="21"/>
        <v>1.0298797166637839</v>
      </c>
      <c r="AB20" s="83"/>
      <c r="AC20" s="83">
        <f t="shared" si="22"/>
        <v>1.2702026345130351</v>
      </c>
      <c r="AD20" s="83"/>
      <c r="AE20" s="88">
        <f t="shared" si="23"/>
        <v>83.169152149913103</v>
      </c>
      <c r="AF20" s="83">
        <f t="shared" si="24"/>
        <v>1</v>
      </c>
      <c r="AG20" s="83">
        <f t="shared" si="25"/>
        <v>1.2834289426087639</v>
      </c>
      <c r="AH20" s="88">
        <f>D20</f>
        <v>80</v>
      </c>
      <c r="AI20" s="89">
        <f>IF(AH20&gt;0, (AE20-AH20)/AH20,0)</f>
        <v>3.9614401873913782E-2</v>
      </c>
    </row>
    <row r="21" spans="2:35" hidden="1" x14ac:dyDescent="0.25">
      <c r="D21">
        <v>60</v>
      </c>
      <c r="E21">
        <v>0.65</v>
      </c>
      <c r="F21">
        <f t="shared" si="10"/>
        <v>92.307692307692307</v>
      </c>
      <c r="G21" s="97">
        <v>98</v>
      </c>
      <c r="H21">
        <v>132</v>
      </c>
      <c r="I21" s="82">
        <v>1</v>
      </c>
      <c r="J21" t="s">
        <v>127</v>
      </c>
      <c r="K21" s="79">
        <v>1</v>
      </c>
      <c r="L21" s="79">
        <v>1</v>
      </c>
      <c r="M21" s="84">
        <f>VLOOKUP(J21,Cabos!$B$13:$F$46,2,0)*K21*L21</f>
        <v>395.125</v>
      </c>
      <c r="N21" s="85">
        <f>VLOOKUP(J21,Cabos!$B$13:$F$46,3,0)/K21*G21</f>
        <v>6.3781829999999999</v>
      </c>
      <c r="O21" s="98">
        <f>VLOOKUP(J21,Cabos!$B$13:$F$46,4,0)/K21*G21 * 50 / 60</f>
        <v>9.5550000000000015</v>
      </c>
      <c r="P21" s="98">
        <f>1/VLOOKUP(J21,Cabos!$B$13:$F$46,5,0) * K21 * G21 * 50 / 60 * 2.3 / 3</f>
        <v>9.4751904706655843E-3</v>
      </c>
      <c r="Q21" t="str">
        <f t="shared" ref="Q21" si="26">IMSQRT(IMDIV(COMPLEX(N21,O21),COMPLEX(0,P21)))</f>
        <v>33,3232342106468-10,1002444652406i</v>
      </c>
      <c r="R21" t="str">
        <f t="shared" ref="R21" si="27">IMSQRT(IMPRODUCT(COMPLEX(N21,O21),COMPLEX(0,P21)))</f>
        <v>0,0957017401084401+0,315743991244478i</v>
      </c>
      <c r="S21" t="str">
        <f t="shared" ref="S21" si="28">IMPRODUCT(Q21,_xlfn.IMSINH(R21))</f>
        <v>6,1868099087941+9,47484829972159i</v>
      </c>
      <c r="T21" t="str">
        <f t="shared" ref="T21" si="29">IMDIV(IMSUB(_xlfn.IMCOSH(R21),COMPLEX(1,0)),IMPRODUCT(Q21,_xlfn.IMSINH(R21)))</f>
        <v>0,0000242966379770772+0,00477351696423625i</v>
      </c>
      <c r="U21" s="80">
        <f t="shared" ref="U21" si="30">D21/E21/H21/SQRT(3)*1000</f>
        <v>403.74144698575225</v>
      </c>
      <c r="V21" s="81" t="str">
        <f t="shared" ref="V21" si="31">COMPLEX(H21*1000/SQRT(3)*I21,0)</f>
        <v>76210,2355330306</v>
      </c>
      <c r="W21" s="81" t="str">
        <f t="shared" ref="W21" si="32">COMPLEX(U21*E21,-U21*SQRT(1-E21*E21))</f>
        <v>262,431940540739-306,816936622102i</v>
      </c>
      <c r="X21" s="81" t="str">
        <f t="shared" ref="X21" si="33">IMPRODUCT(S21,IMSUM(W21,IMPRODUCT(T21,V21)))</f>
        <v>1095,25314536052+2856,53373741962i</v>
      </c>
      <c r="Y21" s="81" t="str">
        <f t="shared" ref="Y21" si="34">IMSUM(V21,X21)</f>
        <v>77305,4886783911+2856,53373741962i</v>
      </c>
      <c r="Z21" s="81" t="str">
        <f t="shared" ref="Z21" si="35">IMSUM(IMPRODUCT(Y21,T21),IMDIV(X21,S21))</f>
        <v>252,526144261207+426,062381344221i</v>
      </c>
      <c r="AA21" s="83">
        <f t="shared" ref="AA21" si="36">IMABS(Y21)/H21/1000*SQRT(3)</f>
        <v>1.015063742654877</v>
      </c>
      <c r="AB21" s="83"/>
      <c r="AC21" s="83">
        <f t="shared" ref="AC21" si="37">IMABS(Z21)/M21</f>
        <v>1.2534673658300455</v>
      </c>
      <c r="AD21" s="83"/>
      <c r="AE21" s="88">
        <f t="shared" ref="AE21" si="38">IMREAL(IMPRODUCT(Y21,IMCONJUGATE(Z21)))*3/1000000</f>
        <v>62.216155658212806</v>
      </c>
      <c r="AF21" s="83">
        <f t="shared" ref="AF21" si="39">IMABS(V21)/H21/1000*SQRT(3)</f>
        <v>1</v>
      </c>
      <c r="AG21" s="83">
        <f t="shared" ref="AG21" si="40">IMABS(W21)/M21</f>
        <v>1.0218068889231311</v>
      </c>
      <c r="AH21" s="88">
        <f>D21</f>
        <v>60</v>
      </c>
      <c r="AI21" s="89">
        <f>IF(AH21&gt;0, (AE21-AH21)/AH21,0)</f>
        <v>3.6935927636880098E-2</v>
      </c>
    </row>
    <row r="22" spans="2:35" hidden="1" x14ac:dyDescent="0.25">
      <c r="D22">
        <v>40</v>
      </c>
      <c r="E22">
        <v>0.56999999999999995</v>
      </c>
      <c r="F22">
        <f t="shared" si="10"/>
        <v>70.175438596491233</v>
      </c>
      <c r="G22" s="97">
        <v>98</v>
      </c>
      <c r="H22">
        <v>132</v>
      </c>
      <c r="I22" s="82">
        <v>1</v>
      </c>
      <c r="J22" t="s">
        <v>127</v>
      </c>
      <c r="K22" s="79">
        <v>1</v>
      </c>
      <c r="L22" s="79">
        <v>1</v>
      </c>
      <c r="M22" s="84">
        <f>VLOOKUP(J22,Cabos!$B$13:$F$46,2,0)*K22*L22</f>
        <v>395.125</v>
      </c>
      <c r="N22" s="85">
        <f>VLOOKUP(J22,Cabos!$B$13:$F$46,3,0)/K22*G22</f>
        <v>6.3781829999999999</v>
      </c>
      <c r="O22" s="98">
        <f>VLOOKUP(J22,Cabos!$B$13:$F$46,4,0)/K22*G22 * 50 / 60</f>
        <v>9.5550000000000015</v>
      </c>
      <c r="P22" s="98">
        <f>1/VLOOKUP(J22,Cabos!$B$13:$F$46,5,0) * K22 * G22 * 50 / 60 * 2.3 / 3</f>
        <v>9.4751904706655843E-3</v>
      </c>
      <c r="Q22" t="str">
        <f t="shared" ref="Q22" si="41">IMSQRT(IMDIV(COMPLEX(N22,O22),COMPLEX(0,P22)))</f>
        <v>33,3232342106468-10,1002444652406i</v>
      </c>
      <c r="R22" t="str">
        <f t="shared" ref="R22" si="42">IMSQRT(IMPRODUCT(COMPLEX(N22,O22),COMPLEX(0,P22)))</f>
        <v>0,0957017401084401+0,315743991244478i</v>
      </c>
      <c r="S22" t="str">
        <f t="shared" ref="S22" si="43">IMPRODUCT(Q22,_xlfn.IMSINH(R22))</f>
        <v>6,1868099087941+9,47484829972159i</v>
      </c>
      <c r="T22" t="str">
        <f t="shared" ref="T22" si="44">IMDIV(IMSUB(_xlfn.IMCOSH(R22),COMPLEX(1,0)),IMPRODUCT(Q22,_xlfn.IMSINH(R22)))</f>
        <v>0,0000242966379770772+0,00477351696423625i</v>
      </c>
      <c r="U22" s="80">
        <f t="shared" ref="U22" si="45">D22/E22/H22/SQRT(3)*1000</f>
        <v>306.93794215291109</v>
      </c>
      <c r="V22" s="81" t="str">
        <f t="shared" ref="V22" si="46">COMPLEX(H22*1000/SQRT(3)*I22,0)</f>
        <v>76210,2355330306</v>
      </c>
      <c r="W22" s="81" t="str">
        <f t="shared" ref="W22" si="47">COMPLEX(U22*E22,-U22*SQRT(1-E22*E22))</f>
        <v>174,954627027159-252,193930963557i</v>
      </c>
      <c r="X22" s="81" t="str">
        <f t="shared" ref="X22" si="48">IMPRODUCT(S22,IMSUM(W22,IMPRODUCT(T22,V22)))</f>
        <v>36,5029430304648+2365,64161486766i</v>
      </c>
      <c r="Y22" s="81" t="str">
        <f t="shared" ref="Y22" si="49">IMSUM(V22,X22)</f>
        <v>76246,7384760611+2365,64161486766i</v>
      </c>
      <c r="Z22" s="81" t="str">
        <f t="shared" ref="Z22" si="50">IMSUM(IMPRODUCT(Y22,T22),IMDIV(X22,S22))</f>
        <v>167,366388551865+475,619497922867i</v>
      </c>
      <c r="AA22" s="83">
        <f t="shared" ref="AA22" si="51">IMABS(Y22)/H22/1000*SQRT(3)</f>
        <v>1.00096040214778</v>
      </c>
      <c r="AB22" s="83"/>
      <c r="AC22" s="83">
        <f t="shared" ref="AC22" si="52">IMABS(Z22)/M22</f>
        <v>1.276071395122728</v>
      </c>
      <c r="AD22" s="83"/>
      <c r="AE22" s="88">
        <f t="shared" ref="AE22" si="53">IMREAL(IMPRODUCT(Y22,IMCONJUGATE(Z22)))*3/1000000</f>
        <v>41.658859604177103</v>
      </c>
      <c r="AF22" s="83">
        <f t="shared" ref="AF22" si="54">IMABS(V22)/H22/1000*SQRT(3)</f>
        <v>1</v>
      </c>
      <c r="AG22" s="83">
        <f t="shared" ref="AG22" si="55">IMABS(W22)/M22</f>
        <v>0.77681225473688287</v>
      </c>
      <c r="AH22" s="88">
        <f>D22</f>
        <v>40</v>
      </c>
      <c r="AI22" s="89">
        <f>IF(AH22&gt;0, (AE22-AH22)/AH22,0)</f>
        <v>4.1471490104427564E-2</v>
      </c>
    </row>
    <row r="23" spans="2:35" hidden="1" x14ac:dyDescent="0.25">
      <c r="D23">
        <v>20</v>
      </c>
      <c r="E23">
        <v>0.3</v>
      </c>
      <c r="F23">
        <f t="shared" si="10"/>
        <v>66.666666666666671</v>
      </c>
      <c r="G23" s="97">
        <v>98</v>
      </c>
      <c r="H23">
        <v>132</v>
      </c>
      <c r="I23" s="82">
        <v>1</v>
      </c>
      <c r="J23" t="s">
        <v>127</v>
      </c>
      <c r="K23" s="79">
        <v>1</v>
      </c>
      <c r="L23" s="79">
        <v>1</v>
      </c>
      <c r="M23" s="84">
        <f>VLOOKUP(J23,Cabos!$B$13:$F$46,2,0)*K23*L23</f>
        <v>395.125</v>
      </c>
      <c r="N23" s="85">
        <f>VLOOKUP(J23,Cabos!$B$13:$F$46,3,0)/K23*G23</f>
        <v>6.3781829999999999</v>
      </c>
      <c r="O23" s="98">
        <f>VLOOKUP(J23,Cabos!$B$13:$F$46,4,0)/K23*G23 * 50 / 60</f>
        <v>9.5550000000000015</v>
      </c>
      <c r="P23" s="98">
        <f>1/VLOOKUP(J23,Cabos!$B$13:$F$46,5,0) * K23 * G23 * 50 / 60 * 2.3 / 3</f>
        <v>9.4751904706655843E-3</v>
      </c>
      <c r="Q23" t="str">
        <f t="shared" ref="Q23" si="56">IMSQRT(IMDIV(COMPLEX(N23,O23),COMPLEX(0,P23)))</f>
        <v>33,3232342106468-10,1002444652406i</v>
      </c>
      <c r="R23" t="str">
        <f t="shared" ref="R23" si="57">IMSQRT(IMPRODUCT(COMPLEX(N23,O23),COMPLEX(0,P23)))</f>
        <v>0,0957017401084401+0,315743991244478i</v>
      </c>
      <c r="S23" t="str">
        <f t="shared" ref="S23" si="58">IMPRODUCT(Q23,_xlfn.IMSINH(R23))</f>
        <v>6,1868099087941+9,47484829972159i</v>
      </c>
      <c r="T23" t="str">
        <f t="shared" ref="T23" si="59">IMDIV(IMSUB(_xlfn.IMCOSH(R23),COMPLEX(1,0)),IMPRODUCT(Q23,_xlfn.IMSINH(R23)))</f>
        <v>0,0000242966379770772+0,00477351696423625i</v>
      </c>
      <c r="U23" s="80">
        <f t="shared" ref="U23" si="60">D23/E23/H23/SQRT(3)*1000</f>
        <v>291.59104504526556</v>
      </c>
      <c r="V23" s="81" t="str">
        <f t="shared" ref="V23" si="61">COMPLEX(H23*1000/SQRT(3)*I23,0)</f>
        <v>76210,2355330306</v>
      </c>
      <c r="W23" s="81" t="str">
        <f t="shared" ref="W23" si="62">COMPLEX(U23*E23,-U23*SQRT(1-E23*E23))</f>
        <v>87,4773135135797-278,160128650813i</v>
      </c>
      <c r="X23" s="81" t="str">
        <f t="shared" ref="X23" si="63">IMPRODUCT(S23,IMSUM(W23,IMPRODUCT(T23,V23)))</f>
        <v>-258,676783002704+1376,15941051409i</v>
      </c>
      <c r="Y23" s="81" t="str">
        <f t="shared" ref="Y23" si="64">IMSUM(V23,X23)</f>
        <v>75951,5587500279+1376,15941051409i</v>
      </c>
      <c r="Z23" s="81" t="str">
        <f t="shared" ref="Z23" si="65">IMSUM(IMPRODUCT(Y23,T23),IMDIV(X23,S23))</f>
        <v>84,6052132516352+448,220213714989i</v>
      </c>
      <c r="AA23" s="83">
        <f t="shared" ref="AA23" si="66">IMABS(Y23)/H23/1000*SQRT(3)</f>
        <v>0.99676932434969445</v>
      </c>
      <c r="AB23" s="83"/>
      <c r="AC23" s="83">
        <f t="shared" ref="AC23" si="67">IMABS(Z23)/M23</f>
        <v>1.1544075653076864</v>
      </c>
      <c r="AD23" s="83"/>
      <c r="AE23" s="88">
        <f t="shared" ref="AE23" si="68">IMREAL(IMPRODUCT(Y23,IMCONJUGATE(Z23)))*3/1000000</f>
        <v>21.128160869780189</v>
      </c>
      <c r="AF23" s="83">
        <f t="shared" ref="AF23" si="69">IMABS(V23)/H23/1000*SQRT(3)</f>
        <v>1</v>
      </c>
      <c r="AG23" s="83">
        <f t="shared" ref="AG23" si="70">IMABS(W23)/M23</f>
        <v>0.73797164200003884</v>
      </c>
      <c r="AH23" s="88">
        <f>D23</f>
        <v>20</v>
      </c>
      <c r="AI23" s="89">
        <f>IF(AH23&gt;0, (AE23-AH23)/AH23,0)</f>
        <v>5.6408043489009428E-2</v>
      </c>
    </row>
    <row r="24" spans="2:35" x14ac:dyDescent="0.25">
      <c r="M24" s="84"/>
      <c r="N24" s="81"/>
      <c r="O24" s="81"/>
      <c r="P24" s="81"/>
      <c r="V24" s="81"/>
      <c r="W24" s="81"/>
      <c r="X24" s="81"/>
      <c r="Y24" s="81"/>
      <c r="Z24" s="81"/>
      <c r="AA24" s="81"/>
      <c r="AB24" s="81"/>
      <c r="AC24" s="81"/>
      <c r="AD24" s="81"/>
      <c r="AE24" s="81"/>
      <c r="AF24" s="81"/>
      <c r="AG24" s="81"/>
      <c r="AH24" s="81"/>
      <c r="AI24" s="81"/>
    </row>
    <row r="25" spans="2:35" x14ac:dyDescent="0.25">
      <c r="M25" s="84"/>
      <c r="N25" s="81"/>
      <c r="O25" s="81"/>
      <c r="P25" s="81"/>
      <c r="V25" s="81"/>
      <c r="W25" s="81"/>
      <c r="X25" s="81"/>
      <c r="Y25" s="81"/>
      <c r="Z25" s="81"/>
      <c r="AA25" s="81"/>
      <c r="AB25" s="81"/>
      <c r="AC25" s="81"/>
      <c r="AD25" s="81"/>
      <c r="AE25" s="81"/>
      <c r="AF25" s="81"/>
      <c r="AG25" s="81"/>
      <c r="AH25" s="81"/>
      <c r="AI25" s="81"/>
    </row>
    <row r="26" spans="2:35" ht="15.75" thickBot="1" x14ac:dyDescent="0.3">
      <c r="M26" s="84"/>
      <c r="N26" s="81"/>
      <c r="O26" s="81"/>
      <c r="P26" s="81"/>
      <c r="V26" s="81"/>
      <c r="W26" s="81"/>
      <c r="X26" s="81"/>
      <c r="Y26" s="81"/>
      <c r="Z26" s="81"/>
      <c r="AA26" s="81"/>
      <c r="AB26" s="81"/>
      <c r="AC26" s="81"/>
      <c r="AD26" s="81"/>
      <c r="AE26" s="81"/>
      <c r="AF26" s="81"/>
      <c r="AG26" s="81"/>
      <c r="AH26" s="81"/>
      <c r="AI26" s="81"/>
    </row>
    <row r="27" spans="2:35" ht="15.75" thickBot="1" x14ac:dyDescent="0.3">
      <c r="B27" s="130" t="s">
        <v>131</v>
      </c>
      <c r="C27" s="131" t="s">
        <v>132</v>
      </c>
      <c r="D27" s="131" t="s">
        <v>129</v>
      </c>
      <c r="E27" s="131" t="s">
        <v>134</v>
      </c>
      <c r="F27" s="131" t="s">
        <v>2</v>
      </c>
      <c r="G27" s="131" t="s">
        <v>130</v>
      </c>
      <c r="H27" s="131" t="s">
        <v>135</v>
      </c>
      <c r="I27" s="132" t="s">
        <v>136</v>
      </c>
      <c r="M27" s="84"/>
      <c r="N27" s="81"/>
      <c r="O27" s="81"/>
      <c r="P27" s="81"/>
      <c r="V27" s="81"/>
      <c r="W27" s="81"/>
      <c r="X27" s="81"/>
      <c r="Y27" s="81"/>
      <c r="Z27" s="81"/>
      <c r="AA27" s="81"/>
      <c r="AB27" s="81"/>
      <c r="AC27" s="81"/>
      <c r="AD27" s="81"/>
      <c r="AE27" s="81"/>
      <c r="AF27" s="81"/>
      <c r="AG27" s="81"/>
      <c r="AH27" s="81"/>
      <c r="AI27" s="81"/>
    </row>
    <row r="28" spans="2:35" ht="15.75" thickTop="1" x14ac:dyDescent="0.25">
      <c r="B28" s="212">
        <v>183</v>
      </c>
      <c r="C28" s="209">
        <v>5.45</v>
      </c>
      <c r="D28" s="126">
        <v>1.73</v>
      </c>
      <c r="E28" s="127">
        <v>1367</v>
      </c>
      <c r="F28" s="127">
        <v>10.72</v>
      </c>
      <c r="G28" s="128">
        <v>0.99999999999999567</v>
      </c>
      <c r="H28" s="128">
        <v>1.08099098320415</v>
      </c>
      <c r="I28" s="129">
        <f>C28*H28</f>
        <v>5.8914008584626174</v>
      </c>
      <c r="M28" s="84"/>
      <c r="N28" s="81"/>
      <c r="O28" s="81"/>
      <c r="P28" s="81"/>
      <c r="V28" s="81"/>
      <c r="W28" s="81"/>
      <c r="X28" s="81"/>
      <c r="Y28" s="81"/>
      <c r="Z28" s="81"/>
      <c r="AA28" s="81"/>
      <c r="AB28" s="81"/>
      <c r="AC28" s="81"/>
      <c r="AD28" s="81"/>
      <c r="AE28" s="81"/>
      <c r="AF28" s="81"/>
      <c r="AG28" s="81"/>
      <c r="AH28" s="81"/>
      <c r="AI28" s="81"/>
    </row>
    <row r="29" spans="2:35" x14ac:dyDescent="0.25">
      <c r="B29" s="206"/>
      <c r="C29" s="207"/>
      <c r="D29" s="113">
        <v>1.73</v>
      </c>
      <c r="E29" s="109">
        <v>1567</v>
      </c>
      <c r="F29" s="109">
        <v>4.125</v>
      </c>
      <c r="G29" s="114">
        <v>0.99999999999997069</v>
      </c>
      <c r="H29" s="114">
        <v>1.0312696988214605</v>
      </c>
      <c r="I29" s="117">
        <f>C28*H29</f>
        <v>5.6204198585769598</v>
      </c>
      <c r="M29" s="84"/>
      <c r="N29" s="81"/>
      <c r="O29" s="81"/>
      <c r="P29" s="81"/>
      <c r="V29" s="81"/>
      <c r="W29" s="81"/>
      <c r="X29" s="81"/>
      <c r="Y29" s="81"/>
      <c r="Z29" s="81"/>
      <c r="AA29" s="81"/>
      <c r="AB29" s="81"/>
      <c r="AC29" s="81"/>
      <c r="AD29" s="81"/>
      <c r="AE29" s="81"/>
      <c r="AF29" s="81"/>
      <c r="AG29" s="81"/>
      <c r="AH29" s="81"/>
      <c r="AI29" s="81"/>
    </row>
    <row r="30" spans="2:35" x14ac:dyDescent="0.25">
      <c r="B30" s="206"/>
      <c r="C30" s="207">
        <v>6</v>
      </c>
      <c r="D30" s="113">
        <v>1.9052558883257658</v>
      </c>
      <c r="E30" s="109">
        <v>1505.1444868080202</v>
      </c>
      <c r="F30" s="109">
        <v>10.72</v>
      </c>
      <c r="G30" s="114">
        <v>0.99999999999999656</v>
      </c>
      <c r="H30" s="114">
        <v>1.0747244173422315</v>
      </c>
      <c r="I30" s="117">
        <f>C30*H30</f>
        <v>6.4483465040533883</v>
      </c>
      <c r="M30" s="84"/>
      <c r="N30" s="81"/>
      <c r="O30" s="81"/>
      <c r="P30" s="81"/>
      <c r="V30" s="81"/>
      <c r="W30" s="81"/>
      <c r="X30" s="81"/>
      <c r="Y30" s="81"/>
      <c r="Z30" s="81"/>
      <c r="AA30" s="81"/>
      <c r="AB30" s="81"/>
      <c r="AC30" s="81"/>
      <c r="AD30" s="81"/>
      <c r="AE30" s="81"/>
      <c r="AF30" s="81"/>
      <c r="AG30" s="81"/>
      <c r="AH30" s="81"/>
      <c r="AI30" s="81"/>
    </row>
    <row r="31" spans="2:35" x14ac:dyDescent="0.25">
      <c r="B31" s="206"/>
      <c r="C31" s="207"/>
      <c r="D31" s="113">
        <v>1.9052558883257678</v>
      </c>
      <c r="E31" s="109">
        <v>1505.1444868079921</v>
      </c>
      <c r="F31" s="109">
        <v>4.125</v>
      </c>
      <c r="G31" s="114">
        <v>1.0000000000000016</v>
      </c>
      <c r="H31" s="114">
        <v>1.0286099689099824</v>
      </c>
      <c r="I31" s="117">
        <f>C30*H31</f>
        <v>6.1716598134598941</v>
      </c>
      <c r="M31" s="84"/>
      <c r="N31" s="81"/>
      <c r="O31" s="81"/>
      <c r="P31" s="81"/>
      <c r="V31" s="81"/>
      <c r="W31" s="81"/>
      <c r="X31" s="81"/>
      <c r="Y31" s="81"/>
      <c r="Z31" s="81"/>
      <c r="AA31" s="81"/>
      <c r="AB31" s="81"/>
      <c r="AC31" s="81"/>
      <c r="AD31" s="81"/>
      <c r="AE31" s="81"/>
      <c r="AF31" s="81"/>
      <c r="AG31" s="81"/>
      <c r="AH31" s="81"/>
      <c r="AI31" s="81"/>
    </row>
    <row r="32" spans="2:35" x14ac:dyDescent="0.25">
      <c r="B32" s="206"/>
      <c r="C32" s="207">
        <v>4.8</v>
      </c>
      <c r="D32" s="113">
        <v>1.5242047106606096</v>
      </c>
      <c r="E32" s="109">
        <v>1204.115589446423</v>
      </c>
      <c r="F32" s="109">
        <v>10.72</v>
      </c>
      <c r="G32" s="114">
        <v>0.99999999999999656</v>
      </c>
      <c r="H32" s="114">
        <v>1.092205705730551</v>
      </c>
      <c r="I32" s="117">
        <f>C32*H32</f>
        <v>5.2425873875066449</v>
      </c>
      <c r="M32" s="84"/>
      <c r="N32" s="81"/>
      <c r="O32" s="81"/>
      <c r="P32" s="81"/>
      <c r="V32" s="81"/>
      <c r="W32" s="81"/>
      <c r="X32" s="81"/>
      <c r="Y32" s="81"/>
      <c r="Z32" s="81"/>
      <c r="AA32" s="81"/>
      <c r="AB32" s="81"/>
      <c r="AC32" s="81"/>
      <c r="AD32" s="81"/>
      <c r="AE32" s="81"/>
      <c r="AF32" s="81"/>
      <c r="AG32" s="81"/>
      <c r="AH32" s="81"/>
      <c r="AI32" s="81"/>
    </row>
    <row r="33" spans="2:35" ht="15.75" thickBot="1" x14ac:dyDescent="0.3">
      <c r="B33" s="213"/>
      <c r="C33" s="208"/>
      <c r="D33" s="115">
        <v>1.5242047106606111</v>
      </c>
      <c r="E33" s="110">
        <v>1204.1155894464339</v>
      </c>
      <c r="F33" s="110">
        <v>4.125</v>
      </c>
      <c r="G33" s="116">
        <v>1.0000000000000016</v>
      </c>
      <c r="H33" s="116">
        <v>1.0355423241572552</v>
      </c>
      <c r="I33" s="118">
        <f>C32*H33</f>
        <v>4.9706031559548247</v>
      </c>
      <c r="M33" s="84"/>
      <c r="N33" s="81"/>
      <c r="O33" s="81"/>
      <c r="P33" s="81"/>
      <c r="V33" s="81"/>
      <c r="W33" s="81"/>
      <c r="X33" s="81"/>
      <c r="Y33" s="81"/>
      <c r="Z33" s="81"/>
      <c r="AA33" s="81"/>
      <c r="AB33" s="81"/>
      <c r="AC33" s="81"/>
      <c r="AD33" s="81"/>
      <c r="AE33" s="81"/>
      <c r="AF33" s="81"/>
      <c r="AG33" s="81"/>
      <c r="AH33" s="81"/>
      <c r="AI33" s="81"/>
    </row>
    <row r="34" spans="2:35" x14ac:dyDescent="0.25">
      <c r="B34" s="214">
        <v>200</v>
      </c>
      <c r="C34" s="210">
        <v>5.45</v>
      </c>
      <c r="D34" s="122">
        <v>1.9154980110914077</v>
      </c>
      <c r="E34" s="123">
        <v>1513.2357225881028</v>
      </c>
      <c r="F34" s="123">
        <v>10.72</v>
      </c>
      <c r="G34" s="124">
        <v>1.0145993507668021</v>
      </c>
      <c r="H34" s="124">
        <v>0.99999999999999989</v>
      </c>
      <c r="I34" s="125">
        <f>C34*H34</f>
        <v>5.4499999999999993</v>
      </c>
      <c r="M34" s="84"/>
      <c r="N34" s="81"/>
      <c r="O34" s="81"/>
      <c r="P34" s="81"/>
      <c r="V34" s="81"/>
      <c r="W34" s="81"/>
      <c r="X34" s="81"/>
      <c r="Y34" s="81"/>
      <c r="Z34" s="81"/>
      <c r="AA34" s="81"/>
      <c r="AB34" s="81"/>
      <c r="AC34" s="81"/>
      <c r="AD34" s="81"/>
      <c r="AE34" s="81"/>
      <c r="AF34" s="81"/>
      <c r="AG34" s="81"/>
      <c r="AH34" s="81"/>
      <c r="AI34" s="81"/>
    </row>
    <row r="35" spans="2:35" x14ac:dyDescent="0.25">
      <c r="B35" s="206"/>
      <c r="C35" s="207"/>
      <c r="D35" s="113">
        <v>1.8981677649397777</v>
      </c>
      <c r="E35" s="109">
        <v>1499.5448978490317</v>
      </c>
      <c r="F35" s="109">
        <v>4.125</v>
      </c>
      <c r="G35" s="114">
        <v>1.0054198807844474</v>
      </c>
      <c r="H35" s="114">
        <v>0.99999999999999989</v>
      </c>
      <c r="I35" s="117">
        <f>C34*H35</f>
        <v>5.4499999999999993</v>
      </c>
      <c r="M35" s="84"/>
      <c r="N35" s="81"/>
      <c r="O35" s="81"/>
      <c r="P35" s="81"/>
      <c r="V35" s="81"/>
      <c r="W35" s="81"/>
      <c r="X35" s="81"/>
      <c r="Y35" s="81"/>
      <c r="Z35" s="81"/>
      <c r="AA35" s="81"/>
      <c r="AB35" s="81"/>
      <c r="AC35" s="81"/>
      <c r="AD35" s="81"/>
      <c r="AE35" s="81"/>
      <c r="AF35" s="81"/>
      <c r="AG35" s="81"/>
      <c r="AH35" s="81"/>
      <c r="AI35" s="81"/>
    </row>
    <row r="36" spans="2:35" x14ac:dyDescent="0.25">
      <c r="B36" s="206"/>
      <c r="C36" s="207">
        <v>6</v>
      </c>
      <c r="D36" s="113">
        <v>2.1115769121371346</v>
      </c>
      <c r="E36" s="109">
        <v>1668.13545041214</v>
      </c>
      <c r="F36" s="109">
        <v>10.72</v>
      </c>
      <c r="G36" s="114">
        <v>0.99999999999999656</v>
      </c>
      <c r="H36" s="114">
        <v>1.0802388801212639</v>
      </c>
      <c r="I36" s="117">
        <f>C36*H36</f>
        <v>6.4814332807275834</v>
      </c>
      <c r="M36" s="84"/>
      <c r="N36" s="81"/>
      <c r="O36" s="81"/>
      <c r="P36" s="81"/>
      <c r="V36" s="81"/>
      <c r="W36" s="81"/>
      <c r="X36" s="81"/>
      <c r="Y36" s="81"/>
      <c r="Z36" s="81"/>
      <c r="AA36" s="81"/>
      <c r="AB36" s="81"/>
      <c r="AC36" s="81"/>
      <c r="AD36" s="81"/>
      <c r="AE36" s="81"/>
      <c r="AF36" s="81"/>
      <c r="AG36" s="81"/>
      <c r="AH36" s="81"/>
      <c r="AI36" s="81"/>
    </row>
    <row r="37" spans="2:35" x14ac:dyDescent="0.25">
      <c r="B37" s="206"/>
      <c r="C37" s="207"/>
      <c r="D37" s="113">
        <v>2.0908214771356883</v>
      </c>
      <c r="E37" s="109">
        <v>1651.7389570937614</v>
      </c>
      <c r="F37" s="109">
        <v>4.125</v>
      </c>
      <c r="G37" s="114">
        <v>1.0000000000000016</v>
      </c>
      <c r="H37" s="114">
        <v>1.0309829984511443</v>
      </c>
      <c r="I37" s="117">
        <f>C36*H37</f>
        <v>6.1858979907068656</v>
      </c>
      <c r="M37" s="84"/>
      <c r="N37" s="81"/>
      <c r="O37" s="81"/>
      <c r="P37" s="81"/>
      <c r="V37" s="81"/>
      <c r="W37" s="81"/>
      <c r="X37" s="81"/>
      <c r="Y37" s="81"/>
      <c r="Z37" s="81"/>
      <c r="AA37" s="81"/>
      <c r="AB37" s="81"/>
      <c r="AC37" s="81"/>
      <c r="AD37" s="81"/>
      <c r="AE37" s="81"/>
      <c r="AF37" s="81"/>
      <c r="AG37" s="81"/>
      <c r="AH37" s="81"/>
      <c r="AI37" s="81"/>
    </row>
    <row r="38" spans="2:35" x14ac:dyDescent="0.25">
      <c r="B38" s="206"/>
      <c r="C38" s="207">
        <v>4.8</v>
      </c>
      <c r="D38" s="113">
        <v>1.6627687752661051</v>
      </c>
      <c r="E38" s="109">
        <v>1330.6832571517157</v>
      </c>
      <c r="F38" s="109">
        <v>10.72</v>
      </c>
      <c r="G38" s="114">
        <v>0.99999999999999656</v>
      </c>
      <c r="H38" s="114">
        <v>1.1007682215188654</v>
      </c>
      <c r="I38" s="117">
        <f>C38*H38</f>
        <v>5.2836874632905539</v>
      </c>
      <c r="M38" s="84"/>
      <c r="N38" s="81"/>
      <c r="O38" s="81"/>
      <c r="P38" s="81"/>
      <c r="V38" s="81"/>
      <c r="W38" s="81"/>
      <c r="X38" s="81"/>
      <c r="Y38" s="81"/>
      <c r="Z38" s="81"/>
      <c r="AA38" s="81"/>
      <c r="AB38" s="81"/>
      <c r="AC38" s="81"/>
      <c r="AD38" s="81"/>
      <c r="AE38" s="81"/>
      <c r="AF38" s="81"/>
      <c r="AG38" s="81"/>
      <c r="AH38" s="81"/>
      <c r="AI38" s="81"/>
    </row>
    <row r="39" spans="2:35" ht="15.75" thickBot="1" x14ac:dyDescent="0.3">
      <c r="B39" s="213"/>
      <c r="C39" s="208"/>
      <c r="D39" s="115">
        <v>1.662768775266166</v>
      </c>
      <c r="E39" s="110">
        <v>1319.8824819404094</v>
      </c>
      <c r="F39" s="110">
        <v>4.125</v>
      </c>
      <c r="G39" s="116">
        <v>1.0000000000000016</v>
      </c>
      <c r="H39" s="116">
        <v>1.0388015595846942</v>
      </c>
      <c r="I39" s="118">
        <f>C38*H39</f>
        <v>4.9862474860065324</v>
      </c>
      <c r="M39" s="84"/>
      <c r="N39" s="81"/>
      <c r="O39" s="81"/>
      <c r="P39" s="81"/>
      <c r="V39" s="81"/>
      <c r="W39" s="81"/>
      <c r="X39" s="81"/>
      <c r="Y39" s="81"/>
      <c r="Z39" s="81"/>
      <c r="AA39" s="81"/>
      <c r="AB39" s="81"/>
      <c r="AC39" s="81"/>
      <c r="AD39" s="81"/>
      <c r="AE39" s="81"/>
      <c r="AF39" s="81"/>
      <c r="AG39" s="81"/>
      <c r="AH39" s="81"/>
      <c r="AI39" s="81"/>
    </row>
    <row r="40" spans="2:35" x14ac:dyDescent="0.25">
      <c r="B40" s="215">
        <v>325</v>
      </c>
      <c r="C40" s="211">
        <v>5.45</v>
      </c>
      <c r="D40" s="119">
        <v>2.1295788562356344</v>
      </c>
      <c r="E40" s="108">
        <v>1682.3587289907634</v>
      </c>
      <c r="F40" s="108">
        <v>10.72</v>
      </c>
      <c r="G40" s="120">
        <v>0.6943635026208097</v>
      </c>
      <c r="H40" s="120">
        <v>1.1000960213591073</v>
      </c>
      <c r="I40" s="121">
        <f>C40*G40</f>
        <v>3.7842810892834131</v>
      </c>
      <c r="M40" s="84"/>
      <c r="N40" s="81"/>
      <c r="O40" s="81"/>
      <c r="P40" s="81"/>
      <c r="V40" s="81"/>
      <c r="W40" s="81"/>
      <c r="X40" s="81"/>
      <c r="Y40" s="81"/>
      <c r="Z40" s="81"/>
      <c r="AA40" s="81"/>
      <c r="AB40" s="81"/>
      <c r="AC40" s="81"/>
      <c r="AD40" s="81"/>
      <c r="AE40" s="81"/>
      <c r="AF40" s="81"/>
      <c r="AG40" s="81"/>
      <c r="AH40" s="81"/>
      <c r="AI40" s="81"/>
    </row>
    <row r="41" spans="2:35" x14ac:dyDescent="0.25">
      <c r="B41" s="206"/>
      <c r="C41" s="207"/>
      <c r="D41" s="113">
        <v>3.0669510252162477</v>
      </c>
      <c r="E41" s="109">
        <v>2422.8789713757433</v>
      </c>
      <c r="F41" s="109">
        <v>4.125</v>
      </c>
      <c r="G41" s="114">
        <v>0.99999999999999944</v>
      </c>
      <c r="H41" s="114">
        <v>1.0556820399888478</v>
      </c>
      <c r="I41" s="117">
        <f>C40*G41</f>
        <v>5.4499999999999975</v>
      </c>
      <c r="M41" s="84"/>
      <c r="N41" s="81"/>
      <c r="O41" s="81"/>
      <c r="P41" s="81"/>
      <c r="V41" s="81"/>
      <c r="W41" s="81"/>
      <c r="X41" s="81"/>
      <c r="Y41" s="81"/>
      <c r="Z41" s="81"/>
      <c r="AA41" s="81"/>
      <c r="AB41" s="81"/>
      <c r="AC41" s="81"/>
      <c r="AD41" s="81"/>
      <c r="AE41" s="81"/>
      <c r="AF41" s="81"/>
      <c r="AG41" s="81"/>
      <c r="AH41" s="81"/>
      <c r="AI41" s="81"/>
    </row>
    <row r="42" spans="2:35" x14ac:dyDescent="0.25">
      <c r="B42" s="206"/>
      <c r="C42" s="207">
        <v>6</v>
      </c>
      <c r="D42" s="113">
        <v>2.5796719135730872</v>
      </c>
      <c r="E42" s="109">
        <v>2694.8915124593213</v>
      </c>
      <c r="F42" s="109">
        <v>10.72</v>
      </c>
      <c r="G42" s="114">
        <v>0.76403037764269555</v>
      </c>
      <c r="H42" s="114">
        <v>1.1000398874571342</v>
      </c>
      <c r="I42" s="117">
        <f>C42*H42</f>
        <v>6.6002393247428053</v>
      </c>
      <c r="M42" s="84"/>
      <c r="N42" s="81"/>
      <c r="O42" s="81"/>
      <c r="P42" s="81"/>
      <c r="V42" s="81"/>
      <c r="W42" s="81"/>
      <c r="X42" s="81"/>
      <c r="Y42" s="81"/>
      <c r="Z42" s="81"/>
      <c r="AA42" s="81"/>
      <c r="AB42" s="81"/>
      <c r="AC42" s="81"/>
      <c r="AD42" s="81"/>
      <c r="AE42" s="81"/>
      <c r="AF42" s="81"/>
      <c r="AG42" s="81"/>
      <c r="AH42" s="81"/>
      <c r="AI42" s="81"/>
    </row>
    <row r="43" spans="2:35" x14ac:dyDescent="0.25">
      <c r="B43" s="206"/>
      <c r="C43" s="207"/>
      <c r="D43" s="113">
        <v>3.3764598442747515</v>
      </c>
      <c r="E43" s="109">
        <v>2677.3515799434945</v>
      </c>
      <c r="F43" s="109">
        <v>4.125</v>
      </c>
      <c r="G43" s="114">
        <v>1.0000000000000011</v>
      </c>
      <c r="H43" s="114">
        <v>1.0505365529371218</v>
      </c>
      <c r="I43" s="117">
        <f>C42*H43</f>
        <v>6.3032193176227302</v>
      </c>
      <c r="M43" s="84"/>
      <c r="N43" s="81"/>
      <c r="O43" s="81"/>
      <c r="P43" s="81"/>
      <c r="V43" s="81"/>
      <c r="W43" s="81"/>
      <c r="X43" s="81"/>
      <c r="Y43" s="81"/>
      <c r="Z43" s="81"/>
      <c r="AA43" s="81"/>
      <c r="AB43" s="81"/>
      <c r="AC43" s="81"/>
      <c r="AD43" s="81"/>
      <c r="AE43" s="81"/>
      <c r="AF43" s="81"/>
      <c r="AG43" s="81"/>
      <c r="AH43" s="81"/>
      <c r="AI43" s="81"/>
    </row>
    <row r="44" spans="2:35" x14ac:dyDescent="0.25">
      <c r="B44" s="206"/>
      <c r="C44" s="207">
        <v>4.8</v>
      </c>
      <c r="D44" s="113">
        <v>1.6507492392695329</v>
      </c>
      <c r="E44" s="109">
        <v>2152.0223083784285</v>
      </c>
      <c r="F44" s="109">
        <v>10.72</v>
      </c>
      <c r="G44" s="114">
        <v>0.61112426750335647</v>
      </c>
      <c r="H44" s="114">
        <v>1.1000249994979483</v>
      </c>
      <c r="I44" s="117">
        <f>C44*H44</f>
        <v>5.2801199975901518</v>
      </c>
      <c r="M44" s="84"/>
      <c r="N44" s="81"/>
      <c r="O44" s="81"/>
      <c r="P44" s="81"/>
      <c r="V44" s="81"/>
      <c r="W44" s="81"/>
      <c r="X44" s="81"/>
      <c r="Y44" s="81"/>
      <c r="Z44" s="81"/>
      <c r="AA44" s="81"/>
      <c r="AB44" s="81"/>
      <c r="AC44" s="81"/>
      <c r="AD44" s="81"/>
      <c r="AE44" s="81"/>
      <c r="AF44" s="81"/>
      <c r="AG44" s="81"/>
      <c r="AH44" s="81"/>
      <c r="AI44" s="81"/>
    </row>
    <row r="45" spans="2:35" ht="15.75" thickBot="1" x14ac:dyDescent="0.3">
      <c r="B45" s="213"/>
      <c r="C45" s="208"/>
      <c r="D45" s="115">
        <v>2.7011678754198196</v>
      </c>
      <c r="E45" s="110">
        <v>2140.3626996343737</v>
      </c>
      <c r="F45" s="110">
        <v>4.125</v>
      </c>
      <c r="G45" s="116">
        <v>1.0000000000000011</v>
      </c>
      <c r="H45" s="116">
        <v>1.0632924717083354</v>
      </c>
      <c r="I45" s="118">
        <f>C44*H45</f>
        <v>5.1038038642000094</v>
      </c>
      <c r="M45" s="84"/>
      <c r="N45" s="81"/>
      <c r="O45" s="81"/>
      <c r="P45" s="81"/>
      <c r="V45" s="81"/>
      <c r="W45" s="81"/>
      <c r="X45" s="81"/>
      <c r="Y45" s="81"/>
      <c r="Z45" s="81"/>
      <c r="AA45" s="81"/>
      <c r="AB45" s="81"/>
      <c r="AC45" s="81"/>
      <c r="AD45" s="81"/>
      <c r="AE45" s="81"/>
      <c r="AF45" s="81"/>
      <c r="AG45" s="81"/>
      <c r="AH45" s="81"/>
      <c r="AI45" s="81"/>
    </row>
    <row r="46" spans="2:35" x14ac:dyDescent="0.25">
      <c r="M46" s="84"/>
      <c r="N46" s="81"/>
      <c r="O46" s="81"/>
      <c r="P46" s="81"/>
      <c r="V46" s="81"/>
      <c r="W46" s="81"/>
      <c r="X46" s="81"/>
      <c r="Y46" s="81"/>
      <c r="Z46" s="81"/>
      <c r="AA46" s="81"/>
      <c r="AB46" s="81"/>
      <c r="AC46" s="81"/>
      <c r="AD46" s="81"/>
      <c r="AE46" s="81"/>
      <c r="AF46" s="81"/>
      <c r="AG46" s="81"/>
      <c r="AH46" s="81"/>
      <c r="AI46" s="81"/>
    </row>
    <row r="47" spans="2:35" x14ac:dyDescent="0.25">
      <c r="M47" s="84"/>
      <c r="N47" s="81"/>
      <c r="O47" s="81"/>
      <c r="P47" s="81"/>
      <c r="V47" s="81"/>
      <c r="W47" s="81"/>
      <c r="X47" s="81"/>
      <c r="Y47" s="81"/>
      <c r="Z47" s="81"/>
      <c r="AA47" s="81"/>
      <c r="AB47" s="81"/>
      <c r="AC47" s="81"/>
      <c r="AD47" s="81"/>
      <c r="AE47" s="81"/>
      <c r="AF47" s="81"/>
      <c r="AG47" s="81"/>
      <c r="AH47" s="81"/>
      <c r="AI47" s="81"/>
    </row>
    <row r="48" spans="2:35" x14ac:dyDescent="0.25">
      <c r="M48" s="84"/>
      <c r="N48" s="81"/>
      <c r="O48" s="81"/>
      <c r="P48" s="81"/>
      <c r="V48" s="81"/>
      <c r="W48" s="81"/>
      <c r="X48" s="81"/>
      <c r="Y48" s="81"/>
      <c r="Z48" s="81"/>
      <c r="AA48" s="81"/>
      <c r="AB48" s="81"/>
      <c r="AC48" s="81"/>
      <c r="AD48" s="81"/>
      <c r="AE48" s="81"/>
      <c r="AF48" s="81"/>
      <c r="AG48" s="81"/>
      <c r="AH48" s="81"/>
      <c r="AI48" s="81"/>
    </row>
    <row r="49" spans="2:35" x14ac:dyDescent="0.25">
      <c r="M49" s="84"/>
      <c r="N49" s="81"/>
      <c r="O49" s="81"/>
      <c r="P49" s="81"/>
      <c r="V49" s="81"/>
      <c r="W49" s="81"/>
      <c r="X49" s="81"/>
      <c r="Y49" s="81"/>
      <c r="Z49" s="81"/>
      <c r="AA49" s="81"/>
      <c r="AB49" s="81"/>
      <c r="AC49" s="81"/>
      <c r="AD49" s="81"/>
      <c r="AE49" s="81"/>
      <c r="AF49" s="81"/>
      <c r="AG49" s="81"/>
      <c r="AH49" s="81"/>
      <c r="AI49" s="81"/>
    </row>
    <row r="50" spans="2:35" ht="15.75" thickBot="1" x14ac:dyDescent="0.3">
      <c r="M50" s="84"/>
      <c r="N50" s="81"/>
      <c r="O50" s="81"/>
      <c r="P50" s="81"/>
      <c r="V50" s="81"/>
      <c r="W50" s="81"/>
      <c r="X50" s="81"/>
      <c r="Y50" s="81"/>
      <c r="Z50" s="81"/>
      <c r="AA50" s="81"/>
      <c r="AB50" s="81"/>
      <c r="AC50" s="81"/>
      <c r="AD50" s="81"/>
      <c r="AE50" s="81"/>
      <c r="AF50" s="81"/>
      <c r="AG50" s="81"/>
      <c r="AH50" s="81"/>
      <c r="AI50" s="81"/>
    </row>
    <row r="51" spans="2:35" ht="15.75" thickBot="1" x14ac:dyDescent="0.3">
      <c r="B51" s="130" t="s">
        <v>131</v>
      </c>
      <c r="C51" s="131" t="s">
        <v>132</v>
      </c>
      <c r="D51" s="131" t="s">
        <v>129</v>
      </c>
      <c r="E51" s="131" t="s">
        <v>134</v>
      </c>
      <c r="F51" s="131" t="s">
        <v>2</v>
      </c>
      <c r="G51" s="131" t="s">
        <v>130</v>
      </c>
      <c r="H51" s="131" t="s">
        <v>135</v>
      </c>
      <c r="I51" s="132" t="s">
        <v>136</v>
      </c>
      <c r="M51" s="84"/>
      <c r="N51" s="81"/>
      <c r="O51" s="81"/>
      <c r="P51" s="81"/>
      <c r="V51" s="81"/>
      <c r="W51" s="81"/>
      <c r="X51" s="81"/>
      <c r="Y51" s="81"/>
      <c r="Z51" s="81"/>
      <c r="AA51" s="81"/>
      <c r="AB51" s="81"/>
      <c r="AC51" s="81"/>
      <c r="AD51" s="81"/>
      <c r="AE51" s="81"/>
      <c r="AF51" s="81"/>
      <c r="AG51" s="81"/>
      <c r="AH51" s="81"/>
      <c r="AI51" s="81"/>
    </row>
    <row r="52" spans="2:35" ht="15.75" thickTop="1" x14ac:dyDescent="0.25">
      <c r="B52" s="206">
        <v>183</v>
      </c>
      <c r="C52" s="207">
        <v>6</v>
      </c>
      <c r="D52" s="113">
        <v>1.9052558883257658</v>
      </c>
      <c r="E52" s="109">
        <v>1505.1444868080202</v>
      </c>
      <c r="F52" s="109">
        <v>10.72</v>
      </c>
      <c r="G52" s="114">
        <v>0.99999999999999656</v>
      </c>
      <c r="H52" s="114">
        <v>1.0747244173422315</v>
      </c>
      <c r="I52" s="117">
        <f>C52*H52</f>
        <v>6.4483465040533883</v>
      </c>
      <c r="M52" s="84"/>
      <c r="N52" s="81"/>
      <c r="O52" s="81"/>
      <c r="P52" s="81"/>
      <c r="V52" s="81"/>
      <c r="W52" s="81"/>
      <c r="X52" s="81"/>
      <c r="Y52" s="81"/>
      <c r="Z52" s="81"/>
      <c r="AA52" s="81"/>
      <c r="AB52" s="81"/>
      <c r="AC52" s="81"/>
      <c r="AD52" s="81"/>
      <c r="AE52" s="81"/>
      <c r="AF52" s="81"/>
      <c r="AG52" s="81"/>
      <c r="AH52" s="81"/>
      <c r="AI52" s="81"/>
    </row>
    <row r="53" spans="2:35" x14ac:dyDescent="0.25">
      <c r="B53" s="206"/>
      <c r="C53" s="207"/>
      <c r="D53" s="113">
        <v>1.9052558883257678</v>
      </c>
      <c r="E53" s="109">
        <v>1505.1444868079921</v>
      </c>
      <c r="F53" s="109">
        <v>4.125</v>
      </c>
      <c r="G53" s="114">
        <v>1.0000000000000016</v>
      </c>
      <c r="H53" s="114">
        <v>1.0286099689099824</v>
      </c>
      <c r="I53" s="117">
        <f>C52*H53</f>
        <v>6.1716598134598941</v>
      </c>
      <c r="M53" s="84"/>
      <c r="N53" s="81"/>
      <c r="O53" s="81"/>
      <c r="P53" s="81"/>
      <c r="V53" s="81"/>
      <c r="W53" s="81"/>
      <c r="X53" s="81"/>
      <c r="Y53" s="81"/>
      <c r="Z53" s="81"/>
      <c r="AA53" s="81"/>
      <c r="AB53" s="81"/>
      <c r="AC53" s="81"/>
      <c r="AD53" s="81"/>
      <c r="AE53" s="81"/>
      <c r="AF53" s="81"/>
      <c r="AG53" s="81"/>
      <c r="AH53" s="81"/>
      <c r="AI53" s="81"/>
    </row>
    <row r="54" spans="2:35" x14ac:dyDescent="0.25">
      <c r="B54" s="206">
        <v>200</v>
      </c>
      <c r="C54" s="207">
        <v>6</v>
      </c>
      <c r="D54" s="113">
        <v>2.1115769121371346</v>
      </c>
      <c r="E54" s="109">
        <v>1668.13545041214</v>
      </c>
      <c r="F54" s="109">
        <v>10.72</v>
      </c>
      <c r="G54" s="114">
        <v>0.99999999999999656</v>
      </c>
      <c r="H54" s="114">
        <v>1.0802388801212639</v>
      </c>
      <c r="I54" s="117">
        <f>C54*H54</f>
        <v>6.4814332807275834</v>
      </c>
      <c r="M54" s="84"/>
      <c r="N54" s="81"/>
      <c r="O54" s="81"/>
      <c r="P54" s="81"/>
      <c r="V54" s="81"/>
      <c r="W54" s="81"/>
      <c r="X54" s="81"/>
      <c r="Y54" s="81"/>
      <c r="Z54" s="81"/>
      <c r="AA54" s="81"/>
      <c r="AB54" s="81"/>
      <c r="AC54" s="81"/>
      <c r="AD54" s="81"/>
      <c r="AE54" s="81"/>
      <c r="AF54" s="81"/>
      <c r="AG54" s="81"/>
      <c r="AH54" s="81"/>
      <c r="AI54" s="81"/>
    </row>
    <row r="55" spans="2:35" x14ac:dyDescent="0.25">
      <c r="B55" s="206"/>
      <c r="C55" s="207"/>
      <c r="D55" s="113">
        <v>2.0908214771356883</v>
      </c>
      <c r="E55" s="109">
        <v>1651.7389570937614</v>
      </c>
      <c r="F55" s="109">
        <v>4.125</v>
      </c>
      <c r="G55" s="114">
        <v>1.0000000000000016</v>
      </c>
      <c r="H55" s="114">
        <v>1.0309829984511443</v>
      </c>
      <c r="I55" s="117">
        <f>C54*H55</f>
        <v>6.1858979907068656</v>
      </c>
      <c r="M55" s="84"/>
      <c r="N55" s="81"/>
      <c r="O55" s="81"/>
      <c r="P55" s="81"/>
      <c r="V55" s="81"/>
      <c r="W55" s="81"/>
      <c r="X55" s="81"/>
      <c r="Y55" s="81"/>
      <c r="Z55" s="81"/>
      <c r="AA55" s="81"/>
      <c r="AB55" s="81"/>
      <c r="AC55" s="81"/>
      <c r="AD55" s="81"/>
      <c r="AE55" s="81"/>
      <c r="AF55" s="81"/>
      <c r="AG55" s="81"/>
      <c r="AH55" s="81"/>
      <c r="AI55" s="81"/>
    </row>
    <row r="56" spans="2:35" x14ac:dyDescent="0.25">
      <c r="B56" s="206">
        <v>325</v>
      </c>
      <c r="C56" s="207">
        <v>6</v>
      </c>
      <c r="D56" s="113">
        <v>2.5796719135730872</v>
      </c>
      <c r="E56" s="109">
        <v>2694.8915124593213</v>
      </c>
      <c r="F56" s="109">
        <v>10.72</v>
      </c>
      <c r="G56" s="114">
        <v>0.76403037764269555</v>
      </c>
      <c r="H56" s="114">
        <v>1.1000398874571342</v>
      </c>
      <c r="I56" s="117">
        <f>C56*H56</f>
        <v>6.6002393247428053</v>
      </c>
      <c r="M56" s="84"/>
      <c r="N56" s="81"/>
      <c r="O56" s="81"/>
      <c r="P56" s="81"/>
      <c r="V56" s="81"/>
      <c r="W56" s="81"/>
      <c r="X56" s="81"/>
      <c r="Y56" s="81"/>
      <c r="Z56" s="81"/>
      <c r="AA56" s="81"/>
      <c r="AB56" s="81"/>
      <c r="AC56" s="81"/>
      <c r="AD56" s="81"/>
      <c r="AE56" s="81"/>
      <c r="AF56" s="81"/>
      <c r="AG56" s="81"/>
      <c r="AH56" s="81"/>
      <c r="AI56" s="81"/>
    </row>
    <row r="57" spans="2:35" x14ac:dyDescent="0.25">
      <c r="B57" s="206"/>
      <c r="C57" s="207"/>
      <c r="D57" s="113">
        <v>3.3764598442747515</v>
      </c>
      <c r="E57" s="109">
        <v>2677.3515799434945</v>
      </c>
      <c r="F57" s="109">
        <v>4.125</v>
      </c>
      <c r="G57" s="114">
        <v>1.0000000000000011</v>
      </c>
      <c r="H57" s="114">
        <v>1.0505365529371218</v>
      </c>
      <c r="I57" s="117">
        <f>C56*H57</f>
        <v>6.3032193176227302</v>
      </c>
      <c r="M57" s="84"/>
      <c r="N57" s="81"/>
      <c r="O57" s="81"/>
      <c r="P57" s="81"/>
      <c r="V57" s="81"/>
      <c r="W57" s="81"/>
      <c r="X57" s="81"/>
      <c r="Y57" s="81"/>
      <c r="Z57" s="81"/>
      <c r="AA57" s="81"/>
      <c r="AB57" s="81"/>
      <c r="AC57" s="81"/>
      <c r="AD57" s="81"/>
      <c r="AE57" s="81"/>
      <c r="AF57" s="81"/>
      <c r="AG57" s="81"/>
      <c r="AH57" s="81"/>
      <c r="AI57" s="81"/>
    </row>
    <row r="58" spans="2:35" x14ac:dyDescent="0.25">
      <c r="M58" s="84"/>
      <c r="N58" s="81"/>
      <c r="O58" s="81"/>
      <c r="P58" s="81"/>
      <c r="V58" s="81"/>
      <c r="W58" s="81"/>
      <c r="X58" s="81"/>
      <c r="Y58" s="81"/>
      <c r="Z58" s="81"/>
      <c r="AA58" s="81"/>
      <c r="AB58" s="81"/>
      <c r="AC58" s="81"/>
      <c r="AD58" s="81"/>
      <c r="AE58" s="81"/>
      <c r="AF58" s="81"/>
      <c r="AG58" s="81"/>
      <c r="AH58" s="81"/>
      <c r="AI58" s="81"/>
    </row>
    <row r="59" spans="2:35" ht="15.75" thickBot="1" x14ac:dyDescent="0.3">
      <c r="M59" s="84"/>
      <c r="N59" s="81"/>
      <c r="O59" s="81"/>
      <c r="P59" s="81"/>
      <c r="V59" s="81"/>
      <c r="W59" s="81"/>
      <c r="X59" s="81"/>
      <c r="Y59" s="81"/>
      <c r="Z59" s="81"/>
      <c r="AA59" s="81"/>
      <c r="AB59" s="81"/>
      <c r="AC59" s="81"/>
      <c r="AD59" s="81"/>
      <c r="AE59" s="81"/>
      <c r="AF59" s="81"/>
      <c r="AG59" s="81"/>
      <c r="AH59" s="81"/>
      <c r="AI59" s="81"/>
    </row>
    <row r="60" spans="2:35" ht="15.75" thickBot="1" x14ac:dyDescent="0.3">
      <c r="B60" s="130" t="s">
        <v>131</v>
      </c>
      <c r="C60" s="131" t="s">
        <v>132</v>
      </c>
      <c r="D60" s="131" t="s">
        <v>129</v>
      </c>
      <c r="E60" s="131" t="s">
        <v>134</v>
      </c>
      <c r="F60" s="131" t="s">
        <v>2</v>
      </c>
      <c r="G60" s="131" t="s">
        <v>130</v>
      </c>
      <c r="H60" s="131" t="s">
        <v>135</v>
      </c>
      <c r="I60" s="132" t="s">
        <v>136</v>
      </c>
      <c r="M60" s="84"/>
      <c r="N60" s="81"/>
      <c r="O60" s="81"/>
      <c r="P60" s="81"/>
      <c r="V60" s="81"/>
      <c r="W60" s="81"/>
      <c r="X60" s="81"/>
      <c r="Y60" s="81"/>
      <c r="Z60" s="81"/>
      <c r="AA60" s="81"/>
      <c r="AB60" s="81"/>
      <c r="AC60" s="81"/>
      <c r="AD60" s="81"/>
      <c r="AE60" s="81"/>
      <c r="AF60" s="81"/>
      <c r="AG60" s="81"/>
      <c r="AH60" s="81"/>
      <c r="AI60" s="81"/>
    </row>
    <row r="61" spans="2:35" ht="15.75" thickTop="1" x14ac:dyDescent="0.25">
      <c r="B61" s="111">
        <v>183</v>
      </c>
      <c r="C61" s="112">
        <v>6.15</v>
      </c>
      <c r="D61" s="113">
        <v>1.94</v>
      </c>
      <c r="E61" s="109">
        <v>1543</v>
      </c>
      <c r="F61" s="109">
        <v>10.72</v>
      </c>
      <c r="G61" s="114">
        <v>0.99999999999999656</v>
      </c>
      <c r="H61" s="114">
        <v>1.0747244173422315</v>
      </c>
      <c r="I61" s="117">
        <v>6.6</v>
      </c>
      <c r="M61" s="84"/>
      <c r="N61" s="81"/>
      <c r="O61" s="81"/>
      <c r="P61" s="81"/>
      <c r="V61" s="81"/>
      <c r="W61" s="81"/>
      <c r="X61" s="81"/>
      <c r="Y61" s="81"/>
      <c r="Z61" s="81"/>
      <c r="AA61" s="81"/>
      <c r="AB61" s="81"/>
      <c r="AC61" s="81"/>
      <c r="AD61" s="81"/>
      <c r="AE61" s="81"/>
      <c r="AF61" s="81"/>
      <c r="AG61" s="81"/>
      <c r="AH61" s="81"/>
      <c r="AI61" s="81"/>
    </row>
    <row r="62" spans="2:35" x14ac:dyDescent="0.25">
      <c r="B62" s="111">
        <v>183</v>
      </c>
      <c r="C62" s="112">
        <v>6.4</v>
      </c>
      <c r="D62" s="113">
        <v>2.0299999999999998</v>
      </c>
      <c r="E62" s="109">
        <v>1603</v>
      </c>
      <c r="F62" s="109">
        <v>4.125</v>
      </c>
      <c r="G62" s="114">
        <v>0.99999999999999656</v>
      </c>
      <c r="H62" s="114">
        <v>1.03</v>
      </c>
      <c r="I62" s="117">
        <v>6.6</v>
      </c>
      <c r="M62" s="84"/>
      <c r="N62" s="81"/>
      <c r="O62" s="81"/>
      <c r="P62" s="81"/>
      <c r="V62" s="81"/>
      <c r="W62" s="81"/>
      <c r="X62" s="81"/>
      <c r="Y62" s="81"/>
      <c r="Z62" s="81"/>
      <c r="AA62" s="81"/>
      <c r="AB62" s="81"/>
      <c r="AC62" s="81"/>
      <c r="AD62" s="81"/>
      <c r="AE62" s="81"/>
      <c r="AF62" s="81"/>
      <c r="AG62" s="81"/>
      <c r="AH62" s="81"/>
      <c r="AI62" s="81"/>
    </row>
    <row r="63" spans="2:35" ht="15.75" thickBot="1" x14ac:dyDescent="0.3">
      <c r="M63" s="84"/>
      <c r="N63" s="81"/>
      <c r="O63" s="81"/>
      <c r="P63" s="81"/>
      <c r="V63" s="81"/>
      <c r="W63" s="81"/>
      <c r="X63" s="81"/>
      <c r="Y63" s="81"/>
      <c r="Z63" s="81"/>
      <c r="AA63" s="81"/>
      <c r="AB63" s="81"/>
      <c r="AC63" s="81"/>
      <c r="AD63" s="81"/>
      <c r="AE63" s="81"/>
      <c r="AF63" s="81"/>
      <c r="AG63" s="81"/>
      <c r="AH63" s="81"/>
      <c r="AI63" s="81"/>
    </row>
    <row r="64" spans="2:35" ht="15.75" thickBot="1" x14ac:dyDescent="0.3">
      <c r="B64" s="130" t="s">
        <v>131</v>
      </c>
      <c r="C64" s="131" t="s">
        <v>132</v>
      </c>
      <c r="D64" s="131" t="s">
        <v>129</v>
      </c>
      <c r="E64" s="131" t="s">
        <v>134</v>
      </c>
      <c r="F64" s="131" t="s">
        <v>2</v>
      </c>
      <c r="G64" s="131" t="s">
        <v>130</v>
      </c>
      <c r="H64" s="131" t="s">
        <v>135</v>
      </c>
      <c r="I64" s="132" t="s">
        <v>136</v>
      </c>
      <c r="M64" s="84"/>
      <c r="N64" s="81"/>
      <c r="O64" s="81"/>
      <c r="P64" s="81"/>
      <c r="V64" s="81"/>
      <c r="W64" s="81"/>
      <c r="X64" s="81"/>
      <c r="Y64" s="81"/>
      <c r="Z64" s="81"/>
      <c r="AA64" s="81"/>
      <c r="AB64" s="81"/>
      <c r="AC64" s="81"/>
      <c r="AD64" s="81"/>
      <c r="AE64" s="81"/>
      <c r="AF64" s="81"/>
      <c r="AG64" s="81"/>
      <c r="AH64" s="81"/>
      <c r="AI64" s="81"/>
    </row>
    <row r="65" spans="2:35" ht="15.75" thickTop="1" x14ac:dyDescent="0.25">
      <c r="B65" s="206">
        <v>183</v>
      </c>
      <c r="C65" s="207">
        <v>6</v>
      </c>
      <c r="D65" s="113">
        <v>1.9052558883257658</v>
      </c>
      <c r="E65" s="109">
        <v>1505.1444868080202</v>
      </c>
      <c r="F65" s="109">
        <v>10.72</v>
      </c>
      <c r="G65" s="114">
        <v>0.99999999999999656</v>
      </c>
      <c r="H65" s="114">
        <v>1.0747244173422315</v>
      </c>
      <c r="I65" s="117">
        <f>C65*H65</f>
        <v>6.4483465040533883</v>
      </c>
      <c r="M65" s="84"/>
      <c r="N65" s="81"/>
      <c r="O65" s="81"/>
      <c r="P65" s="81"/>
      <c r="V65" s="81"/>
      <c r="W65" s="81"/>
      <c r="X65" s="81"/>
      <c r="Y65" s="81"/>
      <c r="Z65" s="81"/>
      <c r="AA65" s="81"/>
      <c r="AB65" s="81"/>
      <c r="AC65" s="81"/>
      <c r="AD65" s="81"/>
      <c r="AE65" s="81"/>
      <c r="AF65" s="81"/>
      <c r="AG65" s="81"/>
      <c r="AH65" s="81"/>
      <c r="AI65" s="81"/>
    </row>
    <row r="66" spans="2:35" x14ac:dyDescent="0.25">
      <c r="B66" s="206"/>
      <c r="C66" s="207"/>
      <c r="D66" s="113">
        <v>1.9052558883257678</v>
      </c>
      <c r="E66" s="109">
        <v>1505.1444868079921</v>
      </c>
      <c r="F66" s="109">
        <v>4.125</v>
      </c>
      <c r="G66" s="114">
        <v>1.0000000000000016</v>
      </c>
      <c r="H66" s="114">
        <v>1.0286099689099824</v>
      </c>
      <c r="I66" s="117">
        <f>C65*H66</f>
        <v>6.1716598134598941</v>
      </c>
      <c r="M66" s="84"/>
      <c r="N66" s="81"/>
      <c r="O66" s="81"/>
      <c r="P66" s="81"/>
      <c r="V66" s="81"/>
      <c r="W66" s="81"/>
      <c r="X66" s="81"/>
      <c r="Y66" s="81"/>
      <c r="Z66" s="81"/>
      <c r="AA66" s="81"/>
      <c r="AB66" s="81"/>
      <c r="AC66" s="81"/>
      <c r="AD66" s="81"/>
      <c r="AE66" s="81"/>
      <c r="AF66" s="81"/>
      <c r="AG66" s="81"/>
      <c r="AH66" s="81"/>
      <c r="AI66" s="81"/>
    </row>
    <row r="67" spans="2:35" x14ac:dyDescent="0.25">
      <c r="M67" s="84"/>
      <c r="N67" s="81"/>
      <c r="O67" s="81"/>
      <c r="P67" s="81"/>
      <c r="V67" s="81"/>
      <c r="W67" s="81"/>
      <c r="X67" s="81"/>
      <c r="Y67" s="81"/>
      <c r="Z67" s="81"/>
      <c r="AA67" s="81"/>
      <c r="AB67" s="81"/>
      <c r="AC67" s="81"/>
      <c r="AD67" s="81"/>
      <c r="AE67" s="81"/>
      <c r="AF67" s="81"/>
      <c r="AG67" s="81"/>
      <c r="AH67" s="81"/>
      <c r="AI67" s="81"/>
    </row>
    <row r="68" spans="2:35" x14ac:dyDescent="0.25">
      <c r="M68" s="84"/>
      <c r="N68" s="81"/>
      <c r="O68" s="81"/>
      <c r="P68" s="81"/>
      <c r="V68" s="81"/>
      <c r="W68" s="81"/>
      <c r="X68" s="81"/>
      <c r="Y68" s="81"/>
      <c r="Z68" s="81"/>
      <c r="AA68" s="81"/>
      <c r="AB68" s="81"/>
      <c r="AC68" s="81"/>
      <c r="AD68" s="81"/>
      <c r="AE68" s="81"/>
      <c r="AF68" s="81"/>
      <c r="AG68" s="81"/>
      <c r="AH68" s="81"/>
      <c r="AI68" s="81"/>
    </row>
    <row r="69" spans="2:35" x14ac:dyDescent="0.25">
      <c r="M69" s="84"/>
      <c r="N69" s="81"/>
      <c r="O69" s="81"/>
      <c r="P69" s="81"/>
      <c r="V69" s="81"/>
      <c r="W69" s="81"/>
      <c r="X69" s="81"/>
      <c r="Y69" s="81"/>
      <c r="Z69" s="81"/>
      <c r="AA69" s="81"/>
      <c r="AB69" s="81"/>
      <c r="AC69" s="81"/>
      <c r="AD69" s="81"/>
      <c r="AE69" s="81"/>
      <c r="AF69" s="81"/>
      <c r="AG69" s="81"/>
      <c r="AH69" s="81"/>
      <c r="AI69" s="81"/>
    </row>
    <row r="70" spans="2:35" x14ac:dyDescent="0.25">
      <c r="M70" s="84"/>
      <c r="N70" s="81"/>
      <c r="O70" s="81"/>
      <c r="P70" s="81"/>
      <c r="V70" s="81"/>
      <c r="W70" s="81"/>
      <c r="X70" s="81"/>
      <c r="Y70" s="81"/>
      <c r="Z70" s="81"/>
      <c r="AA70" s="81"/>
      <c r="AB70" s="81"/>
      <c r="AC70" s="81"/>
      <c r="AD70" s="81"/>
      <c r="AE70" s="81"/>
      <c r="AF70" s="81"/>
      <c r="AG70" s="81"/>
      <c r="AH70" s="81"/>
      <c r="AI70" s="81"/>
    </row>
    <row r="71" spans="2:35" x14ac:dyDescent="0.25">
      <c r="M71" s="84"/>
      <c r="N71" s="81"/>
      <c r="O71" s="81"/>
      <c r="P71" s="81"/>
      <c r="V71" s="81"/>
      <c r="W71" s="81"/>
      <c r="X71" s="81"/>
      <c r="Y71" s="81"/>
      <c r="Z71" s="81"/>
      <c r="AA71" s="81"/>
      <c r="AB71" s="81"/>
      <c r="AC71" s="81"/>
      <c r="AD71" s="81"/>
      <c r="AE71" s="81"/>
      <c r="AF71" s="81"/>
      <c r="AG71" s="81"/>
      <c r="AH71" s="81"/>
      <c r="AI71" s="81"/>
    </row>
    <row r="72" spans="2:35" x14ac:dyDescent="0.25">
      <c r="M72" s="84"/>
      <c r="N72" s="81"/>
      <c r="O72" s="81"/>
      <c r="P72" s="81"/>
      <c r="V72" s="81"/>
      <c r="W72" s="81"/>
      <c r="X72" s="81"/>
      <c r="Y72" s="81"/>
      <c r="Z72" s="81"/>
      <c r="AA72" s="81"/>
      <c r="AB72" s="81"/>
      <c r="AC72" s="81"/>
      <c r="AD72" s="81"/>
      <c r="AE72" s="81"/>
      <c r="AF72" s="81"/>
      <c r="AG72" s="81"/>
      <c r="AH72" s="81"/>
      <c r="AI72" s="81"/>
    </row>
    <row r="73" spans="2:35" x14ac:dyDescent="0.25">
      <c r="M73" s="84"/>
      <c r="N73" s="81"/>
      <c r="O73" s="81"/>
      <c r="P73" s="81"/>
      <c r="V73" s="81"/>
      <c r="W73" s="81"/>
      <c r="X73" s="81"/>
      <c r="Y73" s="81"/>
      <c r="Z73" s="81"/>
      <c r="AA73" s="81"/>
      <c r="AB73" s="81"/>
      <c r="AC73" s="81"/>
      <c r="AD73" s="81"/>
      <c r="AE73" s="81"/>
      <c r="AF73" s="81"/>
      <c r="AG73" s="81"/>
      <c r="AH73" s="81"/>
      <c r="AI73" s="81"/>
    </row>
    <row r="74" spans="2:35" x14ac:dyDescent="0.25">
      <c r="M74" s="84"/>
      <c r="N74" s="81"/>
      <c r="O74" s="81"/>
      <c r="P74" s="81"/>
      <c r="V74" s="81"/>
      <c r="W74" s="81"/>
      <c r="X74" s="81"/>
      <c r="Y74" s="81"/>
      <c r="Z74" s="81"/>
      <c r="AA74" s="81"/>
      <c r="AB74" s="81"/>
      <c r="AC74" s="81"/>
      <c r="AD74" s="81"/>
      <c r="AE74" s="81"/>
      <c r="AF74" s="81"/>
      <c r="AG74" s="81"/>
      <c r="AH74" s="81"/>
      <c r="AI74" s="81"/>
    </row>
    <row r="75" spans="2:35" x14ac:dyDescent="0.25">
      <c r="M75" s="84"/>
      <c r="N75" s="81"/>
      <c r="O75" s="81"/>
      <c r="P75" s="81"/>
      <c r="V75" s="81"/>
      <c r="W75" s="81"/>
      <c r="X75" s="81"/>
      <c r="Y75" s="81"/>
      <c r="Z75" s="81"/>
      <c r="AA75" s="81"/>
      <c r="AB75" s="81"/>
      <c r="AC75" s="81"/>
      <c r="AD75" s="81"/>
      <c r="AE75" s="81"/>
      <c r="AF75" s="81"/>
      <c r="AG75" s="81"/>
      <c r="AH75" s="81"/>
      <c r="AI75" s="81"/>
    </row>
    <row r="76" spans="2:35" x14ac:dyDescent="0.25">
      <c r="M76" s="84"/>
      <c r="N76" s="81"/>
      <c r="O76" s="81"/>
      <c r="P76" s="81"/>
      <c r="V76" s="81"/>
      <c r="W76" s="81"/>
      <c r="X76" s="81"/>
      <c r="Y76" s="81"/>
      <c r="Z76" s="81"/>
      <c r="AA76" s="81"/>
      <c r="AB76" s="81"/>
      <c r="AC76" s="81"/>
      <c r="AD76" s="81"/>
      <c r="AE76" s="81"/>
      <c r="AF76" s="81"/>
      <c r="AG76" s="81"/>
      <c r="AH76" s="81"/>
      <c r="AI76" s="81"/>
    </row>
    <row r="77" spans="2:35" x14ac:dyDescent="0.25">
      <c r="M77" s="84"/>
      <c r="N77" s="81"/>
      <c r="O77" s="81"/>
      <c r="P77" s="81"/>
      <c r="V77" s="81"/>
      <c r="W77" s="81"/>
      <c r="X77" s="81"/>
      <c r="Y77" s="81"/>
      <c r="Z77" s="81"/>
      <c r="AA77" s="81"/>
      <c r="AB77" s="81"/>
      <c r="AC77" s="81"/>
      <c r="AD77" s="81"/>
      <c r="AE77" s="81"/>
      <c r="AF77" s="81"/>
      <c r="AG77" s="81"/>
      <c r="AH77" s="81"/>
      <c r="AI77" s="81"/>
    </row>
    <row r="78" spans="2:35" x14ac:dyDescent="0.25">
      <c r="M78" s="84"/>
      <c r="N78" s="81"/>
      <c r="O78" s="81"/>
      <c r="P78" s="81"/>
      <c r="V78" s="81"/>
      <c r="W78" s="81"/>
      <c r="X78" s="81"/>
      <c r="Y78" s="81"/>
      <c r="Z78" s="81"/>
      <c r="AA78" s="81"/>
      <c r="AB78" s="81"/>
      <c r="AC78" s="81"/>
      <c r="AD78" s="81"/>
      <c r="AE78" s="81"/>
      <c r="AF78" s="81"/>
      <c r="AG78" s="81"/>
      <c r="AH78" s="81"/>
      <c r="AI78" s="81"/>
    </row>
    <row r="79" spans="2:35" x14ac:dyDescent="0.25">
      <c r="M79" s="84"/>
      <c r="N79" s="81"/>
      <c r="O79" s="81"/>
      <c r="P79" s="81"/>
      <c r="V79" s="81"/>
      <c r="W79" s="81"/>
      <c r="X79" s="81"/>
      <c r="Y79" s="81"/>
      <c r="Z79" s="81"/>
      <c r="AA79" s="81"/>
      <c r="AB79" s="81"/>
      <c r="AC79" s="81"/>
      <c r="AD79" s="81"/>
      <c r="AE79" s="81"/>
      <c r="AF79" s="81"/>
      <c r="AG79" s="81"/>
      <c r="AH79" s="81"/>
      <c r="AI79" s="81"/>
    </row>
    <row r="80" spans="2:35" x14ac:dyDescent="0.25">
      <c r="M80" s="84"/>
      <c r="N80" s="81"/>
      <c r="O80" s="81"/>
      <c r="P80" s="81"/>
      <c r="V80" s="81"/>
      <c r="W80" s="81"/>
      <c r="X80" s="81"/>
      <c r="Y80" s="81"/>
      <c r="Z80" s="81"/>
      <c r="AA80" s="81"/>
      <c r="AB80" s="81"/>
      <c r="AC80" s="81"/>
      <c r="AD80" s="81"/>
      <c r="AE80" s="81"/>
      <c r="AF80" s="81"/>
      <c r="AG80" s="81"/>
      <c r="AH80" s="81"/>
      <c r="AI80" s="81"/>
    </row>
    <row r="81" spans="13:35" x14ac:dyDescent="0.25">
      <c r="M81" s="84"/>
      <c r="N81" s="81"/>
      <c r="O81" s="81"/>
      <c r="P81" s="81"/>
      <c r="V81" s="81"/>
      <c r="W81" s="81"/>
      <c r="X81" s="81"/>
      <c r="Y81" s="81"/>
      <c r="Z81" s="81"/>
      <c r="AA81" s="81"/>
      <c r="AB81" s="81"/>
      <c r="AC81" s="81"/>
      <c r="AD81" s="81"/>
      <c r="AE81" s="81"/>
      <c r="AF81" s="81"/>
      <c r="AG81" s="81"/>
      <c r="AH81" s="81"/>
      <c r="AI81" s="81"/>
    </row>
    <row r="82" spans="13:35" x14ac:dyDescent="0.25">
      <c r="M82" s="84"/>
      <c r="N82" s="81"/>
      <c r="O82" s="81"/>
      <c r="P82" s="81"/>
      <c r="V82" s="81"/>
      <c r="W82" s="81"/>
      <c r="X82" s="81"/>
      <c r="Y82" s="81"/>
      <c r="Z82" s="81"/>
      <c r="AA82" s="81"/>
      <c r="AB82" s="81"/>
      <c r="AC82" s="81"/>
      <c r="AD82" s="81"/>
      <c r="AE82" s="81"/>
      <c r="AF82" s="81"/>
      <c r="AG82" s="81"/>
      <c r="AH82" s="81"/>
      <c r="AI82" s="81"/>
    </row>
    <row r="83" spans="13:35" x14ac:dyDescent="0.25">
      <c r="M83" s="84"/>
      <c r="N83" s="81"/>
      <c r="O83" s="81"/>
      <c r="P83" s="81"/>
      <c r="V83" s="81"/>
      <c r="W83" s="81"/>
      <c r="X83" s="81"/>
      <c r="Y83" s="81"/>
      <c r="Z83" s="81"/>
      <c r="AA83" s="81"/>
      <c r="AB83" s="81"/>
      <c r="AC83" s="81"/>
      <c r="AD83" s="81"/>
      <c r="AE83" s="81"/>
      <c r="AF83" s="81"/>
      <c r="AG83" s="81"/>
      <c r="AH83" s="81"/>
      <c r="AI83" s="81"/>
    </row>
    <row r="84" spans="13:35" x14ac:dyDescent="0.25">
      <c r="M84" s="84"/>
      <c r="N84" s="81"/>
      <c r="O84" s="81"/>
      <c r="P84" s="81"/>
      <c r="V84" s="81"/>
      <c r="W84" s="81"/>
      <c r="X84" s="81"/>
      <c r="Y84" s="81"/>
      <c r="Z84" s="81"/>
      <c r="AA84" s="81"/>
      <c r="AB84" s="81"/>
      <c r="AC84" s="81"/>
      <c r="AD84" s="81"/>
      <c r="AE84" s="81"/>
      <c r="AF84" s="81"/>
      <c r="AG84" s="81"/>
      <c r="AH84" s="81"/>
      <c r="AI84" s="81"/>
    </row>
    <row r="85" spans="13:35" x14ac:dyDescent="0.25">
      <c r="M85" s="84"/>
      <c r="N85" s="81"/>
      <c r="O85" s="81"/>
      <c r="P85" s="81"/>
      <c r="V85" s="81"/>
      <c r="W85" s="81"/>
      <c r="X85" s="81"/>
      <c r="Y85" s="81"/>
      <c r="Z85" s="81"/>
      <c r="AA85" s="81"/>
      <c r="AB85" s="81"/>
      <c r="AC85" s="81"/>
      <c r="AD85" s="81"/>
      <c r="AE85" s="81"/>
      <c r="AF85" s="81"/>
      <c r="AG85" s="81"/>
      <c r="AH85" s="81"/>
      <c r="AI85" s="81"/>
    </row>
    <row r="86" spans="13:35" x14ac:dyDescent="0.25">
      <c r="M86" s="84"/>
      <c r="N86" s="81"/>
      <c r="O86" s="81"/>
      <c r="P86" s="81"/>
      <c r="V86" s="81"/>
      <c r="W86" s="81"/>
      <c r="X86" s="81"/>
      <c r="Y86" s="81"/>
      <c r="Z86" s="81"/>
      <c r="AA86" s="81"/>
      <c r="AB86" s="81"/>
      <c r="AC86" s="81"/>
      <c r="AD86" s="81"/>
      <c r="AE86" s="81"/>
      <c r="AF86" s="81"/>
      <c r="AG86" s="81"/>
      <c r="AH86" s="81"/>
      <c r="AI86" s="81"/>
    </row>
    <row r="87" spans="13:35" x14ac:dyDescent="0.25">
      <c r="M87" s="84"/>
      <c r="N87" s="81"/>
      <c r="O87" s="81"/>
      <c r="P87" s="81"/>
      <c r="V87" s="81"/>
      <c r="W87" s="81"/>
      <c r="X87" s="81"/>
      <c r="Y87" s="81"/>
      <c r="Z87" s="81"/>
      <c r="AA87" s="81"/>
      <c r="AB87" s="81"/>
      <c r="AC87" s="81"/>
      <c r="AD87" s="81"/>
      <c r="AE87" s="81"/>
      <c r="AF87" s="81"/>
      <c r="AG87" s="81"/>
      <c r="AH87" s="81"/>
      <c r="AI87" s="81"/>
    </row>
    <row r="88" spans="13:35" x14ac:dyDescent="0.25">
      <c r="M88" s="84"/>
      <c r="N88" s="81"/>
      <c r="O88" s="81"/>
      <c r="P88" s="81"/>
      <c r="V88" s="81"/>
      <c r="W88" s="81"/>
      <c r="X88" s="81"/>
      <c r="Y88" s="81"/>
      <c r="Z88" s="81"/>
      <c r="AA88" s="81"/>
      <c r="AB88" s="81"/>
      <c r="AC88" s="81"/>
      <c r="AD88" s="81"/>
      <c r="AE88" s="81"/>
      <c r="AF88" s="81"/>
      <c r="AG88" s="81"/>
      <c r="AH88" s="81"/>
      <c r="AI88" s="81"/>
    </row>
    <row r="89" spans="13:35" x14ac:dyDescent="0.25">
      <c r="M89" s="84"/>
      <c r="N89" s="81"/>
      <c r="O89" s="81"/>
      <c r="P89" s="81"/>
      <c r="V89" s="81"/>
      <c r="W89" s="81"/>
      <c r="X89" s="81"/>
      <c r="Y89" s="81"/>
      <c r="Z89" s="81"/>
      <c r="AA89" s="81"/>
      <c r="AB89" s="81"/>
      <c r="AC89" s="81"/>
      <c r="AD89" s="81"/>
      <c r="AE89" s="81"/>
      <c r="AF89" s="81"/>
      <c r="AG89" s="81"/>
      <c r="AH89" s="81"/>
      <c r="AI89" s="81"/>
    </row>
    <row r="90" spans="13:35" x14ac:dyDescent="0.25">
      <c r="M90" s="84"/>
      <c r="N90" s="81"/>
      <c r="O90" s="81"/>
      <c r="P90" s="81"/>
      <c r="V90" s="81"/>
      <c r="W90" s="81"/>
      <c r="X90" s="81"/>
      <c r="Y90" s="81"/>
      <c r="Z90" s="81"/>
      <c r="AA90" s="81"/>
      <c r="AB90" s="81"/>
      <c r="AC90" s="81"/>
      <c r="AD90" s="81"/>
      <c r="AE90" s="81"/>
      <c r="AF90" s="81"/>
      <c r="AG90" s="81"/>
      <c r="AH90" s="81"/>
      <c r="AI90" s="81"/>
    </row>
    <row r="91" spans="13:35" x14ac:dyDescent="0.25">
      <c r="M91" s="84"/>
      <c r="N91" s="81"/>
      <c r="O91" s="81"/>
      <c r="P91" s="81"/>
      <c r="V91" s="81"/>
      <c r="W91" s="81"/>
      <c r="X91" s="81"/>
      <c r="Y91" s="81"/>
      <c r="Z91" s="81"/>
      <c r="AA91" s="81"/>
      <c r="AB91" s="81"/>
      <c r="AC91" s="81"/>
      <c r="AD91" s="81"/>
      <c r="AE91" s="81"/>
      <c r="AF91" s="81"/>
      <c r="AG91" s="81"/>
      <c r="AH91" s="81"/>
      <c r="AI91" s="81"/>
    </row>
    <row r="92" spans="13:35" x14ac:dyDescent="0.25">
      <c r="M92" s="84"/>
      <c r="N92" s="81"/>
      <c r="O92" s="81"/>
      <c r="P92" s="81"/>
      <c r="V92" s="81"/>
      <c r="W92" s="81"/>
      <c r="X92" s="81"/>
      <c r="Y92" s="81"/>
      <c r="Z92" s="81"/>
      <c r="AA92" s="81"/>
      <c r="AB92" s="81"/>
      <c r="AC92" s="81"/>
      <c r="AD92" s="81"/>
      <c r="AE92" s="81"/>
      <c r="AF92" s="81"/>
      <c r="AG92" s="81"/>
      <c r="AH92" s="81"/>
      <c r="AI92" s="81"/>
    </row>
    <row r="93" spans="13:35" x14ac:dyDescent="0.25">
      <c r="M93" s="84"/>
      <c r="N93" s="81"/>
      <c r="O93" s="81"/>
      <c r="P93" s="81"/>
      <c r="V93" s="81"/>
      <c r="W93" s="81"/>
      <c r="X93" s="81"/>
      <c r="Y93" s="81"/>
      <c r="Z93" s="81"/>
      <c r="AA93" s="81"/>
      <c r="AB93" s="81"/>
      <c r="AC93" s="81"/>
      <c r="AD93" s="81"/>
      <c r="AE93" s="81"/>
      <c r="AF93" s="81"/>
      <c r="AG93" s="81"/>
      <c r="AH93" s="81"/>
      <c r="AI93" s="81"/>
    </row>
    <row r="94" spans="13:35" x14ac:dyDescent="0.25">
      <c r="M94" s="84"/>
      <c r="N94" s="81"/>
      <c r="O94" s="81"/>
      <c r="P94" s="81"/>
      <c r="V94" s="81"/>
      <c r="W94" s="81"/>
      <c r="X94" s="81"/>
      <c r="Y94" s="81"/>
      <c r="Z94" s="81"/>
      <c r="AA94" s="81"/>
      <c r="AB94" s="81"/>
      <c r="AC94" s="81"/>
      <c r="AD94" s="81"/>
      <c r="AE94" s="81"/>
      <c r="AF94" s="81"/>
      <c r="AG94" s="81"/>
      <c r="AH94" s="81"/>
      <c r="AI94" s="81"/>
    </row>
    <row r="95" spans="13:35" x14ac:dyDescent="0.25">
      <c r="M95" s="84"/>
      <c r="N95" s="81"/>
      <c r="O95" s="81"/>
      <c r="P95" s="81"/>
      <c r="V95" s="81"/>
      <c r="W95" s="81"/>
      <c r="X95" s="81"/>
      <c r="Y95" s="81"/>
      <c r="Z95" s="81"/>
      <c r="AA95" s="81"/>
      <c r="AB95" s="81"/>
      <c r="AC95" s="81"/>
      <c r="AD95" s="81"/>
      <c r="AE95" s="81"/>
      <c r="AF95" s="81"/>
      <c r="AG95" s="81"/>
      <c r="AH95" s="81"/>
      <c r="AI95" s="81"/>
    </row>
    <row r="96" spans="13:35" x14ac:dyDescent="0.25">
      <c r="M96" s="84"/>
      <c r="N96" s="81"/>
      <c r="O96" s="81"/>
      <c r="P96" s="81"/>
      <c r="V96" s="81"/>
      <c r="W96" s="81"/>
      <c r="X96" s="81"/>
      <c r="Y96" s="81"/>
      <c r="Z96" s="81"/>
      <c r="AA96" s="81"/>
      <c r="AB96" s="81"/>
      <c r="AC96" s="81"/>
      <c r="AD96" s="81"/>
      <c r="AE96" s="81"/>
      <c r="AF96" s="81"/>
      <c r="AG96" s="81"/>
      <c r="AH96" s="81"/>
      <c r="AI96" s="81"/>
    </row>
    <row r="97" spans="13:35" x14ac:dyDescent="0.25">
      <c r="M97" s="84"/>
      <c r="N97" s="81"/>
      <c r="O97" s="81"/>
      <c r="P97" s="81"/>
      <c r="V97" s="81"/>
      <c r="W97" s="81"/>
      <c r="X97" s="81"/>
      <c r="Y97" s="81"/>
      <c r="Z97" s="81"/>
      <c r="AA97" s="81"/>
      <c r="AB97" s="81"/>
      <c r="AC97" s="81"/>
      <c r="AD97" s="81"/>
      <c r="AE97" s="81"/>
      <c r="AF97" s="81"/>
      <c r="AG97" s="81"/>
      <c r="AH97" s="81"/>
      <c r="AI97" s="81"/>
    </row>
    <row r="98" spans="13:35" x14ac:dyDescent="0.25">
      <c r="M98" s="84"/>
      <c r="N98" s="81"/>
      <c r="O98" s="81"/>
      <c r="P98" s="81"/>
      <c r="V98" s="81"/>
      <c r="W98" s="81"/>
      <c r="X98" s="81"/>
      <c r="Y98" s="81"/>
      <c r="Z98" s="81"/>
      <c r="AA98" s="81"/>
      <c r="AB98" s="81"/>
      <c r="AC98" s="81"/>
      <c r="AD98" s="81"/>
      <c r="AE98" s="81"/>
      <c r="AF98" s="81"/>
      <c r="AG98" s="81"/>
      <c r="AH98" s="81"/>
      <c r="AI98" s="81"/>
    </row>
    <row r="99" spans="13:35" x14ac:dyDescent="0.25">
      <c r="M99" s="84"/>
      <c r="N99" s="81"/>
      <c r="O99" s="81"/>
      <c r="P99" s="81"/>
      <c r="V99" s="81"/>
      <c r="W99" s="81"/>
      <c r="X99" s="81"/>
      <c r="Y99" s="81"/>
      <c r="Z99" s="81"/>
      <c r="AA99" s="81"/>
      <c r="AB99" s="81"/>
      <c r="AC99" s="81"/>
      <c r="AD99" s="81"/>
      <c r="AE99" s="81"/>
      <c r="AF99" s="81"/>
      <c r="AG99" s="81"/>
      <c r="AH99" s="81"/>
      <c r="AI99" s="81"/>
    </row>
    <row r="100" spans="13:35" x14ac:dyDescent="0.25">
      <c r="M100" s="84"/>
      <c r="N100" s="81"/>
      <c r="O100" s="81"/>
      <c r="P100" s="81"/>
      <c r="V100" s="81"/>
      <c r="W100" s="81"/>
      <c r="X100" s="81"/>
      <c r="Y100" s="81"/>
      <c r="Z100" s="81"/>
      <c r="AA100" s="81"/>
      <c r="AB100" s="81"/>
      <c r="AC100" s="81"/>
      <c r="AD100" s="81"/>
      <c r="AE100" s="81"/>
      <c r="AF100" s="81"/>
      <c r="AG100" s="81"/>
      <c r="AH100" s="81"/>
      <c r="AI100" s="81"/>
    </row>
    <row r="101" spans="13:35" x14ac:dyDescent="0.25">
      <c r="M101" s="84"/>
      <c r="N101" s="81"/>
      <c r="O101" s="81"/>
      <c r="P101" s="81"/>
      <c r="V101" s="81"/>
      <c r="W101" s="81"/>
      <c r="X101" s="81"/>
      <c r="Y101" s="81"/>
      <c r="Z101" s="81"/>
      <c r="AA101" s="81"/>
      <c r="AB101" s="81"/>
      <c r="AC101" s="81"/>
      <c r="AD101" s="81"/>
      <c r="AE101" s="81"/>
      <c r="AF101" s="81"/>
      <c r="AG101" s="81"/>
      <c r="AH101" s="81"/>
      <c r="AI101" s="81"/>
    </row>
    <row r="102" spans="13:35" x14ac:dyDescent="0.25">
      <c r="M102" s="84"/>
      <c r="N102" s="81"/>
      <c r="O102" s="81"/>
      <c r="P102" s="81"/>
      <c r="V102" s="81"/>
      <c r="W102" s="81"/>
      <c r="X102" s="81"/>
      <c r="Y102" s="81"/>
      <c r="Z102" s="81"/>
      <c r="AA102" s="81"/>
      <c r="AB102" s="81"/>
      <c r="AC102" s="81"/>
      <c r="AD102" s="81"/>
      <c r="AE102" s="81"/>
      <c r="AF102" s="81"/>
      <c r="AG102" s="81"/>
      <c r="AH102" s="81"/>
      <c r="AI102" s="81"/>
    </row>
    <row r="103" spans="13:35" x14ac:dyDescent="0.25">
      <c r="M103" s="84"/>
      <c r="N103" s="81"/>
      <c r="O103" s="81"/>
      <c r="P103" s="81"/>
      <c r="V103" s="81"/>
      <c r="W103" s="81"/>
      <c r="X103" s="81"/>
      <c r="Y103" s="81"/>
      <c r="Z103" s="81"/>
      <c r="AA103" s="81"/>
      <c r="AB103" s="81"/>
      <c r="AC103" s="81"/>
      <c r="AD103" s="81"/>
      <c r="AE103" s="81"/>
      <c r="AF103" s="81"/>
      <c r="AG103" s="81"/>
      <c r="AH103" s="81"/>
      <c r="AI103" s="81"/>
    </row>
    <row r="104" spans="13:35" x14ac:dyDescent="0.25">
      <c r="M104" s="84"/>
      <c r="N104" s="81"/>
      <c r="O104" s="81"/>
      <c r="P104" s="81"/>
      <c r="V104" s="81"/>
      <c r="W104" s="81"/>
      <c r="X104" s="81"/>
      <c r="Y104" s="81"/>
      <c r="Z104" s="81"/>
      <c r="AA104" s="81"/>
      <c r="AB104" s="81"/>
      <c r="AC104" s="81"/>
      <c r="AD104" s="81"/>
      <c r="AE104" s="81"/>
      <c r="AF104" s="81"/>
      <c r="AG104" s="81"/>
      <c r="AH104" s="81"/>
      <c r="AI104" s="81"/>
    </row>
    <row r="105" spans="13:35" x14ac:dyDescent="0.25">
      <c r="M105" s="84"/>
      <c r="N105" s="81"/>
      <c r="O105" s="81"/>
      <c r="P105" s="81"/>
      <c r="V105" s="81"/>
      <c r="W105" s="81"/>
      <c r="X105" s="81"/>
      <c r="Y105" s="81"/>
      <c r="Z105" s="81"/>
      <c r="AA105" s="81"/>
      <c r="AB105" s="81"/>
      <c r="AC105" s="81"/>
      <c r="AD105" s="81"/>
      <c r="AE105" s="81"/>
      <c r="AF105" s="81"/>
      <c r="AG105" s="81"/>
      <c r="AH105" s="81"/>
      <c r="AI105" s="81"/>
    </row>
    <row r="106" spans="13:35" x14ac:dyDescent="0.25">
      <c r="M106" s="84"/>
      <c r="N106" s="81"/>
      <c r="O106" s="81"/>
      <c r="P106" s="81"/>
      <c r="V106" s="81"/>
      <c r="W106" s="81"/>
      <c r="X106" s="81"/>
      <c r="Y106" s="81"/>
      <c r="Z106" s="81"/>
      <c r="AA106" s="81"/>
      <c r="AB106" s="81"/>
      <c r="AC106" s="81"/>
      <c r="AD106" s="81"/>
      <c r="AE106" s="81"/>
      <c r="AF106" s="81"/>
      <c r="AG106" s="81"/>
      <c r="AH106" s="81"/>
      <c r="AI106" s="81"/>
    </row>
    <row r="107" spans="13:35" x14ac:dyDescent="0.25">
      <c r="M107" s="84"/>
      <c r="N107" s="81"/>
      <c r="O107" s="81"/>
      <c r="P107" s="81"/>
      <c r="V107" s="81"/>
      <c r="W107" s="81"/>
      <c r="X107" s="81"/>
      <c r="Y107" s="81"/>
      <c r="Z107" s="81"/>
      <c r="AA107" s="81"/>
      <c r="AB107" s="81"/>
      <c r="AC107" s="81"/>
      <c r="AD107" s="81"/>
      <c r="AE107" s="81"/>
      <c r="AF107" s="81"/>
      <c r="AG107" s="81"/>
      <c r="AH107" s="81"/>
      <c r="AI107" s="81"/>
    </row>
    <row r="108" spans="13:35" x14ac:dyDescent="0.25">
      <c r="M108" s="84"/>
      <c r="N108" s="81"/>
      <c r="O108" s="81"/>
      <c r="P108" s="81"/>
      <c r="V108" s="81"/>
      <c r="W108" s="81"/>
      <c r="X108" s="81"/>
      <c r="Y108" s="81"/>
      <c r="Z108" s="81"/>
      <c r="AA108" s="81"/>
      <c r="AB108" s="81"/>
      <c r="AC108" s="81"/>
      <c r="AD108" s="81"/>
      <c r="AE108" s="81"/>
      <c r="AF108" s="81"/>
      <c r="AG108" s="81"/>
      <c r="AH108" s="81"/>
      <c r="AI108" s="81"/>
    </row>
    <row r="109" spans="13:35" x14ac:dyDescent="0.25">
      <c r="M109" s="84"/>
      <c r="N109" s="81"/>
      <c r="O109" s="81"/>
      <c r="P109" s="81"/>
      <c r="V109" s="81"/>
      <c r="W109" s="81"/>
      <c r="X109" s="81"/>
      <c r="Y109" s="81"/>
      <c r="Z109" s="81"/>
      <c r="AA109" s="81"/>
      <c r="AB109" s="81"/>
      <c r="AC109" s="81"/>
      <c r="AD109" s="81"/>
      <c r="AE109" s="81"/>
      <c r="AF109" s="81"/>
      <c r="AG109" s="81"/>
      <c r="AH109" s="81"/>
      <c r="AI109" s="81"/>
    </row>
    <row r="110" spans="13:35" x14ac:dyDescent="0.25">
      <c r="M110" s="84"/>
      <c r="N110" s="81"/>
      <c r="O110" s="81"/>
      <c r="P110" s="81"/>
      <c r="V110" s="81"/>
      <c r="W110" s="81"/>
      <c r="X110" s="81"/>
      <c r="Y110" s="81"/>
      <c r="Z110" s="81"/>
      <c r="AA110" s="81"/>
      <c r="AB110" s="81"/>
      <c r="AC110" s="81"/>
      <c r="AD110" s="81"/>
      <c r="AE110" s="81"/>
      <c r="AF110" s="81"/>
      <c r="AG110" s="81"/>
      <c r="AH110" s="81"/>
      <c r="AI110" s="81"/>
    </row>
    <row r="111" spans="13:35" x14ac:dyDescent="0.25">
      <c r="M111" s="84"/>
      <c r="N111" s="81"/>
      <c r="O111" s="81"/>
      <c r="P111" s="81"/>
      <c r="V111" s="81"/>
      <c r="W111" s="81"/>
      <c r="X111" s="81"/>
      <c r="Y111" s="81"/>
      <c r="Z111" s="81"/>
      <c r="AA111" s="81"/>
      <c r="AB111" s="81"/>
      <c r="AC111" s="81"/>
      <c r="AD111" s="81"/>
      <c r="AE111" s="81"/>
      <c r="AF111" s="81"/>
      <c r="AG111" s="81"/>
      <c r="AH111" s="81"/>
      <c r="AI111" s="81"/>
    </row>
    <row r="112" spans="13:35" x14ac:dyDescent="0.25">
      <c r="M112" s="84"/>
      <c r="N112" s="81"/>
      <c r="O112" s="81"/>
      <c r="P112" s="81"/>
      <c r="V112" s="81"/>
      <c r="W112" s="81"/>
      <c r="X112" s="81"/>
      <c r="Y112" s="81"/>
      <c r="Z112" s="81"/>
      <c r="AA112" s="81"/>
      <c r="AB112" s="81"/>
      <c r="AC112" s="81"/>
      <c r="AD112" s="81"/>
      <c r="AE112" s="81"/>
      <c r="AF112" s="81"/>
      <c r="AG112" s="81"/>
      <c r="AH112" s="81"/>
      <c r="AI112" s="81"/>
    </row>
    <row r="113" spans="13:35" x14ac:dyDescent="0.25">
      <c r="M113" s="84"/>
      <c r="N113" s="81"/>
      <c r="O113" s="81"/>
      <c r="P113" s="81"/>
      <c r="V113" s="81"/>
      <c r="W113" s="81"/>
      <c r="X113" s="81"/>
      <c r="Y113" s="81"/>
      <c r="Z113" s="81"/>
      <c r="AA113" s="81"/>
      <c r="AB113" s="81"/>
      <c r="AC113" s="81"/>
      <c r="AD113" s="81"/>
      <c r="AE113" s="81"/>
      <c r="AF113" s="81"/>
      <c r="AG113" s="81"/>
      <c r="AH113" s="81"/>
      <c r="AI113" s="81"/>
    </row>
    <row r="114" spans="13:35" x14ac:dyDescent="0.25">
      <c r="M114" s="84"/>
      <c r="N114" s="81"/>
      <c r="O114" s="81"/>
      <c r="P114" s="81"/>
      <c r="V114" s="81"/>
      <c r="W114" s="81"/>
      <c r="X114" s="81"/>
      <c r="Y114" s="81"/>
      <c r="Z114" s="81"/>
      <c r="AA114" s="81"/>
      <c r="AB114" s="81"/>
      <c r="AC114" s="81"/>
      <c r="AD114" s="81"/>
      <c r="AE114" s="81"/>
      <c r="AF114" s="81"/>
      <c r="AG114" s="81"/>
      <c r="AH114" s="81"/>
      <c r="AI114" s="81"/>
    </row>
    <row r="115" spans="13:35" x14ac:dyDescent="0.25">
      <c r="M115" s="84"/>
      <c r="N115" s="81"/>
      <c r="O115" s="81"/>
      <c r="P115" s="81"/>
      <c r="V115" s="81"/>
      <c r="W115" s="81"/>
      <c r="X115" s="81"/>
      <c r="Y115" s="81"/>
      <c r="Z115" s="81"/>
      <c r="AA115" s="81"/>
      <c r="AB115" s="81"/>
      <c r="AC115" s="81"/>
      <c r="AD115" s="81"/>
      <c r="AE115" s="81"/>
      <c r="AF115" s="81"/>
      <c r="AG115" s="81"/>
      <c r="AH115" s="81"/>
      <c r="AI115" s="81"/>
    </row>
    <row r="116" spans="13:35" x14ac:dyDescent="0.25">
      <c r="M116" s="84"/>
      <c r="N116" s="81"/>
      <c r="O116" s="81"/>
      <c r="P116" s="81"/>
      <c r="V116" s="81"/>
      <c r="W116" s="81"/>
      <c r="X116" s="81"/>
      <c r="Y116" s="81"/>
      <c r="Z116" s="81"/>
      <c r="AA116" s="81"/>
      <c r="AB116" s="81"/>
      <c r="AC116" s="81"/>
      <c r="AD116" s="81"/>
      <c r="AE116" s="81"/>
      <c r="AF116" s="81"/>
      <c r="AG116" s="81"/>
      <c r="AH116" s="81"/>
      <c r="AI116" s="81"/>
    </row>
    <row r="117" spans="13:35" x14ac:dyDescent="0.25">
      <c r="M117" s="84"/>
      <c r="N117" s="81"/>
      <c r="O117" s="81"/>
      <c r="P117" s="81"/>
      <c r="V117" s="81"/>
      <c r="W117" s="81"/>
      <c r="X117" s="81"/>
      <c r="Y117" s="81"/>
      <c r="Z117" s="81"/>
      <c r="AA117" s="81"/>
      <c r="AB117" s="81"/>
      <c r="AC117" s="81"/>
      <c r="AD117" s="81"/>
      <c r="AE117" s="81"/>
      <c r="AF117" s="81"/>
      <c r="AG117" s="81"/>
      <c r="AH117" s="81"/>
      <c r="AI117" s="81"/>
    </row>
    <row r="118" spans="13:35" x14ac:dyDescent="0.25">
      <c r="M118" s="84"/>
      <c r="N118" s="81"/>
      <c r="O118" s="81"/>
      <c r="P118" s="81"/>
      <c r="V118" s="81"/>
      <c r="W118" s="81"/>
      <c r="X118" s="81"/>
      <c r="Y118" s="81"/>
      <c r="Z118" s="81"/>
      <c r="AA118" s="81"/>
      <c r="AB118" s="81"/>
      <c r="AC118" s="81"/>
      <c r="AD118" s="81"/>
      <c r="AE118" s="81"/>
      <c r="AF118" s="81"/>
      <c r="AG118" s="81"/>
      <c r="AH118" s="81"/>
      <c r="AI118" s="81"/>
    </row>
    <row r="119" spans="13:35" x14ac:dyDescent="0.25">
      <c r="M119" s="84"/>
      <c r="N119" s="81"/>
      <c r="O119" s="81"/>
      <c r="P119" s="81"/>
      <c r="V119" s="81"/>
      <c r="W119" s="81"/>
      <c r="X119" s="81"/>
      <c r="Y119" s="81"/>
      <c r="Z119" s="81"/>
      <c r="AA119" s="81"/>
      <c r="AB119" s="81"/>
      <c r="AC119" s="81"/>
      <c r="AD119" s="81"/>
      <c r="AE119" s="81"/>
      <c r="AF119" s="81"/>
      <c r="AG119" s="81"/>
      <c r="AH119" s="81"/>
      <c r="AI119" s="81"/>
    </row>
    <row r="120" spans="13:35" x14ac:dyDescent="0.25">
      <c r="M120" s="84"/>
      <c r="N120" s="81"/>
      <c r="O120" s="81"/>
      <c r="P120" s="81"/>
      <c r="V120" s="81"/>
      <c r="W120" s="81"/>
      <c r="X120" s="81"/>
      <c r="Y120" s="81"/>
      <c r="Z120" s="81"/>
      <c r="AA120" s="81"/>
      <c r="AB120" s="81"/>
      <c r="AC120" s="81"/>
      <c r="AD120" s="81"/>
      <c r="AE120" s="81"/>
      <c r="AF120" s="81"/>
      <c r="AG120" s="81"/>
      <c r="AH120" s="81"/>
      <c r="AI120" s="81"/>
    </row>
    <row r="121" spans="13:35" x14ac:dyDescent="0.25">
      <c r="M121" s="84"/>
      <c r="N121" s="81"/>
      <c r="O121" s="81"/>
      <c r="P121" s="81"/>
      <c r="V121" s="81"/>
      <c r="W121" s="81"/>
      <c r="X121" s="81"/>
      <c r="Y121" s="81"/>
      <c r="Z121" s="81"/>
      <c r="AA121" s="81"/>
      <c r="AB121" s="81"/>
      <c r="AC121" s="81"/>
      <c r="AD121" s="81"/>
      <c r="AE121" s="81"/>
      <c r="AF121" s="81"/>
      <c r="AG121" s="81"/>
      <c r="AH121" s="81"/>
      <c r="AI121" s="81"/>
    </row>
    <row r="122" spans="13:35" x14ac:dyDescent="0.25">
      <c r="M122" s="84"/>
      <c r="N122" s="81"/>
      <c r="O122" s="81"/>
      <c r="P122" s="81"/>
      <c r="V122" s="81"/>
      <c r="W122" s="81"/>
      <c r="X122" s="81"/>
      <c r="Y122" s="81"/>
      <c r="Z122" s="81"/>
      <c r="AA122" s="81"/>
      <c r="AB122" s="81"/>
      <c r="AC122" s="81"/>
      <c r="AD122" s="81"/>
      <c r="AE122" s="81"/>
      <c r="AF122" s="81"/>
      <c r="AG122" s="81"/>
      <c r="AH122" s="81"/>
      <c r="AI122" s="81"/>
    </row>
    <row r="123" spans="13:35" x14ac:dyDescent="0.25">
      <c r="M123" s="84"/>
      <c r="N123" s="81"/>
      <c r="O123" s="81"/>
      <c r="P123" s="81"/>
      <c r="V123" s="81"/>
      <c r="W123" s="81"/>
      <c r="X123" s="81"/>
      <c r="Y123" s="81"/>
      <c r="Z123" s="81"/>
      <c r="AA123" s="81"/>
      <c r="AB123" s="81"/>
      <c r="AC123" s="81"/>
      <c r="AD123" s="81"/>
      <c r="AE123" s="81"/>
      <c r="AF123" s="81"/>
      <c r="AG123" s="81"/>
      <c r="AH123" s="81"/>
      <c r="AI123" s="81"/>
    </row>
    <row r="124" spans="13:35" x14ac:dyDescent="0.25">
      <c r="M124" s="84"/>
      <c r="N124" s="81"/>
      <c r="O124" s="81"/>
      <c r="P124" s="81"/>
      <c r="V124" s="81"/>
      <c r="W124" s="81"/>
      <c r="X124" s="81"/>
      <c r="Y124" s="81"/>
      <c r="Z124" s="81"/>
      <c r="AA124" s="81"/>
      <c r="AB124" s="81"/>
      <c r="AC124" s="81"/>
      <c r="AD124" s="81"/>
      <c r="AE124" s="81"/>
      <c r="AF124" s="81"/>
      <c r="AG124" s="81"/>
      <c r="AH124" s="81"/>
      <c r="AI124" s="81"/>
    </row>
    <row r="125" spans="13:35" x14ac:dyDescent="0.25">
      <c r="M125" s="84"/>
      <c r="N125" s="81"/>
      <c r="O125" s="81"/>
      <c r="P125" s="81"/>
      <c r="V125" s="81"/>
      <c r="W125" s="81"/>
      <c r="X125" s="81"/>
      <c r="Y125" s="81"/>
      <c r="Z125" s="81"/>
      <c r="AA125" s="81"/>
      <c r="AB125" s="81"/>
      <c r="AC125" s="81"/>
      <c r="AD125" s="81"/>
      <c r="AE125" s="81"/>
      <c r="AF125" s="81"/>
      <c r="AG125" s="81"/>
      <c r="AH125" s="81"/>
      <c r="AI125" s="81"/>
    </row>
    <row r="126" spans="13:35" x14ac:dyDescent="0.25">
      <c r="M126" s="84"/>
      <c r="N126" s="81"/>
      <c r="O126" s="81"/>
      <c r="P126" s="81"/>
      <c r="V126" s="81"/>
      <c r="W126" s="81"/>
      <c r="X126" s="81"/>
      <c r="Y126" s="81"/>
      <c r="Z126" s="81"/>
      <c r="AA126" s="81"/>
      <c r="AB126" s="81"/>
      <c r="AC126" s="81"/>
      <c r="AD126" s="81"/>
      <c r="AE126" s="81"/>
      <c r="AF126" s="81"/>
      <c r="AG126" s="81"/>
      <c r="AH126" s="81"/>
      <c r="AI126" s="81"/>
    </row>
    <row r="127" spans="13:35" x14ac:dyDescent="0.25">
      <c r="M127" s="84"/>
      <c r="N127" s="81"/>
      <c r="O127" s="81"/>
      <c r="P127" s="81"/>
      <c r="V127" s="81"/>
      <c r="W127" s="81"/>
      <c r="X127" s="81"/>
      <c r="Y127" s="81"/>
      <c r="Z127" s="81"/>
      <c r="AA127" s="81"/>
      <c r="AB127" s="81"/>
      <c r="AC127" s="81"/>
      <c r="AD127" s="81"/>
      <c r="AE127" s="81"/>
      <c r="AF127" s="81"/>
      <c r="AG127" s="81"/>
      <c r="AH127" s="81"/>
      <c r="AI127" s="81"/>
    </row>
    <row r="128" spans="13:35" x14ac:dyDescent="0.25">
      <c r="M128" s="84"/>
      <c r="N128" s="81"/>
      <c r="O128" s="81"/>
      <c r="P128" s="81"/>
      <c r="V128" s="81"/>
      <c r="W128" s="81"/>
      <c r="X128" s="81"/>
      <c r="Y128" s="81"/>
      <c r="Z128" s="81"/>
      <c r="AA128" s="81"/>
      <c r="AB128" s="81"/>
      <c r="AC128" s="81"/>
      <c r="AD128" s="81"/>
      <c r="AE128" s="81"/>
      <c r="AF128" s="81"/>
      <c r="AG128" s="81"/>
      <c r="AH128" s="81"/>
      <c r="AI128" s="81"/>
    </row>
    <row r="129" spans="13:35" x14ac:dyDescent="0.25">
      <c r="M129" s="84"/>
      <c r="N129" s="81"/>
      <c r="O129" s="81"/>
      <c r="P129" s="81"/>
      <c r="V129" s="81"/>
      <c r="W129" s="81"/>
      <c r="X129" s="81"/>
      <c r="Y129" s="81"/>
      <c r="Z129" s="81"/>
      <c r="AA129" s="81"/>
      <c r="AB129" s="81"/>
      <c r="AC129" s="81"/>
      <c r="AD129" s="81"/>
      <c r="AE129" s="81"/>
      <c r="AF129" s="81"/>
      <c r="AG129" s="81"/>
      <c r="AH129" s="81"/>
      <c r="AI129" s="81"/>
    </row>
    <row r="130" spans="13:35" x14ac:dyDescent="0.25">
      <c r="M130" s="84"/>
      <c r="N130" s="81"/>
      <c r="O130" s="81"/>
      <c r="P130" s="81"/>
      <c r="V130" s="81"/>
      <c r="W130" s="81"/>
      <c r="X130" s="81"/>
      <c r="Y130" s="81"/>
      <c r="Z130" s="81"/>
      <c r="AA130" s="81"/>
      <c r="AB130" s="81"/>
      <c r="AC130" s="81"/>
      <c r="AD130" s="81"/>
      <c r="AE130" s="81"/>
      <c r="AF130" s="81"/>
      <c r="AG130" s="81"/>
      <c r="AH130" s="81"/>
      <c r="AI130" s="81"/>
    </row>
    <row r="131" spans="13:35" x14ac:dyDescent="0.25">
      <c r="M131" s="84"/>
      <c r="N131" s="81"/>
      <c r="O131" s="81"/>
      <c r="P131" s="81"/>
      <c r="V131" s="81"/>
      <c r="W131" s="81"/>
      <c r="X131" s="81"/>
      <c r="Y131" s="81"/>
      <c r="Z131" s="81"/>
      <c r="AA131" s="81"/>
      <c r="AB131" s="81"/>
      <c r="AC131" s="81"/>
      <c r="AD131" s="81"/>
      <c r="AE131" s="81"/>
      <c r="AF131" s="81"/>
      <c r="AG131" s="81"/>
      <c r="AH131" s="81"/>
      <c r="AI131" s="81"/>
    </row>
    <row r="132" spans="13:35" x14ac:dyDescent="0.25">
      <c r="M132" s="84"/>
      <c r="N132" s="81"/>
      <c r="O132" s="81"/>
      <c r="P132" s="81"/>
      <c r="V132" s="81"/>
      <c r="W132" s="81"/>
      <c r="X132" s="81"/>
      <c r="Y132" s="81"/>
      <c r="Z132" s="81"/>
      <c r="AA132" s="81"/>
      <c r="AB132" s="81"/>
      <c r="AC132" s="81"/>
      <c r="AD132" s="81"/>
      <c r="AE132" s="81"/>
      <c r="AF132" s="81"/>
      <c r="AG132" s="81"/>
      <c r="AH132" s="81"/>
      <c r="AI132" s="81"/>
    </row>
    <row r="133" spans="13:35" x14ac:dyDescent="0.25">
      <c r="M133" s="84"/>
      <c r="N133" s="81"/>
      <c r="O133" s="81"/>
      <c r="P133" s="81"/>
      <c r="V133" s="81"/>
      <c r="W133" s="81"/>
      <c r="X133" s="81"/>
      <c r="Y133" s="81"/>
      <c r="Z133" s="81"/>
      <c r="AA133" s="81"/>
      <c r="AB133" s="81"/>
      <c r="AC133" s="81"/>
      <c r="AD133" s="81"/>
      <c r="AE133" s="81"/>
      <c r="AF133" s="81"/>
      <c r="AG133" s="81"/>
      <c r="AH133" s="81"/>
      <c r="AI133" s="81"/>
    </row>
    <row r="134" spans="13:35" x14ac:dyDescent="0.25">
      <c r="M134" s="84"/>
      <c r="N134" s="81"/>
      <c r="O134" s="81"/>
      <c r="P134" s="81"/>
      <c r="V134" s="81"/>
      <c r="W134" s="81"/>
      <c r="X134" s="81"/>
      <c r="Y134" s="81"/>
      <c r="Z134" s="81"/>
      <c r="AA134" s="81"/>
      <c r="AB134" s="81"/>
      <c r="AC134" s="81"/>
      <c r="AD134" s="81"/>
      <c r="AE134" s="81"/>
      <c r="AF134" s="81"/>
      <c r="AG134" s="81"/>
      <c r="AH134" s="81"/>
      <c r="AI134" s="81"/>
    </row>
    <row r="135" spans="13:35" x14ac:dyDescent="0.25">
      <c r="M135" s="84"/>
      <c r="N135" s="81"/>
      <c r="O135" s="81"/>
      <c r="P135" s="81"/>
      <c r="V135" s="81"/>
      <c r="W135" s="81"/>
      <c r="X135" s="81"/>
      <c r="Y135" s="81"/>
      <c r="Z135" s="81"/>
      <c r="AA135" s="81"/>
      <c r="AB135" s="81"/>
      <c r="AC135" s="81"/>
      <c r="AD135" s="81"/>
      <c r="AE135" s="81"/>
      <c r="AF135" s="81"/>
      <c r="AG135" s="81"/>
      <c r="AH135" s="81"/>
      <c r="AI135" s="81"/>
    </row>
    <row r="136" spans="13:35" x14ac:dyDescent="0.25">
      <c r="M136" s="84"/>
      <c r="N136" s="81"/>
      <c r="O136" s="81"/>
      <c r="P136" s="81"/>
      <c r="V136" s="81"/>
      <c r="W136" s="81"/>
      <c r="X136" s="81"/>
      <c r="Y136" s="81"/>
      <c r="Z136" s="81"/>
      <c r="AA136" s="81"/>
      <c r="AB136" s="81"/>
      <c r="AC136" s="81"/>
      <c r="AD136" s="81"/>
      <c r="AE136" s="81"/>
      <c r="AF136" s="81"/>
      <c r="AG136" s="81"/>
      <c r="AH136" s="81"/>
      <c r="AI136" s="81"/>
    </row>
    <row r="137" spans="13:35" x14ac:dyDescent="0.25">
      <c r="M137" s="84"/>
      <c r="N137" s="81"/>
      <c r="O137" s="81"/>
      <c r="P137" s="81"/>
      <c r="V137" s="81"/>
      <c r="W137" s="81"/>
      <c r="X137" s="81"/>
      <c r="Y137" s="81"/>
      <c r="Z137" s="81"/>
      <c r="AA137" s="81"/>
      <c r="AB137" s="81"/>
      <c r="AC137" s="81"/>
      <c r="AD137" s="81"/>
      <c r="AE137" s="81"/>
      <c r="AF137" s="81"/>
      <c r="AG137" s="81"/>
      <c r="AH137" s="81"/>
      <c r="AI137" s="81"/>
    </row>
    <row r="138" spans="13:35" x14ac:dyDescent="0.25">
      <c r="M138" s="84"/>
      <c r="N138" s="81"/>
      <c r="O138" s="81"/>
      <c r="P138" s="81"/>
      <c r="V138" s="81"/>
      <c r="W138" s="81"/>
      <c r="X138" s="81"/>
      <c r="Y138" s="81"/>
      <c r="Z138" s="81"/>
      <c r="AA138" s="81"/>
      <c r="AB138" s="81"/>
      <c r="AC138" s="81"/>
      <c r="AD138" s="81"/>
      <c r="AE138" s="81"/>
      <c r="AF138" s="81"/>
      <c r="AG138" s="81"/>
      <c r="AH138" s="81"/>
      <c r="AI138" s="81"/>
    </row>
    <row r="139" spans="13:35" x14ac:dyDescent="0.25">
      <c r="M139" s="84"/>
      <c r="N139" s="81"/>
      <c r="O139" s="81"/>
      <c r="P139" s="81"/>
      <c r="V139" s="81"/>
      <c r="W139" s="81"/>
      <c r="X139" s="81"/>
      <c r="Y139" s="81"/>
      <c r="Z139" s="81"/>
      <c r="AA139" s="81"/>
      <c r="AB139" s="81"/>
      <c r="AC139" s="81"/>
      <c r="AD139" s="81"/>
      <c r="AE139" s="81"/>
      <c r="AF139" s="81"/>
      <c r="AG139" s="81"/>
      <c r="AH139" s="81"/>
      <c r="AI139" s="81"/>
    </row>
    <row r="140" spans="13:35" x14ac:dyDescent="0.25">
      <c r="M140" s="84"/>
      <c r="N140" s="81"/>
      <c r="O140" s="81"/>
      <c r="P140" s="81"/>
      <c r="V140" s="81"/>
      <c r="W140" s="81"/>
      <c r="X140" s="81"/>
      <c r="Y140" s="81"/>
      <c r="Z140" s="81"/>
      <c r="AA140" s="81"/>
      <c r="AB140" s="81"/>
      <c r="AC140" s="81"/>
      <c r="AD140" s="81"/>
      <c r="AE140" s="81"/>
      <c r="AF140" s="81"/>
      <c r="AG140" s="81"/>
      <c r="AH140" s="81"/>
      <c r="AI140" s="81"/>
    </row>
    <row r="141" spans="13:35" x14ac:dyDescent="0.25">
      <c r="M141" s="84"/>
      <c r="N141" s="81"/>
      <c r="O141" s="81"/>
      <c r="P141" s="81"/>
      <c r="V141" s="81"/>
      <c r="W141" s="81"/>
      <c r="X141" s="81"/>
      <c r="Y141" s="81"/>
      <c r="Z141" s="81"/>
      <c r="AA141" s="81"/>
      <c r="AB141" s="81"/>
      <c r="AC141" s="81"/>
      <c r="AD141" s="81"/>
      <c r="AE141" s="81"/>
      <c r="AF141" s="81"/>
      <c r="AG141" s="81"/>
      <c r="AH141" s="81"/>
      <c r="AI141" s="81"/>
    </row>
    <row r="142" spans="13:35" x14ac:dyDescent="0.25">
      <c r="M142" s="84"/>
      <c r="N142" s="81"/>
      <c r="O142" s="81"/>
      <c r="P142" s="81"/>
      <c r="V142" s="81"/>
      <c r="W142" s="81"/>
      <c r="X142" s="81"/>
      <c r="Y142" s="81"/>
      <c r="Z142" s="81"/>
      <c r="AA142" s="81"/>
      <c r="AB142" s="81"/>
      <c r="AC142" s="81"/>
      <c r="AD142" s="81"/>
      <c r="AE142" s="81"/>
      <c r="AF142" s="81"/>
      <c r="AG142" s="81"/>
      <c r="AH142" s="81"/>
      <c r="AI142" s="81"/>
    </row>
    <row r="143" spans="13:35" x14ac:dyDescent="0.25">
      <c r="M143" s="84"/>
      <c r="N143" s="81"/>
      <c r="O143" s="81"/>
      <c r="P143" s="81"/>
      <c r="V143" s="81"/>
      <c r="W143" s="81"/>
      <c r="X143" s="81"/>
      <c r="Y143" s="81"/>
      <c r="Z143" s="81"/>
      <c r="AA143" s="81"/>
      <c r="AB143" s="81"/>
      <c r="AC143" s="81"/>
      <c r="AD143" s="81"/>
      <c r="AE143" s="81"/>
      <c r="AF143" s="81"/>
      <c r="AG143" s="81"/>
      <c r="AH143" s="81"/>
      <c r="AI143" s="81"/>
    </row>
    <row r="144" spans="13:35" x14ac:dyDescent="0.25">
      <c r="M144" s="84"/>
      <c r="N144" s="81"/>
      <c r="O144" s="81"/>
      <c r="P144" s="81"/>
      <c r="V144" s="81"/>
      <c r="W144" s="81"/>
      <c r="X144" s="81"/>
      <c r="Y144" s="81"/>
      <c r="Z144" s="81"/>
      <c r="AA144" s="81"/>
      <c r="AB144" s="81"/>
      <c r="AC144" s="81"/>
      <c r="AD144" s="81"/>
      <c r="AE144" s="81"/>
      <c r="AF144" s="81"/>
      <c r="AG144" s="81"/>
      <c r="AH144" s="81"/>
      <c r="AI144" s="81"/>
    </row>
    <row r="145" spans="13:35" x14ac:dyDescent="0.25">
      <c r="M145" s="84"/>
      <c r="N145" s="81"/>
      <c r="O145" s="81"/>
      <c r="P145" s="81"/>
      <c r="V145" s="81"/>
      <c r="W145" s="81"/>
      <c r="X145" s="81"/>
      <c r="Y145" s="81"/>
      <c r="Z145" s="81"/>
      <c r="AA145" s="81"/>
      <c r="AB145" s="81"/>
      <c r="AC145" s="81"/>
      <c r="AD145" s="81"/>
      <c r="AE145" s="81"/>
      <c r="AF145" s="81"/>
      <c r="AG145" s="81"/>
      <c r="AH145" s="81"/>
      <c r="AI145" s="81"/>
    </row>
    <row r="146" spans="13:35" x14ac:dyDescent="0.25">
      <c r="M146" s="84"/>
      <c r="N146" s="81"/>
      <c r="O146" s="81"/>
      <c r="P146" s="81"/>
      <c r="V146" s="81"/>
      <c r="W146" s="81"/>
      <c r="X146" s="81"/>
      <c r="Y146" s="81"/>
      <c r="Z146" s="81"/>
      <c r="AA146" s="81"/>
      <c r="AB146" s="81"/>
      <c r="AC146" s="81"/>
      <c r="AD146" s="81"/>
      <c r="AE146" s="81"/>
      <c r="AF146" s="81"/>
      <c r="AG146" s="81"/>
      <c r="AH146" s="81"/>
      <c r="AI146" s="81"/>
    </row>
    <row r="147" spans="13:35" x14ac:dyDescent="0.25">
      <c r="M147" s="84"/>
      <c r="N147" s="81"/>
      <c r="O147" s="81"/>
      <c r="P147" s="81"/>
      <c r="V147" s="81"/>
      <c r="W147" s="81"/>
      <c r="X147" s="81"/>
      <c r="Y147" s="81"/>
      <c r="Z147" s="81"/>
      <c r="AA147" s="81"/>
      <c r="AB147" s="81"/>
      <c r="AC147" s="81"/>
      <c r="AD147" s="81"/>
      <c r="AE147" s="81"/>
      <c r="AF147" s="81"/>
      <c r="AG147" s="81"/>
      <c r="AH147" s="81"/>
      <c r="AI147" s="81"/>
    </row>
    <row r="148" spans="13:35" x14ac:dyDescent="0.25">
      <c r="M148" s="84"/>
      <c r="N148" s="81"/>
      <c r="O148" s="81"/>
      <c r="P148" s="81"/>
      <c r="V148" s="81"/>
      <c r="W148" s="81"/>
      <c r="X148" s="81"/>
      <c r="Y148" s="81"/>
      <c r="Z148" s="81"/>
      <c r="AA148" s="81"/>
      <c r="AB148" s="81"/>
      <c r="AC148" s="81"/>
      <c r="AD148" s="81"/>
      <c r="AE148" s="81"/>
      <c r="AF148" s="81"/>
      <c r="AG148" s="81"/>
      <c r="AH148" s="81"/>
      <c r="AI148" s="81"/>
    </row>
    <row r="149" spans="13:35" x14ac:dyDescent="0.25">
      <c r="M149" s="84"/>
      <c r="N149" s="81"/>
      <c r="O149" s="81"/>
      <c r="P149" s="81"/>
      <c r="V149" s="81"/>
      <c r="W149" s="81"/>
      <c r="X149" s="81"/>
      <c r="Y149" s="81"/>
      <c r="Z149" s="81"/>
      <c r="AA149" s="81"/>
      <c r="AB149" s="81"/>
      <c r="AC149" s="81"/>
      <c r="AD149" s="81"/>
      <c r="AE149" s="81"/>
      <c r="AF149" s="81"/>
      <c r="AG149" s="81"/>
      <c r="AH149" s="81"/>
      <c r="AI149" s="81"/>
    </row>
    <row r="150" spans="13:35" x14ac:dyDescent="0.25">
      <c r="M150" s="84"/>
      <c r="N150" s="81"/>
      <c r="O150" s="81"/>
      <c r="P150" s="81"/>
      <c r="V150" s="81"/>
      <c r="W150" s="81"/>
      <c r="X150" s="81"/>
      <c r="Y150" s="81"/>
      <c r="Z150" s="81"/>
      <c r="AA150" s="81"/>
      <c r="AB150" s="81"/>
      <c r="AC150" s="81"/>
      <c r="AD150" s="81"/>
      <c r="AE150" s="81"/>
      <c r="AF150" s="81"/>
      <c r="AG150" s="81"/>
      <c r="AH150" s="81"/>
      <c r="AI150" s="81"/>
    </row>
    <row r="151" spans="13:35" x14ac:dyDescent="0.25">
      <c r="M151" s="84"/>
      <c r="N151" s="81"/>
      <c r="O151" s="81"/>
      <c r="P151" s="81"/>
      <c r="V151" s="81"/>
      <c r="W151" s="81"/>
      <c r="X151" s="81"/>
      <c r="Y151" s="81"/>
      <c r="Z151" s="81"/>
      <c r="AA151" s="81"/>
      <c r="AB151" s="81"/>
      <c r="AC151" s="81"/>
      <c r="AD151" s="81"/>
      <c r="AE151" s="81"/>
      <c r="AF151" s="81"/>
      <c r="AG151" s="81"/>
      <c r="AH151" s="81"/>
      <c r="AI151" s="81"/>
    </row>
    <row r="152" spans="13:35" x14ac:dyDescent="0.25">
      <c r="M152" s="84"/>
      <c r="N152" s="81"/>
      <c r="O152" s="81"/>
      <c r="P152" s="81"/>
      <c r="V152" s="81"/>
      <c r="W152" s="81"/>
      <c r="X152" s="81"/>
      <c r="Y152" s="81"/>
      <c r="Z152" s="81"/>
      <c r="AA152" s="81"/>
      <c r="AB152" s="81"/>
      <c r="AC152" s="81"/>
      <c r="AD152" s="81"/>
      <c r="AE152" s="81"/>
      <c r="AF152" s="81"/>
      <c r="AG152" s="81"/>
      <c r="AH152" s="81"/>
      <c r="AI152" s="81"/>
    </row>
    <row r="153" spans="13:35" x14ac:dyDescent="0.25">
      <c r="M153" s="84"/>
      <c r="N153" s="81"/>
      <c r="O153" s="81"/>
      <c r="P153" s="81"/>
      <c r="V153" s="81"/>
      <c r="W153" s="81"/>
      <c r="X153" s="81"/>
      <c r="Y153" s="81"/>
      <c r="Z153" s="81"/>
      <c r="AA153" s="81"/>
      <c r="AB153" s="81"/>
      <c r="AC153" s="81"/>
      <c r="AD153" s="81"/>
      <c r="AE153" s="81"/>
      <c r="AF153" s="81"/>
      <c r="AG153" s="81"/>
      <c r="AH153" s="81"/>
      <c r="AI153" s="81"/>
    </row>
    <row r="154" spans="13:35" x14ac:dyDescent="0.25">
      <c r="M154" s="84"/>
      <c r="N154" s="81"/>
      <c r="O154" s="81"/>
      <c r="P154" s="81"/>
      <c r="V154" s="81"/>
      <c r="W154" s="81"/>
      <c r="X154" s="81"/>
      <c r="Y154" s="81"/>
      <c r="Z154" s="81"/>
      <c r="AA154" s="81"/>
      <c r="AB154" s="81"/>
      <c r="AC154" s="81"/>
      <c r="AD154" s="81"/>
      <c r="AE154" s="81"/>
      <c r="AF154" s="81"/>
      <c r="AG154" s="81"/>
      <c r="AH154" s="81"/>
      <c r="AI154" s="81"/>
    </row>
    <row r="155" spans="13:35" x14ac:dyDescent="0.25">
      <c r="M155" s="84"/>
      <c r="N155" s="81"/>
      <c r="O155" s="81"/>
      <c r="P155" s="81"/>
      <c r="V155" s="81"/>
      <c r="W155" s="81"/>
      <c r="X155" s="81"/>
      <c r="Y155" s="81"/>
      <c r="Z155" s="81"/>
      <c r="AA155" s="81"/>
      <c r="AB155" s="81"/>
      <c r="AC155" s="81"/>
      <c r="AD155" s="81"/>
      <c r="AE155" s="81"/>
      <c r="AF155" s="81"/>
      <c r="AG155" s="81"/>
      <c r="AH155" s="81"/>
      <c r="AI155" s="81"/>
    </row>
    <row r="156" spans="13:35" x14ac:dyDescent="0.25">
      <c r="M156" s="84"/>
      <c r="N156" s="81"/>
      <c r="O156" s="81"/>
      <c r="P156" s="81"/>
      <c r="V156" s="81"/>
      <c r="W156" s="81"/>
      <c r="X156" s="81"/>
      <c r="Y156" s="81"/>
      <c r="Z156" s="81"/>
      <c r="AA156" s="81"/>
      <c r="AB156" s="81"/>
      <c r="AC156" s="81"/>
      <c r="AD156" s="81"/>
      <c r="AE156" s="81"/>
      <c r="AF156" s="81"/>
      <c r="AG156" s="81"/>
      <c r="AH156" s="81"/>
      <c r="AI156" s="81"/>
    </row>
    <row r="157" spans="13:35" x14ac:dyDescent="0.25">
      <c r="M157" s="84"/>
      <c r="N157" s="81"/>
      <c r="O157" s="81"/>
      <c r="P157" s="81"/>
      <c r="V157" s="81"/>
      <c r="W157" s="81"/>
      <c r="X157" s="81"/>
      <c r="Y157" s="81"/>
      <c r="Z157" s="81"/>
      <c r="AA157" s="81"/>
      <c r="AB157" s="81"/>
      <c r="AC157" s="81"/>
      <c r="AD157" s="81"/>
      <c r="AE157" s="81"/>
      <c r="AF157" s="81"/>
      <c r="AG157" s="81"/>
      <c r="AH157" s="81"/>
      <c r="AI157" s="81"/>
    </row>
    <row r="158" spans="13:35" x14ac:dyDescent="0.25">
      <c r="M158" s="84"/>
      <c r="N158" s="81"/>
      <c r="O158" s="81"/>
      <c r="P158" s="81"/>
      <c r="V158" s="81"/>
      <c r="W158" s="81"/>
      <c r="X158" s="81"/>
      <c r="Y158" s="81"/>
      <c r="Z158" s="81"/>
      <c r="AA158" s="81"/>
      <c r="AB158" s="81"/>
      <c r="AC158" s="81"/>
      <c r="AD158" s="81"/>
      <c r="AE158" s="81"/>
      <c r="AF158" s="81"/>
      <c r="AG158" s="81"/>
      <c r="AH158" s="81"/>
      <c r="AI158" s="81"/>
    </row>
    <row r="159" spans="13:35" x14ac:dyDescent="0.25">
      <c r="M159" s="84"/>
      <c r="N159" s="81"/>
      <c r="O159" s="81"/>
      <c r="P159" s="81"/>
      <c r="V159" s="81"/>
      <c r="W159" s="81"/>
      <c r="X159" s="81"/>
      <c r="Y159" s="81"/>
      <c r="Z159" s="81"/>
      <c r="AA159" s="81"/>
      <c r="AB159" s="81"/>
      <c r="AC159" s="81"/>
      <c r="AD159" s="81"/>
      <c r="AE159" s="81"/>
      <c r="AF159" s="81"/>
      <c r="AG159" s="81"/>
      <c r="AH159" s="81"/>
      <c r="AI159" s="81"/>
    </row>
    <row r="160" spans="13:35" x14ac:dyDescent="0.25">
      <c r="M160" s="84"/>
      <c r="N160" s="81"/>
      <c r="O160" s="81"/>
      <c r="P160" s="81"/>
      <c r="V160" s="81"/>
      <c r="W160" s="81"/>
      <c r="X160" s="81"/>
      <c r="Y160" s="81"/>
      <c r="Z160" s="81"/>
      <c r="AA160" s="81"/>
      <c r="AB160" s="81"/>
      <c r="AC160" s="81"/>
      <c r="AD160" s="81"/>
      <c r="AE160" s="81"/>
      <c r="AF160" s="81"/>
      <c r="AG160" s="81"/>
      <c r="AH160" s="81"/>
      <c r="AI160" s="81"/>
    </row>
    <row r="161" spans="13:35" x14ac:dyDescent="0.25">
      <c r="M161" s="84"/>
      <c r="N161" s="81"/>
      <c r="O161" s="81"/>
      <c r="P161" s="81"/>
      <c r="V161" s="81"/>
      <c r="W161" s="81"/>
      <c r="X161" s="81"/>
      <c r="Y161" s="81"/>
      <c r="Z161" s="81"/>
      <c r="AA161" s="81"/>
      <c r="AB161" s="81"/>
      <c r="AC161" s="81"/>
      <c r="AD161" s="81"/>
      <c r="AE161" s="81"/>
      <c r="AF161" s="81"/>
      <c r="AG161" s="81"/>
      <c r="AH161" s="81"/>
      <c r="AI161" s="81"/>
    </row>
    <row r="162" spans="13:35" x14ac:dyDescent="0.25">
      <c r="M162" s="84"/>
      <c r="N162" s="81"/>
      <c r="O162" s="81"/>
      <c r="P162" s="81"/>
      <c r="V162" s="81"/>
      <c r="W162" s="81"/>
      <c r="X162" s="81"/>
      <c r="Y162" s="81"/>
      <c r="Z162" s="81"/>
      <c r="AA162" s="81"/>
      <c r="AB162" s="81"/>
      <c r="AC162" s="81"/>
      <c r="AD162" s="81"/>
      <c r="AE162" s="81"/>
      <c r="AF162" s="81"/>
      <c r="AG162" s="81"/>
      <c r="AH162" s="81"/>
      <c r="AI162" s="81"/>
    </row>
    <row r="163" spans="13:35" x14ac:dyDescent="0.25">
      <c r="M163" s="84"/>
      <c r="N163" s="81"/>
      <c r="O163" s="81"/>
      <c r="P163" s="81"/>
      <c r="V163" s="81"/>
      <c r="W163" s="81"/>
      <c r="X163" s="81"/>
      <c r="Y163" s="81"/>
      <c r="Z163" s="81"/>
      <c r="AA163" s="81"/>
      <c r="AB163" s="81"/>
      <c r="AC163" s="81"/>
      <c r="AD163" s="81"/>
      <c r="AE163" s="81"/>
      <c r="AF163" s="81"/>
      <c r="AG163" s="81"/>
      <c r="AH163" s="81"/>
      <c r="AI163" s="81"/>
    </row>
    <row r="164" spans="13:35" x14ac:dyDescent="0.25">
      <c r="M164" s="84"/>
      <c r="N164" s="81"/>
      <c r="O164" s="81"/>
      <c r="P164" s="81"/>
      <c r="V164" s="81"/>
      <c r="W164" s="81"/>
      <c r="X164" s="81"/>
      <c r="Y164" s="81"/>
      <c r="Z164" s="81"/>
      <c r="AA164" s="81"/>
      <c r="AB164" s="81"/>
      <c r="AC164" s="81"/>
      <c r="AD164" s="81"/>
      <c r="AE164" s="81"/>
      <c r="AF164" s="81"/>
      <c r="AG164" s="81"/>
      <c r="AH164" s="81"/>
      <c r="AI164" s="81"/>
    </row>
    <row r="165" spans="13:35" x14ac:dyDescent="0.25">
      <c r="M165" s="84"/>
      <c r="N165" s="81"/>
      <c r="O165" s="81"/>
      <c r="P165" s="81"/>
      <c r="V165" s="81"/>
      <c r="W165" s="81"/>
      <c r="X165" s="81"/>
      <c r="Y165" s="81"/>
      <c r="Z165" s="81"/>
      <c r="AA165" s="81"/>
      <c r="AB165" s="81"/>
      <c r="AC165" s="81"/>
      <c r="AD165" s="81"/>
      <c r="AE165" s="81"/>
      <c r="AF165" s="81"/>
      <c r="AG165" s="81"/>
      <c r="AH165" s="81"/>
      <c r="AI165" s="81"/>
    </row>
    <row r="166" spans="13:35" x14ac:dyDescent="0.25">
      <c r="M166" s="84"/>
      <c r="N166" s="81"/>
      <c r="O166" s="81"/>
      <c r="P166" s="81"/>
      <c r="V166" s="81"/>
      <c r="W166" s="81"/>
      <c r="X166" s="81"/>
      <c r="Y166" s="81"/>
      <c r="Z166" s="81"/>
      <c r="AA166" s="81"/>
      <c r="AB166" s="81"/>
      <c r="AC166" s="81"/>
      <c r="AD166" s="81"/>
      <c r="AE166" s="81"/>
      <c r="AF166" s="81"/>
      <c r="AG166" s="81"/>
      <c r="AH166" s="81"/>
      <c r="AI166" s="81"/>
    </row>
    <row r="167" spans="13:35" x14ac:dyDescent="0.25">
      <c r="M167" s="84"/>
      <c r="N167" s="81"/>
      <c r="O167" s="81"/>
      <c r="P167" s="81"/>
      <c r="V167" s="81"/>
      <c r="W167" s="81"/>
      <c r="X167" s="81"/>
      <c r="Y167" s="81"/>
      <c r="Z167" s="81"/>
      <c r="AA167" s="81"/>
      <c r="AB167" s="81"/>
      <c r="AC167" s="81"/>
      <c r="AD167" s="81"/>
      <c r="AE167" s="81"/>
      <c r="AF167" s="81"/>
      <c r="AG167" s="81"/>
      <c r="AH167" s="81"/>
      <c r="AI167" s="81"/>
    </row>
    <row r="168" spans="13:35" x14ac:dyDescent="0.25">
      <c r="M168" s="84"/>
      <c r="N168" s="81"/>
      <c r="O168" s="81"/>
      <c r="P168" s="81"/>
      <c r="V168" s="81"/>
      <c r="W168" s="81"/>
      <c r="X168" s="81"/>
      <c r="Y168" s="81"/>
      <c r="Z168" s="81"/>
      <c r="AA168" s="81"/>
      <c r="AB168" s="81"/>
      <c r="AC168" s="81"/>
      <c r="AD168" s="81"/>
      <c r="AE168" s="81"/>
      <c r="AF168" s="81"/>
      <c r="AG168" s="81"/>
      <c r="AH168" s="81"/>
      <c r="AI168" s="81"/>
    </row>
    <row r="169" spans="13:35" x14ac:dyDescent="0.25">
      <c r="M169" s="84"/>
      <c r="N169" s="81"/>
      <c r="O169" s="81"/>
      <c r="P169" s="81"/>
      <c r="V169" s="81"/>
      <c r="W169" s="81"/>
      <c r="X169" s="81"/>
      <c r="Y169" s="81"/>
      <c r="Z169" s="81"/>
      <c r="AA169" s="81"/>
      <c r="AB169" s="81"/>
      <c r="AC169" s="81"/>
      <c r="AD169" s="81"/>
      <c r="AE169" s="81"/>
      <c r="AF169" s="81"/>
      <c r="AG169" s="81"/>
      <c r="AH169" s="81"/>
      <c r="AI169" s="81"/>
    </row>
    <row r="170" spans="13:35" x14ac:dyDescent="0.25">
      <c r="M170" s="84"/>
      <c r="N170" s="81"/>
      <c r="O170" s="81"/>
      <c r="P170" s="81"/>
      <c r="V170" s="81"/>
      <c r="W170" s="81"/>
      <c r="X170" s="81"/>
      <c r="Y170" s="81"/>
      <c r="Z170" s="81"/>
      <c r="AA170" s="81"/>
      <c r="AB170" s="81"/>
      <c r="AC170" s="81"/>
      <c r="AD170" s="81"/>
      <c r="AE170" s="81"/>
      <c r="AF170" s="81"/>
      <c r="AG170" s="81"/>
      <c r="AH170" s="81"/>
      <c r="AI170" s="81"/>
    </row>
    <row r="171" spans="13:35" x14ac:dyDescent="0.25">
      <c r="M171" s="84"/>
      <c r="N171" s="81"/>
      <c r="O171" s="81"/>
      <c r="P171" s="81"/>
      <c r="V171" s="81"/>
      <c r="W171" s="81"/>
      <c r="X171" s="81"/>
      <c r="Y171" s="81"/>
      <c r="Z171" s="81"/>
      <c r="AA171" s="81"/>
      <c r="AB171" s="81"/>
      <c r="AC171" s="81"/>
      <c r="AD171" s="81"/>
      <c r="AE171" s="81"/>
      <c r="AF171" s="81"/>
      <c r="AG171" s="81"/>
      <c r="AH171" s="81"/>
      <c r="AI171" s="81"/>
    </row>
    <row r="172" spans="13:35" x14ac:dyDescent="0.25">
      <c r="M172" s="84"/>
      <c r="N172" s="81"/>
      <c r="O172" s="81"/>
      <c r="P172" s="81"/>
      <c r="V172" s="81"/>
      <c r="W172" s="81"/>
      <c r="X172" s="81"/>
      <c r="Y172" s="81"/>
      <c r="Z172" s="81"/>
      <c r="AA172" s="81"/>
      <c r="AB172" s="81"/>
      <c r="AC172" s="81"/>
      <c r="AD172" s="81"/>
      <c r="AE172" s="81"/>
      <c r="AF172" s="81"/>
      <c r="AG172" s="81"/>
      <c r="AH172" s="81"/>
      <c r="AI172" s="81"/>
    </row>
    <row r="173" spans="13:35" x14ac:dyDescent="0.25">
      <c r="M173" s="84"/>
      <c r="N173" s="81"/>
      <c r="O173" s="81"/>
      <c r="P173" s="81"/>
      <c r="V173" s="81"/>
      <c r="W173" s="81"/>
      <c r="X173" s="81"/>
      <c r="Y173" s="81"/>
      <c r="Z173" s="81"/>
      <c r="AA173" s="81"/>
      <c r="AB173" s="81"/>
      <c r="AC173" s="81"/>
      <c r="AD173" s="81"/>
      <c r="AE173" s="81"/>
      <c r="AF173" s="81"/>
      <c r="AG173" s="81"/>
      <c r="AH173" s="81"/>
      <c r="AI173" s="81"/>
    </row>
    <row r="174" spans="13:35" x14ac:dyDescent="0.25">
      <c r="M174" s="84"/>
      <c r="N174" s="81"/>
      <c r="O174" s="81"/>
      <c r="P174" s="81"/>
      <c r="V174" s="81"/>
      <c r="W174" s="81"/>
      <c r="X174" s="81"/>
      <c r="Y174" s="81"/>
      <c r="Z174" s="81"/>
      <c r="AA174" s="81"/>
      <c r="AB174" s="81"/>
      <c r="AC174" s="81"/>
      <c r="AD174" s="81"/>
      <c r="AE174" s="81"/>
      <c r="AF174" s="81"/>
      <c r="AG174" s="81"/>
      <c r="AH174" s="81"/>
      <c r="AI174" s="81"/>
    </row>
    <row r="175" spans="13:35" x14ac:dyDescent="0.25">
      <c r="M175" s="84"/>
      <c r="N175" s="81"/>
      <c r="O175" s="81"/>
      <c r="P175" s="81"/>
      <c r="V175" s="81"/>
      <c r="W175" s="81"/>
      <c r="X175" s="81"/>
      <c r="Y175" s="81"/>
      <c r="Z175" s="81"/>
      <c r="AA175" s="81"/>
      <c r="AB175" s="81"/>
      <c r="AC175" s="81"/>
      <c r="AD175" s="81"/>
      <c r="AE175" s="81"/>
      <c r="AF175" s="81"/>
      <c r="AG175" s="81"/>
      <c r="AH175" s="81"/>
      <c r="AI175" s="81"/>
    </row>
    <row r="176" spans="13:35" x14ac:dyDescent="0.25">
      <c r="M176" s="84"/>
      <c r="N176" s="81"/>
      <c r="O176" s="81"/>
      <c r="P176" s="81"/>
      <c r="V176" s="81"/>
      <c r="W176" s="81"/>
      <c r="X176" s="81"/>
      <c r="Y176" s="81"/>
      <c r="Z176" s="81"/>
      <c r="AA176" s="81"/>
      <c r="AB176" s="81"/>
      <c r="AC176" s="81"/>
      <c r="AD176" s="81"/>
      <c r="AE176" s="81"/>
      <c r="AF176" s="81"/>
      <c r="AG176" s="81"/>
      <c r="AH176" s="81"/>
      <c r="AI176" s="81"/>
    </row>
    <row r="177" spans="13:35" x14ac:dyDescent="0.25">
      <c r="M177" s="84"/>
      <c r="N177" s="81"/>
      <c r="O177" s="81"/>
      <c r="P177" s="81"/>
      <c r="V177" s="81"/>
      <c r="W177" s="81"/>
      <c r="X177" s="81"/>
      <c r="Y177" s="81"/>
      <c r="Z177" s="81"/>
      <c r="AA177" s="81"/>
      <c r="AB177" s="81"/>
      <c r="AC177" s="81"/>
      <c r="AD177" s="81"/>
      <c r="AE177" s="81"/>
      <c r="AF177" s="81"/>
      <c r="AG177" s="81"/>
      <c r="AH177" s="81"/>
      <c r="AI177" s="81"/>
    </row>
    <row r="178" spans="13:35" x14ac:dyDescent="0.25">
      <c r="M178" s="84"/>
      <c r="N178" s="81"/>
      <c r="O178" s="81"/>
      <c r="P178" s="81"/>
      <c r="V178" s="81"/>
      <c r="W178" s="81"/>
      <c r="X178" s="81"/>
      <c r="Y178" s="81"/>
      <c r="Z178" s="81"/>
      <c r="AA178" s="81"/>
      <c r="AB178" s="81"/>
      <c r="AC178" s="81"/>
      <c r="AD178" s="81"/>
      <c r="AE178" s="81"/>
      <c r="AF178" s="81"/>
      <c r="AG178" s="81"/>
      <c r="AH178" s="81"/>
      <c r="AI178" s="81"/>
    </row>
    <row r="179" spans="13:35" x14ac:dyDescent="0.25">
      <c r="M179" s="84"/>
      <c r="N179" s="81"/>
      <c r="O179" s="81"/>
      <c r="P179" s="81"/>
      <c r="V179" s="81"/>
      <c r="W179" s="81"/>
      <c r="X179" s="81"/>
      <c r="Y179" s="81"/>
      <c r="Z179" s="81"/>
      <c r="AA179" s="81"/>
      <c r="AB179" s="81"/>
      <c r="AC179" s="81"/>
      <c r="AD179" s="81"/>
      <c r="AE179" s="81"/>
      <c r="AF179" s="81"/>
      <c r="AG179" s="81"/>
      <c r="AH179" s="81"/>
      <c r="AI179" s="81"/>
    </row>
    <row r="180" spans="13:35" x14ac:dyDescent="0.25">
      <c r="M180" s="84"/>
      <c r="N180" s="81"/>
      <c r="O180" s="81"/>
      <c r="P180" s="81"/>
      <c r="V180" s="81"/>
      <c r="W180" s="81"/>
      <c r="X180" s="81"/>
      <c r="Y180" s="81"/>
      <c r="Z180" s="81"/>
      <c r="AA180" s="81"/>
      <c r="AB180" s="81"/>
      <c r="AC180" s="81"/>
      <c r="AD180" s="81"/>
      <c r="AE180" s="81"/>
      <c r="AF180" s="81"/>
      <c r="AG180" s="81"/>
      <c r="AH180" s="81"/>
      <c r="AI180" s="81"/>
    </row>
    <row r="181" spans="13:35" x14ac:dyDescent="0.25">
      <c r="M181" s="84"/>
      <c r="N181" s="81"/>
      <c r="O181" s="81"/>
      <c r="P181" s="81"/>
      <c r="V181" s="81"/>
      <c r="W181" s="81"/>
      <c r="X181" s="81"/>
      <c r="Y181" s="81"/>
      <c r="Z181" s="81"/>
      <c r="AA181" s="81"/>
      <c r="AB181" s="81"/>
      <c r="AC181" s="81"/>
      <c r="AD181" s="81"/>
      <c r="AE181" s="81"/>
      <c r="AF181" s="81"/>
      <c r="AG181" s="81"/>
      <c r="AH181" s="81"/>
      <c r="AI181" s="81"/>
    </row>
    <row r="182" spans="13:35" x14ac:dyDescent="0.25">
      <c r="M182" s="84"/>
      <c r="N182" s="81"/>
      <c r="O182" s="81"/>
      <c r="P182" s="81"/>
      <c r="V182" s="81"/>
      <c r="W182" s="81"/>
      <c r="X182" s="81"/>
      <c r="Y182" s="81"/>
      <c r="Z182" s="81"/>
      <c r="AA182" s="81"/>
      <c r="AB182" s="81"/>
      <c r="AC182" s="81"/>
      <c r="AD182" s="81"/>
      <c r="AE182" s="81"/>
      <c r="AF182" s="81"/>
      <c r="AG182" s="81"/>
      <c r="AH182" s="81"/>
      <c r="AI182" s="81"/>
    </row>
    <row r="183" spans="13:35" x14ac:dyDescent="0.25">
      <c r="M183" s="84"/>
      <c r="N183" s="81"/>
      <c r="O183" s="81"/>
      <c r="P183" s="81"/>
      <c r="V183" s="81"/>
      <c r="W183" s="81"/>
      <c r="X183" s="81"/>
      <c r="Y183" s="81"/>
      <c r="Z183" s="81"/>
      <c r="AA183" s="81"/>
      <c r="AB183" s="81"/>
      <c r="AC183" s="81"/>
      <c r="AD183" s="81"/>
      <c r="AE183" s="81"/>
      <c r="AF183" s="81"/>
      <c r="AG183" s="81"/>
      <c r="AH183" s="81"/>
      <c r="AI183" s="81"/>
    </row>
    <row r="184" spans="13:35" x14ac:dyDescent="0.25">
      <c r="M184" s="84"/>
      <c r="N184" s="81"/>
      <c r="O184" s="81"/>
      <c r="P184" s="81"/>
      <c r="V184" s="81"/>
      <c r="W184" s="81"/>
      <c r="X184" s="81"/>
      <c r="Y184" s="81"/>
      <c r="Z184" s="81"/>
      <c r="AA184" s="81"/>
      <c r="AB184" s="81"/>
      <c r="AC184" s="81"/>
      <c r="AD184" s="81"/>
      <c r="AE184" s="81"/>
      <c r="AF184" s="81"/>
      <c r="AG184" s="81"/>
      <c r="AH184" s="81"/>
      <c r="AI184" s="81"/>
    </row>
    <row r="185" spans="13:35" x14ac:dyDescent="0.25">
      <c r="M185" s="84"/>
      <c r="N185" s="81"/>
      <c r="O185" s="81"/>
      <c r="P185" s="81"/>
      <c r="V185" s="81"/>
      <c r="W185" s="81"/>
      <c r="X185" s="81"/>
      <c r="Y185" s="81"/>
      <c r="Z185" s="81"/>
      <c r="AA185" s="81"/>
      <c r="AB185" s="81"/>
      <c r="AC185" s="81"/>
      <c r="AD185" s="81"/>
      <c r="AE185" s="81"/>
      <c r="AF185" s="81"/>
      <c r="AG185" s="81"/>
      <c r="AH185" s="81"/>
      <c r="AI185" s="81"/>
    </row>
    <row r="186" spans="13:35" x14ac:dyDescent="0.25">
      <c r="M186" s="84"/>
      <c r="N186" s="81"/>
      <c r="O186" s="81"/>
      <c r="P186" s="81"/>
      <c r="V186" s="81"/>
      <c r="W186" s="81"/>
      <c r="X186" s="81"/>
      <c r="Y186" s="81"/>
      <c r="Z186" s="81"/>
      <c r="AA186" s="81"/>
      <c r="AB186" s="81"/>
      <c r="AC186" s="81"/>
      <c r="AD186" s="81"/>
      <c r="AE186" s="81"/>
      <c r="AF186" s="81"/>
      <c r="AG186" s="81"/>
      <c r="AH186" s="81"/>
      <c r="AI186" s="81"/>
    </row>
    <row r="187" spans="13:35" x14ac:dyDescent="0.25">
      <c r="M187" s="84"/>
      <c r="N187" s="81"/>
      <c r="O187" s="81"/>
      <c r="P187" s="81"/>
      <c r="V187" s="81"/>
      <c r="W187" s="81"/>
      <c r="X187" s="81"/>
      <c r="Y187" s="81"/>
      <c r="Z187" s="81"/>
      <c r="AA187" s="81"/>
      <c r="AB187" s="81"/>
      <c r="AC187" s="81"/>
      <c r="AD187" s="81"/>
      <c r="AE187" s="81"/>
      <c r="AF187" s="81"/>
      <c r="AG187" s="81"/>
      <c r="AH187" s="81"/>
      <c r="AI187" s="81"/>
    </row>
    <row r="188" spans="13:35" x14ac:dyDescent="0.25">
      <c r="M188" s="84"/>
      <c r="N188" s="81"/>
      <c r="O188" s="81"/>
      <c r="P188" s="81"/>
      <c r="V188" s="81"/>
      <c r="W188" s="81"/>
      <c r="X188" s="81"/>
      <c r="Y188" s="81"/>
      <c r="Z188" s="81"/>
      <c r="AA188" s="81"/>
      <c r="AB188" s="81"/>
      <c r="AC188" s="81"/>
      <c r="AD188" s="81"/>
      <c r="AE188" s="81"/>
      <c r="AF188" s="81"/>
      <c r="AG188" s="81"/>
      <c r="AH188" s="81"/>
      <c r="AI188" s="81"/>
    </row>
    <row r="189" spans="13:35" x14ac:dyDescent="0.25">
      <c r="M189" s="84"/>
      <c r="N189" s="81"/>
      <c r="O189" s="81"/>
      <c r="P189" s="81"/>
      <c r="V189" s="81"/>
      <c r="W189" s="81"/>
      <c r="X189" s="81"/>
      <c r="Y189" s="81"/>
      <c r="Z189" s="81"/>
      <c r="AA189" s="81"/>
      <c r="AB189" s="81"/>
      <c r="AC189" s="81"/>
      <c r="AD189" s="81"/>
      <c r="AE189" s="81"/>
      <c r="AF189" s="81"/>
      <c r="AG189" s="81"/>
      <c r="AH189" s="81"/>
      <c r="AI189" s="81"/>
    </row>
    <row r="190" spans="13:35" x14ac:dyDescent="0.25">
      <c r="M190" s="84"/>
      <c r="N190" s="81"/>
      <c r="O190" s="81"/>
      <c r="P190" s="81"/>
      <c r="V190" s="81"/>
      <c r="W190" s="81"/>
      <c r="X190" s="81"/>
      <c r="Y190" s="81"/>
      <c r="Z190" s="81"/>
      <c r="AA190" s="81"/>
      <c r="AB190" s="81"/>
      <c r="AC190" s="81"/>
      <c r="AD190" s="81"/>
      <c r="AE190" s="81"/>
      <c r="AF190" s="81"/>
      <c r="AG190" s="81"/>
      <c r="AH190" s="81"/>
      <c r="AI190" s="81"/>
    </row>
    <row r="191" spans="13:35" x14ac:dyDescent="0.25">
      <c r="M191" s="84"/>
      <c r="N191" s="81"/>
      <c r="O191" s="81"/>
      <c r="P191" s="81"/>
      <c r="V191" s="81"/>
      <c r="W191" s="81"/>
      <c r="X191" s="81"/>
      <c r="Y191" s="81"/>
      <c r="Z191" s="81"/>
      <c r="AA191" s="81"/>
      <c r="AB191" s="81"/>
      <c r="AC191" s="81"/>
      <c r="AD191" s="81"/>
      <c r="AE191" s="81"/>
      <c r="AF191" s="81"/>
      <c r="AG191" s="81"/>
      <c r="AH191" s="81"/>
      <c r="AI191" s="81"/>
    </row>
    <row r="192" spans="13:35" x14ac:dyDescent="0.25">
      <c r="M192" s="84"/>
      <c r="N192" s="81"/>
      <c r="O192" s="81"/>
      <c r="P192" s="81"/>
      <c r="V192" s="81"/>
      <c r="W192" s="81"/>
      <c r="X192" s="81"/>
      <c r="Y192" s="81"/>
      <c r="Z192" s="81"/>
      <c r="AA192" s="81"/>
      <c r="AB192" s="81"/>
      <c r="AC192" s="81"/>
      <c r="AD192" s="81"/>
      <c r="AE192" s="81"/>
      <c r="AF192" s="81"/>
      <c r="AG192" s="81"/>
      <c r="AH192" s="81"/>
      <c r="AI192" s="81"/>
    </row>
    <row r="193" spans="13:35" x14ac:dyDescent="0.25">
      <c r="M193" s="84"/>
      <c r="N193" s="81"/>
      <c r="O193" s="81"/>
      <c r="P193" s="81"/>
      <c r="V193" s="81"/>
      <c r="W193" s="81"/>
      <c r="X193" s="81"/>
      <c r="Y193" s="81"/>
      <c r="Z193" s="81"/>
      <c r="AA193" s="81"/>
      <c r="AB193" s="81"/>
      <c r="AC193" s="81"/>
      <c r="AD193" s="81"/>
      <c r="AE193" s="81"/>
      <c r="AF193" s="81"/>
      <c r="AG193" s="81"/>
      <c r="AH193" s="81"/>
      <c r="AI193" s="81"/>
    </row>
    <row r="194" spans="13:35" x14ac:dyDescent="0.25">
      <c r="M194" s="84"/>
      <c r="N194" s="81"/>
      <c r="O194" s="81"/>
      <c r="P194" s="81"/>
      <c r="V194" s="81"/>
      <c r="W194" s="81"/>
      <c r="X194" s="81"/>
      <c r="Y194" s="81"/>
      <c r="Z194" s="81"/>
      <c r="AA194" s="81"/>
      <c r="AB194" s="81"/>
      <c r="AC194" s="81"/>
      <c r="AD194" s="81"/>
      <c r="AE194" s="81"/>
      <c r="AF194" s="81"/>
      <c r="AG194" s="81"/>
      <c r="AH194" s="81"/>
      <c r="AI194" s="81"/>
    </row>
    <row r="195" spans="13:35" x14ac:dyDescent="0.25">
      <c r="M195" s="84"/>
      <c r="N195" s="81"/>
      <c r="O195" s="81"/>
      <c r="P195" s="81"/>
      <c r="V195" s="81"/>
      <c r="W195" s="81"/>
      <c r="X195" s="81"/>
      <c r="Y195" s="81"/>
      <c r="Z195" s="81"/>
      <c r="AA195" s="81"/>
      <c r="AB195" s="81"/>
      <c r="AC195" s="81"/>
      <c r="AD195" s="81"/>
      <c r="AE195" s="81"/>
      <c r="AF195" s="81"/>
      <c r="AG195" s="81"/>
      <c r="AH195" s="81"/>
      <c r="AI195" s="81"/>
    </row>
    <row r="196" spans="13:35" x14ac:dyDescent="0.25">
      <c r="M196" s="84"/>
      <c r="N196" s="81"/>
      <c r="O196" s="81"/>
      <c r="P196" s="81"/>
      <c r="V196" s="81"/>
      <c r="W196" s="81"/>
      <c r="X196" s="81"/>
      <c r="Y196" s="81"/>
      <c r="Z196" s="81"/>
      <c r="AA196" s="81"/>
      <c r="AB196" s="81"/>
      <c r="AC196" s="81"/>
      <c r="AD196" s="81"/>
      <c r="AE196" s="81"/>
      <c r="AF196" s="81"/>
      <c r="AG196" s="81"/>
      <c r="AH196" s="81"/>
      <c r="AI196" s="81"/>
    </row>
    <row r="197" spans="13:35" x14ac:dyDescent="0.25">
      <c r="M197" s="84"/>
      <c r="N197" s="81"/>
      <c r="O197" s="81"/>
      <c r="P197" s="81"/>
      <c r="V197" s="81"/>
      <c r="W197" s="81"/>
      <c r="X197" s="81"/>
      <c r="Y197" s="81"/>
      <c r="Z197" s="81"/>
      <c r="AA197" s="81"/>
      <c r="AB197" s="81"/>
      <c r="AC197" s="81"/>
      <c r="AD197" s="81"/>
      <c r="AE197" s="81"/>
      <c r="AF197" s="81"/>
      <c r="AG197" s="81"/>
      <c r="AH197" s="81"/>
      <c r="AI197" s="81"/>
    </row>
    <row r="198" spans="13:35" x14ac:dyDescent="0.25">
      <c r="M198" s="84"/>
      <c r="N198" s="81"/>
      <c r="O198" s="81"/>
      <c r="P198" s="81"/>
      <c r="V198" s="81"/>
      <c r="W198" s="81"/>
      <c r="X198" s="81"/>
      <c r="Y198" s="81"/>
      <c r="Z198" s="81"/>
      <c r="AA198" s="81"/>
      <c r="AB198" s="81"/>
      <c r="AC198" s="81"/>
      <c r="AD198" s="81"/>
      <c r="AE198" s="81"/>
      <c r="AF198" s="81"/>
      <c r="AG198" s="81"/>
      <c r="AH198" s="81"/>
      <c r="AI198" s="81"/>
    </row>
    <row r="199" spans="13:35" x14ac:dyDescent="0.25">
      <c r="M199" s="84"/>
      <c r="N199" s="81"/>
      <c r="O199" s="81"/>
      <c r="P199" s="81"/>
      <c r="V199" s="81"/>
      <c r="W199" s="81"/>
      <c r="X199" s="81"/>
      <c r="Y199" s="81"/>
      <c r="Z199" s="81"/>
      <c r="AA199" s="81"/>
      <c r="AB199" s="81"/>
      <c r="AC199" s="81"/>
      <c r="AD199" s="81"/>
      <c r="AE199" s="81"/>
      <c r="AF199" s="81"/>
      <c r="AG199" s="81"/>
      <c r="AH199" s="81"/>
      <c r="AI199" s="81"/>
    </row>
    <row r="200" spans="13:35" x14ac:dyDescent="0.25">
      <c r="M200" s="84"/>
      <c r="N200" s="81"/>
      <c r="O200" s="81"/>
      <c r="P200" s="81"/>
      <c r="V200" s="81"/>
      <c r="W200" s="81"/>
      <c r="X200" s="81"/>
      <c r="Y200" s="81"/>
      <c r="Z200" s="81"/>
      <c r="AA200" s="81"/>
      <c r="AB200" s="81"/>
      <c r="AC200" s="81"/>
      <c r="AD200" s="81"/>
      <c r="AE200" s="81"/>
      <c r="AF200" s="81"/>
      <c r="AG200" s="81"/>
      <c r="AH200" s="81"/>
      <c r="AI200" s="81"/>
    </row>
    <row r="201" spans="13:35" x14ac:dyDescent="0.25">
      <c r="M201" s="84"/>
      <c r="N201" s="81"/>
      <c r="O201" s="81"/>
      <c r="P201" s="81"/>
      <c r="V201" s="81"/>
      <c r="W201" s="81"/>
      <c r="X201" s="81"/>
      <c r="Y201" s="81"/>
      <c r="Z201" s="81"/>
      <c r="AA201" s="81"/>
      <c r="AB201" s="81"/>
      <c r="AC201" s="81"/>
      <c r="AD201" s="81"/>
      <c r="AE201" s="81"/>
      <c r="AF201" s="81"/>
      <c r="AG201" s="81"/>
      <c r="AH201" s="81"/>
      <c r="AI201" s="81"/>
    </row>
    <row r="202" spans="13:35" x14ac:dyDescent="0.25">
      <c r="M202" s="84"/>
      <c r="N202" s="81"/>
      <c r="O202" s="81"/>
      <c r="P202" s="81"/>
      <c r="V202" s="81"/>
      <c r="W202" s="81"/>
      <c r="X202" s="81"/>
      <c r="Y202" s="81"/>
      <c r="Z202" s="81"/>
      <c r="AA202" s="81"/>
      <c r="AB202" s="81"/>
      <c r="AC202" s="81"/>
      <c r="AD202" s="81"/>
      <c r="AE202" s="81"/>
      <c r="AF202" s="81"/>
      <c r="AG202" s="81"/>
      <c r="AH202" s="81"/>
      <c r="AI202" s="81"/>
    </row>
    <row r="203" spans="13:35" x14ac:dyDescent="0.25">
      <c r="M203" s="84"/>
      <c r="N203" s="81"/>
      <c r="O203" s="81"/>
      <c r="P203" s="81"/>
      <c r="V203" s="81"/>
      <c r="W203" s="81"/>
      <c r="X203" s="81"/>
      <c r="Y203" s="81"/>
      <c r="Z203" s="81"/>
      <c r="AA203" s="81"/>
      <c r="AB203" s="81"/>
      <c r="AC203" s="81"/>
      <c r="AD203" s="81"/>
      <c r="AE203" s="81"/>
      <c r="AF203" s="81"/>
      <c r="AG203" s="81"/>
      <c r="AH203" s="81"/>
      <c r="AI203" s="81"/>
    </row>
    <row r="204" spans="13:35" x14ac:dyDescent="0.25">
      <c r="M204" s="84"/>
      <c r="N204" s="81"/>
      <c r="O204" s="81"/>
      <c r="P204" s="81"/>
      <c r="V204" s="81"/>
      <c r="W204" s="81"/>
      <c r="X204" s="81"/>
      <c r="Y204" s="81"/>
      <c r="Z204" s="81"/>
      <c r="AA204" s="81"/>
      <c r="AB204" s="81"/>
      <c r="AC204" s="81"/>
      <c r="AD204" s="81"/>
      <c r="AE204" s="81"/>
      <c r="AF204" s="81"/>
      <c r="AG204" s="81"/>
      <c r="AH204" s="81"/>
      <c r="AI204" s="81"/>
    </row>
    <row r="205" spans="13:35" x14ac:dyDescent="0.25">
      <c r="M205" s="84"/>
      <c r="N205" s="81"/>
      <c r="O205" s="81"/>
      <c r="P205" s="81"/>
      <c r="V205" s="81"/>
      <c r="W205" s="81"/>
      <c r="X205" s="81"/>
      <c r="Y205" s="81"/>
      <c r="Z205" s="81"/>
      <c r="AA205" s="81"/>
      <c r="AB205" s="81"/>
      <c r="AC205" s="81"/>
      <c r="AD205" s="81"/>
      <c r="AE205" s="81"/>
      <c r="AF205" s="81"/>
      <c r="AG205" s="81"/>
      <c r="AH205" s="81"/>
      <c r="AI205" s="81"/>
    </row>
    <row r="206" spans="13:35" x14ac:dyDescent="0.25">
      <c r="M206" s="84"/>
      <c r="N206" s="81"/>
      <c r="O206" s="81"/>
      <c r="P206" s="81"/>
      <c r="V206" s="81"/>
      <c r="W206" s="81"/>
      <c r="X206" s="81"/>
      <c r="Y206" s="81"/>
      <c r="Z206" s="81"/>
      <c r="AA206" s="81"/>
      <c r="AB206" s="81"/>
      <c r="AC206" s="81"/>
      <c r="AD206" s="81"/>
      <c r="AE206" s="81"/>
      <c r="AF206" s="81"/>
      <c r="AG206" s="81"/>
      <c r="AH206" s="81"/>
      <c r="AI206" s="81"/>
    </row>
    <row r="207" spans="13:35" x14ac:dyDescent="0.25">
      <c r="M207" s="84"/>
      <c r="N207" s="81"/>
      <c r="O207" s="81"/>
      <c r="P207" s="81"/>
      <c r="V207" s="81"/>
      <c r="W207" s="81"/>
      <c r="X207" s="81"/>
      <c r="Y207" s="81"/>
      <c r="Z207" s="81"/>
      <c r="AA207" s="81"/>
      <c r="AB207" s="81"/>
      <c r="AC207" s="81"/>
      <c r="AD207" s="81"/>
      <c r="AE207" s="81"/>
      <c r="AF207" s="81"/>
      <c r="AG207" s="81"/>
      <c r="AH207" s="81"/>
      <c r="AI207" s="81"/>
    </row>
    <row r="208" spans="13:35" x14ac:dyDescent="0.25">
      <c r="M208" s="84"/>
      <c r="N208" s="81"/>
      <c r="O208" s="81"/>
      <c r="P208" s="81"/>
      <c r="V208" s="81"/>
      <c r="W208" s="81"/>
      <c r="X208" s="81"/>
      <c r="Y208" s="81"/>
      <c r="Z208" s="81"/>
      <c r="AA208" s="81"/>
      <c r="AB208" s="81"/>
      <c r="AC208" s="81"/>
      <c r="AD208" s="81"/>
      <c r="AE208" s="81"/>
      <c r="AF208" s="81"/>
      <c r="AG208" s="81"/>
      <c r="AH208" s="81"/>
      <c r="AI208" s="81"/>
    </row>
    <row r="209" spans="13:35" x14ac:dyDescent="0.25">
      <c r="M209" s="84"/>
      <c r="N209" s="81"/>
      <c r="O209" s="81"/>
      <c r="P209" s="81"/>
      <c r="V209" s="81"/>
      <c r="W209" s="81"/>
      <c r="X209" s="81"/>
      <c r="Y209" s="81"/>
      <c r="Z209" s="81"/>
      <c r="AA209" s="81"/>
      <c r="AB209" s="81"/>
      <c r="AC209" s="81"/>
      <c r="AD209" s="81"/>
      <c r="AE209" s="81"/>
      <c r="AF209" s="81"/>
      <c r="AG209" s="81"/>
      <c r="AH209" s="81"/>
      <c r="AI209" s="81"/>
    </row>
    <row r="210" spans="13:35" x14ac:dyDescent="0.25">
      <c r="M210" s="84"/>
      <c r="N210" s="81"/>
      <c r="O210" s="81"/>
      <c r="P210" s="81"/>
      <c r="V210" s="81"/>
      <c r="W210" s="81"/>
      <c r="X210" s="81"/>
      <c r="Y210" s="81"/>
      <c r="Z210" s="81"/>
      <c r="AA210" s="81"/>
      <c r="AB210" s="81"/>
      <c r="AC210" s="81"/>
      <c r="AD210" s="81"/>
      <c r="AE210" s="81"/>
      <c r="AF210" s="81"/>
      <c r="AG210" s="81"/>
      <c r="AH210" s="81"/>
      <c r="AI210" s="81"/>
    </row>
    <row r="211" spans="13:35" x14ac:dyDescent="0.25">
      <c r="M211" s="84"/>
      <c r="N211" s="81"/>
      <c r="O211" s="81"/>
      <c r="P211" s="81"/>
      <c r="V211" s="81"/>
      <c r="W211" s="81"/>
      <c r="X211" s="81"/>
      <c r="Y211" s="81"/>
      <c r="Z211" s="81"/>
      <c r="AA211" s="81"/>
      <c r="AB211" s="81"/>
      <c r="AC211" s="81"/>
      <c r="AD211" s="81"/>
      <c r="AE211" s="81"/>
      <c r="AF211" s="81"/>
      <c r="AG211" s="81"/>
      <c r="AH211" s="81"/>
      <c r="AI211" s="81"/>
    </row>
    <row r="212" spans="13:35" x14ac:dyDescent="0.25">
      <c r="M212" s="84"/>
      <c r="N212" s="81"/>
      <c r="O212" s="81"/>
      <c r="P212" s="81"/>
      <c r="V212" s="81"/>
      <c r="W212" s="81"/>
      <c r="X212" s="81"/>
      <c r="Y212" s="81"/>
      <c r="Z212" s="81"/>
      <c r="AA212" s="81"/>
      <c r="AB212" s="81"/>
      <c r="AC212" s="81"/>
      <c r="AD212" s="81"/>
      <c r="AE212" s="81"/>
      <c r="AF212" s="81"/>
      <c r="AG212" s="81"/>
      <c r="AH212" s="81"/>
      <c r="AI212" s="81"/>
    </row>
    <row r="213" spans="13:35" x14ac:dyDescent="0.25">
      <c r="M213" s="84"/>
      <c r="N213" s="81"/>
      <c r="O213" s="81"/>
      <c r="P213" s="81"/>
      <c r="V213" s="81"/>
      <c r="W213" s="81"/>
      <c r="X213" s="81"/>
      <c r="Y213" s="81"/>
      <c r="Z213" s="81"/>
      <c r="AA213" s="81"/>
      <c r="AB213" s="81"/>
      <c r="AC213" s="81"/>
      <c r="AD213" s="81"/>
      <c r="AE213" s="81"/>
      <c r="AF213" s="81"/>
      <c r="AG213" s="81"/>
      <c r="AH213" s="81"/>
      <c r="AI213" s="81"/>
    </row>
    <row r="214" spans="13:35" x14ac:dyDescent="0.25">
      <c r="M214" s="84"/>
      <c r="N214" s="81"/>
      <c r="O214" s="81"/>
      <c r="P214" s="81"/>
      <c r="V214" s="81"/>
      <c r="W214" s="81"/>
      <c r="X214" s="81"/>
      <c r="Y214" s="81"/>
      <c r="Z214" s="81"/>
      <c r="AA214" s="81"/>
      <c r="AB214" s="81"/>
      <c r="AC214" s="81"/>
      <c r="AD214" s="81"/>
      <c r="AE214" s="81"/>
      <c r="AF214" s="81"/>
      <c r="AG214" s="81"/>
      <c r="AH214" s="81"/>
      <c r="AI214" s="81"/>
    </row>
    <row r="215" spans="13:35" x14ac:dyDescent="0.25">
      <c r="M215" s="84"/>
      <c r="N215" s="81"/>
      <c r="O215" s="81"/>
      <c r="P215" s="81"/>
      <c r="V215" s="81"/>
      <c r="W215" s="81"/>
      <c r="X215" s="81"/>
      <c r="Y215" s="81"/>
      <c r="Z215" s="81"/>
      <c r="AA215" s="81"/>
      <c r="AB215" s="81"/>
      <c r="AC215" s="81"/>
      <c r="AD215" s="81"/>
      <c r="AE215" s="81"/>
      <c r="AF215" s="81"/>
      <c r="AG215" s="81"/>
      <c r="AH215" s="81"/>
      <c r="AI215" s="81"/>
    </row>
    <row r="216" spans="13:35" x14ac:dyDescent="0.25">
      <c r="M216" s="84"/>
      <c r="N216" s="81"/>
      <c r="O216" s="81"/>
      <c r="P216" s="81"/>
      <c r="V216" s="81"/>
      <c r="W216" s="81"/>
      <c r="X216" s="81"/>
      <c r="Y216" s="81"/>
      <c r="Z216" s="81"/>
      <c r="AA216" s="81"/>
      <c r="AB216" s="81"/>
      <c r="AC216" s="81"/>
      <c r="AD216" s="81"/>
      <c r="AE216" s="81"/>
      <c r="AF216" s="81"/>
      <c r="AG216" s="81"/>
      <c r="AH216" s="81"/>
      <c r="AI216" s="81"/>
    </row>
    <row r="217" spans="13:35" x14ac:dyDescent="0.25">
      <c r="M217" s="84"/>
      <c r="N217" s="81"/>
      <c r="O217" s="81"/>
      <c r="P217" s="81"/>
      <c r="V217" s="81"/>
      <c r="W217" s="81"/>
      <c r="X217" s="81"/>
      <c r="Y217" s="81"/>
      <c r="Z217" s="81"/>
      <c r="AA217" s="81"/>
      <c r="AB217" s="81"/>
      <c r="AC217" s="81"/>
      <c r="AD217" s="81"/>
      <c r="AE217" s="81"/>
      <c r="AF217" s="81"/>
      <c r="AG217" s="81"/>
      <c r="AH217" s="81"/>
      <c r="AI217" s="81"/>
    </row>
    <row r="218" spans="13:35" x14ac:dyDescent="0.25">
      <c r="M218" s="84"/>
      <c r="N218" s="81"/>
      <c r="O218" s="81"/>
      <c r="P218" s="81"/>
      <c r="V218" s="81"/>
      <c r="W218" s="81"/>
      <c r="X218" s="81"/>
      <c r="Y218" s="81"/>
      <c r="Z218" s="81"/>
      <c r="AA218" s="81"/>
      <c r="AB218" s="81"/>
      <c r="AC218" s="81"/>
      <c r="AD218" s="81"/>
      <c r="AE218" s="81"/>
      <c r="AF218" s="81"/>
      <c r="AG218" s="81"/>
      <c r="AH218" s="81"/>
      <c r="AI218" s="81"/>
    </row>
    <row r="219" spans="13:35" x14ac:dyDescent="0.25">
      <c r="M219" s="84"/>
      <c r="N219" s="81"/>
      <c r="O219" s="81"/>
      <c r="P219" s="81"/>
      <c r="V219" s="81"/>
      <c r="W219" s="81"/>
      <c r="X219" s="81"/>
      <c r="Y219" s="81"/>
      <c r="Z219" s="81"/>
      <c r="AA219" s="81"/>
      <c r="AB219" s="81"/>
      <c r="AC219" s="81"/>
      <c r="AD219" s="81"/>
      <c r="AE219" s="81"/>
      <c r="AF219" s="81"/>
      <c r="AG219" s="81"/>
      <c r="AH219" s="81"/>
      <c r="AI219" s="81"/>
    </row>
    <row r="220" spans="13:35" x14ac:dyDescent="0.25">
      <c r="M220" s="84"/>
      <c r="N220" s="81"/>
      <c r="O220" s="81"/>
      <c r="P220" s="81"/>
      <c r="V220" s="81"/>
      <c r="W220" s="81"/>
      <c r="X220" s="81"/>
      <c r="Y220" s="81"/>
      <c r="Z220" s="81"/>
      <c r="AA220" s="81"/>
      <c r="AB220" s="81"/>
      <c r="AC220" s="81"/>
      <c r="AD220" s="81"/>
      <c r="AE220" s="81"/>
      <c r="AF220" s="81"/>
      <c r="AG220" s="81"/>
      <c r="AH220" s="81"/>
      <c r="AI220" s="81"/>
    </row>
    <row r="221" spans="13:35" x14ac:dyDescent="0.25">
      <c r="M221" s="84"/>
      <c r="N221" s="81"/>
      <c r="O221" s="81"/>
      <c r="P221" s="81"/>
      <c r="V221" s="81"/>
      <c r="W221" s="81"/>
      <c r="X221" s="81"/>
      <c r="Y221" s="81"/>
      <c r="Z221" s="81"/>
      <c r="AA221" s="81"/>
      <c r="AB221" s="81"/>
      <c r="AC221" s="81"/>
      <c r="AD221" s="81"/>
      <c r="AE221" s="81"/>
      <c r="AF221" s="81"/>
      <c r="AG221" s="81"/>
      <c r="AH221" s="81"/>
      <c r="AI221" s="81"/>
    </row>
    <row r="222" spans="13:35" x14ac:dyDescent="0.25">
      <c r="M222" s="84"/>
      <c r="N222" s="81"/>
      <c r="O222" s="81"/>
      <c r="P222" s="81"/>
      <c r="V222" s="81"/>
      <c r="W222" s="81"/>
      <c r="X222" s="81"/>
      <c r="Y222" s="81"/>
      <c r="Z222" s="81"/>
      <c r="AA222" s="81"/>
      <c r="AB222" s="81"/>
      <c r="AC222" s="81"/>
      <c r="AD222" s="81"/>
      <c r="AE222" s="81"/>
      <c r="AF222" s="81"/>
      <c r="AG222" s="81"/>
      <c r="AH222" s="81"/>
      <c r="AI222" s="81"/>
    </row>
    <row r="223" spans="13:35" x14ac:dyDescent="0.25">
      <c r="M223" s="84"/>
      <c r="N223" s="81"/>
      <c r="O223" s="81"/>
      <c r="P223" s="81"/>
      <c r="V223" s="81"/>
      <c r="W223" s="81"/>
      <c r="X223" s="81"/>
      <c r="Y223" s="81"/>
      <c r="Z223" s="81"/>
      <c r="AA223" s="81"/>
      <c r="AB223" s="81"/>
      <c r="AC223" s="81"/>
      <c r="AD223" s="81"/>
      <c r="AE223" s="81"/>
      <c r="AF223" s="81"/>
      <c r="AG223" s="81"/>
      <c r="AH223" s="81"/>
      <c r="AI223" s="81"/>
    </row>
    <row r="224" spans="13:35" x14ac:dyDescent="0.25">
      <c r="M224" s="84"/>
      <c r="N224" s="81"/>
      <c r="O224" s="81"/>
      <c r="P224" s="81"/>
      <c r="V224" s="81"/>
      <c r="W224" s="81"/>
      <c r="X224" s="81"/>
      <c r="Y224" s="81"/>
      <c r="Z224" s="81"/>
      <c r="AA224" s="81"/>
      <c r="AB224" s="81"/>
      <c r="AC224" s="81"/>
      <c r="AD224" s="81"/>
      <c r="AE224" s="81"/>
      <c r="AF224" s="81"/>
      <c r="AG224" s="81"/>
      <c r="AH224" s="81"/>
      <c r="AI224" s="81"/>
    </row>
    <row r="225" spans="13:35" x14ac:dyDescent="0.25">
      <c r="M225" s="84"/>
      <c r="N225" s="81"/>
      <c r="O225" s="81"/>
      <c r="P225" s="81"/>
      <c r="V225" s="81"/>
      <c r="W225" s="81"/>
      <c r="X225" s="81"/>
      <c r="Y225" s="81"/>
      <c r="Z225" s="81"/>
      <c r="AA225" s="81"/>
      <c r="AB225" s="81"/>
      <c r="AC225" s="81"/>
      <c r="AD225" s="81"/>
      <c r="AE225" s="81"/>
      <c r="AF225" s="81"/>
      <c r="AG225" s="81"/>
      <c r="AH225" s="81"/>
      <c r="AI225" s="81"/>
    </row>
    <row r="226" spans="13:35" x14ac:dyDescent="0.25">
      <c r="M226" s="84"/>
      <c r="N226" s="81"/>
      <c r="O226" s="81"/>
      <c r="P226" s="81"/>
      <c r="V226" s="81"/>
      <c r="W226" s="81"/>
      <c r="X226" s="81"/>
      <c r="Y226" s="81"/>
      <c r="Z226" s="81"/>
      <c r="AA226" s="81"/>
      <c r="AB226" s="81"/>
      <c r="AC226" s="81"/>
      <c r="AD226" s="81"/>
      <c r="AE226" s="81"/>
      <c r="AF226" s="81"/>
      <c r="AG226" s="81"/>
      <c r="AH226" s="81"/>
      <c r="AI226" s="81"/>
    </row>
    <row r="227" spans="13:35" x14ac:dyDescent="0.25">
      <c r="M227" s="84"/>
      <c r="N227" s="81"/>
      <c r="O227" s="81"/>
      <c r="P227" s="81"/>
      <c r="V227" s="81"/>
      <c r="W227" s="81"/>
      <c r="X227" s="81"/>
      <c r="Y227" s="81"/>
      <c r="Z227" s="81"/>
      <c r="AA227" s="81"/>
      <c r="AB227" s="81"/>
      <c r="AC227" s="81"/>
      <c r="AD227" s="81"/>
      <c r="AE227" s="81"/>
      <c r="AF227" s="81"/>
      <c r="AG227" s="81"/>
      <c r="AH227" s="81"/>
      <c r="AI227" s="81"/>
    </row>
    <row r="228" spans="13:35" x14ac:dyDescent="0.25">
      <c r="M228" s="84"/>
      <c r="N228" s="81"/>
      <c r="O228" s="81"/>
      <c r="P228" s="81"/>
      <c r="V228" s="81"/>
      <c r="W228" s="81"/>
      <c r="X228" s="81"/>
      <c r="Y228" s="81"/>
      <c r="Z228" s="81"/>
      <c r="AA228" s="81"/>
      <c r="AB228" s="81"/>
      <c r="AC228" s="81"/>
      <c r="AD228" s="81"/>
      <c r="AE228" s="81"/>
      <c r="AF228" s="81"/>
      <c r="AG228" s="81"/>
      <c r="AH228" s="81"/>
      <c r="AI228" s="81"/>
    </row>
    <row r="229" spans="13:35" x14ac:dyDescent="0.25">
      <c r="M229" s="84"/>
      <c r="N229" s="81"/>
      <c r="O229" s="81"/>
      <c r="P229" s="81"/>
      <c r="V229" s="81"/>
      <c r="W229" s="81"/>
      <c r="X229" s="81"/>
      <c r="Y229" s="81"/>
      <c r="Z229" s="81"/>
      <c r="AA229" s="81"/>
      <c r="AB229" s="81"/>
      <c r="AC229" s="81"/>
      <c r="AD229" s="81"/>
      <c r="AE229" s="81"/>
      <c r="AF229" s="81"/>
      <c r="AG229" s="81"/>
      <c r="AH229" s="81"/>
      <c r="AI229" s="81"/>
    </row>
    <row r="230" spans="13:35" x14ac:dyDescent="0.25">
      <c r="M230" s="84"/>
      <c r="N230" s="81"/>
      <c r="O230" s="81"/>
      <c r="P230" s="81"/>
      <c r="V230" s="81"/>
      <c r="W230" s="81"/>
      <c r="X230" s="81"/>
      <c r="Y230" s="81"/>
      <c r="Z230" s="81"/>
      <c r="AA230" s="81"/>
      <c r="AB230" s="81"/>
      <c r="AC230" s="81"/>
      <c r="AD230" s="81"/>
      <c r="AE230" s="81"/>
      <c r="AF230" s="81"/>
      <c r="AG230" s="81"/>
      <c r="AH230" s="81"/>
      <c r="AI230" s="81"/>
    </row>
    <row r="231" spans="13:35" x14ac:dyDescent="0.25">
      <c r="M231" s="84"/>
      <c r="N231" s="81"/>
      <c r="O231" s="81"/>
      <c r="P231" s="81"/>
      <c r="V231" s="81"/>
      <c r="W231" s="81"/>
      <c r="X231" s="81"/>
      <c r="Y231" s="81"/>
      <c r="Z231" s="81"/>
      <c r="AA231" s="81"/>
      <c r="AB231" s="81"/>
      <c r="AC231" s="81"/>
      <c r="AD231" s="81"/>
      <c r="AE231" s="81"/>
      <c r="AF231" s="81"/>
      <c r="AG231" s="81"/>
      <c r="AH231" s="81"/>
      <c r="AI231" s="81"/>
    </row>
    <row r="232" spans="13:35" x14ac:dyDescent="0.25">
      <c r="M232" s="84"/>
      <c r="N232" s="81"/>
      <c r="O232" s="81"/>
      <c r="P232" s="81"/>
      <c r="V232" s="81"/>
      <c r="W232" s="81"/>
      <c r="X232" s="81"/>
      <c r="Y232" s="81"/>
      <c r="Z232" s="81"/>
      <c r="AA232" s="81"/>
      <c r="AB232" s="81"/>
      <c r="AC232" s="81"/>
      <c r="AD232" s="81"/>
      <c r="AE232" s="81"/>
      <c r="AF232" s="81"/>
      <c r="AG232" s="81"/>
      <c r="AH232" s="81"/>
      <c r="AI232" s="81"/>
    </row>
    <row r="233" spans="13:35" x14ac:dyDescent="0.25">
      <c r="M233" s="84"/>
      <c r="N233" s="81"/>
      <c r="O233" s="81"/>
      <c r="P233" s="81"/>
      <c r="V233" s="81"/>
      <c r="W233" s="81"/>
      <c r="X233" s="81"/>
      <c r="Y233" s="81"/>
      <c r="Z233" s="81"/>
      <c r="AA233" s="81"/>
      <c r="AB233" s="81"/>
      <c r="AC233" s="81"/>
      <c r="AD233" s="81"/>
      <c r="AE233" s="81"/>
      <c r="AF233" s="81"/>
      <c r="AG233" s="81"/>
      <c r="AH233" s="81"/>
      <c r="AI233" s="81"/>
    </row>
    <row r="234" spans="13:35" x14ac:dyDescent="0.25">
      <c r="M234" s="84"/>
      <c r="N234" s="81"/>
      <c r="O234" s="81"/>
      <c r="P234" s="81"/>
      <c r="V234" s="81"/>
      <c r="W234" s="81"/>
      <c r="X234" s="81"/>
      <c r="Y234" s="81"/>
      <c r="Z234" s="81"/>
      <c r="AA234" s="81"/>
      <c r="AB234" s="81"/>
      <c r="AC234" s="81"/>
      <c r="AD234" s="81"/>
      <c r="AE234" s="81"/>
      <c r="AF234" s="81"/>
      <c r="AG234" s="81"/>
      <c r="AH234" s="81"/>
      <c r="AI234" s="81"/>
    </row>
    <row r="235" spans="13:35" x14ac:dyDescent="0.25">
      <c r="M235" s="84"/>
      <c r="N235" s="81"/>
      <c r="O235" s="81"/>
      <c r="P235" s="81"/>
      <c r="V235" s="81"/>
      <c r="W235" s="81"/>
      <c r="X235" s="81"/>
      <c r="Y235" s="81"/>
      <c r="Z235" s="81"/>
      <c r="AA235" s="81"/>
      <c r="AB235" s="81"/>
      <c r="AC235" s="81"/>
      <c r="AD235" s="81"/>
      <c r="AE235" s="81"/>
      <c r="AF235" s="81"/>
      <c r="AG235" s="81"/>
      <c r="AH235" s="81"/>
      <c r="AI235" s="81"/>
    </row>
    <row r="236" spans="13:35" x14ac:dyDescent="0.25">
      <c r="M236" s="84"/>
      <c r="N236" s="81"/>
      <c r="O236" s="81"/>
      <c r="P236" s="81"/>
      <c r="V236" s="81"/>
      <c r="W236" s="81"/>
      <c r="X236" s="81"/>
      <c r="Y236" s="81"/>
      <c r="Z236" s="81"/>
      <c r="AA236" s="81"/>
      <c r="AB236" s="81"/>
      <c r="AC236" s="81"/>
      <c r="AD236" s="81"/>
      <c r="AE236" s="81"/>
      <c r="AF236" s="81"/>
      <c r="AG236" s="81"/>
      <c r="AH236" s="81"/>
      <c r="AI236" s="81"/>
    </row>
    <row r="237" spans="13:35" x14ac:dyDescent="0.25">
      <c r="M237" s="84"/>
      <c r="N237" s="81"/>
      <c r="O237" s="81"/>
      <c r="P237" s="81"/>
      <c r="V237" s="81"/>
      <c r="W237" s="81"/>
      <c r="X237" s="81"/>
      <c r="Y237" s="81"/>
      <c r="Z237" s="81"/>
      <c r="AA237" s="81"/>
      <c r="AB237" s="81"/>
      <c r="AC237" s="81"/>
      <c r="AD237" s="81"/>
      <c r="AE237" s="81"/>
      <c r="AF237" s="81"/>
      <c r="AG237" s="81"/>
      <c r="AH237" s="81"/>
      <c r="AI237" s="81"/>
    </row>
    <row r="238" spans="13:35" x14ac:dyDescent="0.25">
      <c r="M238" s="84"/>
      <c r="N238" s="81"/>
      <c r="O238" s="81"/>
      <c r="P238" s="81"/>
      <c r="V238" s="81"/>
      <c r="W238" s="81"/>
      <c r="X238" s="81"/>
      <c r="Y238" s="81"/>
      <c r="Z238" s="81"/>
      <c r="AA238" s="81"/>
      <c r="AB238" s="81"/>
      <c r="AC238" s="81"/>
      <c r="AD238" s="81"/>
      <c r="AE238" s="81"/>
      <c r="AF238" s="81"/>
      <c r="AG238" s="81"/>
      <c r="AH238" s="81"/>
      <c r="AI238" s="81"/>
    </row>
    <row r="239" spans="13:35" x14ac:dyDescent="0.25">
      <c r="M239" s="84"/>
      <c r="N239" s="81"/>
      <c r="O239" s="81"/>
      <c r="P239" s="81"/>
      <c r="V239" s="81"/>
      <c r="W239" s="81"/>
      <c r="X239" s="81"/>
      <c r="Y239" s="81"/>
      <c r="Z239" s="81"/>
      <c r="AA239" s="81"/>
      <c r="AB239" s="81"/>
      <c r="AC239" s="81"/>
      <c r="AD239" s="81"/>
      <c r="AE239" s="81"/>
      <c r="AF239" s="81"/>
      <c r="AG239" s="81"/>
      <c r="AH239" s="81"/>
      <c r="AI239" s="81"/>
    </row>
    <row r="240" spans="13:35" x14ac:dyDescent="0.25">
      <c r="M240" s="84"/>
      <c r="N240" s="81"/>
      <c r="O240" s="81"/>
      <c r="P240" s="81"/>
      <c r="V240" s="81"/>
      <c r="W240" s="81"/>
      <c r="X240" s="81"/>
      <c r="Y240" s="81"/>
      <c r="Z240" s="81"/>
      <c r="AA240" s="81"/>
      <c r="AB240" s="81"/>
      <c r="AC240" s="81"/>
      <c r="AD240" s="81"/>
      <c r="AE240" s="81"/>
      <c r="AF240" s="81"/>
      <c r="AG240" s="81"/>
      <c r="AH240" s="81"/>
      <c r="AI240" s="81"/>
    </row>
    <row r="241" spans="13:35" x14ac:dyDescent="0.25">
      <c r="M241" s="84"/>
      <c r="N241" s="81"/>
      <c r="O241" s="81"/>
      <c r="P241" s="81"/>
      <c r="V241" s="81"/>
      <c r="W241" s="81"/>
      <c r="X241" s="81"/>
      <c r="Y241" s="81"/>
      <c r="Z241" s="81"/>
      <c r="AA241" s="81"/>
      <c r="AB241" s="81"/>
      <c r="AC241" s="81"/>
      <c r="AD241" s="81"/>
      <c r="AE241" s="81"/>
      <c r="AF241" s="81"/>
      <c r="AG241" s="81"/>
      <c r="AH241" s="81"/>
      <c r="AI241" s="81"/>
    </row>
    <row r="242" spans="13:35" x14ac:dyDescent="0.25">
      <c r="M242" s="84"/>
      <c r="N242" s="81"/>
      <c r="O242" s="81"/>
      <c r="P242" s="81"/>
      <c r="V242" s="81"/>
      <c r="W242" s="81"/>
      <c r="X242" s="81"/>
      <c r="Y242" s="81"/>
      <c r="Z242" s="81"/>
      <c r="AA242" s="81"/>
      <c r="AB242" s="81"/>
      <c r="AC242" s="81"/>
      <c r="AD242" s="81"/>
      <c r="AE242" s="81"/>
      <c r="AF242" s="81"/>
      <c r="AG242" s="81"/>
      <c r="AH242" s="81"/>
      <c r="AI242" s="81"/>
    </row>
    <row r="243" spans="13:35" x14ac:dyDescent="0.25">
      <c r="M243" s="84"/>
      <c r="N243" s="81"/>
      <c r="O243" s="81"/>
      <c r="P243" s="81"/>
      <c r="V243" s="81"/>
      <c r="W243" s="81"/>
      <c r="X243" s="81"/>
      <c r="Y243" s="81"/>
      <c r="Z243" s="81"/>
      <c r="AA243" s="81"/>
      <c r="AB243" s="81"/>
      <c r="AC243" s="81"/>
      <c r="AD243" s="81"/>
      <c r="AE243" s="81"/>
      <c r="AF243" s="81"/>
      <c r="AG243" s="81"/>
      <c r="AH243" s="81"/>
      <c r="AI243" s="81"/>
    </row>
    <row r="244" spans="13:35" x14ac:dyDescent="0.25">
      <c r="M244" s="84"/>
      <c r="N244" s="81"/>
      <c r="O244" s="81"/>
      <c r="P244" s="81"/>
      <c r="V244" s="81"/>
      <c r="W244" s="81"/>
      <c r="X244" s="81"/>
      <c r="Y244" s="81"/>
      <c r="Z244" s="81"/>
      <c r="AA244" s="81"/>
      <c r="AB244" s="81"/>
      <c r="AC244" s="81"/>
      <c r="AD244" s="81"/>
      <c r="AE244" s="81"/>
      <c r="AF244" s="81"/>
      <c r="AG244" s="81"/>
      <c r="AH244" s="81"/>
      <c r="AI244" s="81"/>
    </row>
    <row r="245" spans="13:35" x14ac:dyDescent="0.25">
      <c r="M245" s="84"/>
      <c r="N245" s="81"/>
      <c r="O245" s="81"/>
      <c r="P245" s="81"/>
      <c r="V245" s="81"/>
      <c r="W245" s="81"/>
      <c r="X245" s="81"/>
      <c r="Y245" s="81"/>
      <c r="Z245" s="81"/>
      <c r="AA245" s="81"/>
      <c r="AB245" s="81"/>
      <c r="AC245" s="81"/>
      <c r="AD245" s="81"/>
      <c r="AE245" s="81"/>
      <c r="AF245" s="81"/>
      <c r="AG245" s="81"/>
      <c r="AH245" s="81"/>
      <c r="AI245" s="81"/>
    </row>
    <row r="246" spans="13:35" x14ac:dyDescent="0.25">
      <c r="M246" s="84"/>
      <c r="N246" s="81"/>
      <c r="O246" s="81"/>
      <c r="P246" s="81"/>
      <c r="V246" s="81"/>
      <c r="W246" s="81"/>
      <c r="X246" s="81"/>
      <c r="Y246" s="81"/>
      <c r="Z246" s="81"/>
      <c r="AA246" s="81"/>
      <c r="AB246" s="81"/>
      <c r="AC246" s="81"/>
      <c r="AD246" s="81"/>
      <c r="AE246" s="81"/>
      <c r="AF246" s="81"/>
      <c r="AG246" s="81"/>
      <c r="AH246" s="81"/>
      <c r="AI246" s="81"/>
    </row>
    <row r="247" spans="13:35" x14ac:dyDescent="0.25">
      <c r="M247" s="84"/>
      <c r="N247" s="81"/>
      <c r="O247" s="81"/>
      <c r="P247" s="81"/>
      <c r="V247" s="81"/>
      <c r="W247" s="81"/>
      <c r="X247" s="81"/>
      <c r="Y247" s="81"/>
      <c r="Z247" s="81"/>
      <c r="AA247" s="81"/>
      <c r="AB247" s="81"/>
      <c r="AC247" s="81"/>
      <c r="AD247" s="81"/>
      <c r="AE247" s="81"/>
      <c r="AF247" s="81"/>
      <c r="AG247" s="81"/>
      <c r="AH247" s="81"/>
      <c r="AI247" s="81"/>
    </row>
    <row r="248" spans="13:35" x14ac:dyDescent="0.25">
      <c r="M248" s="84"/>
      <c r="N248" s="81"/>
      <c r="O248" s="81"/>
      <c r="P248" s="81"/>
      <c r="V248" s="81"/>
      <c r="W248" s="81"/>
      <c r="X248" s="81"/>
      <c r="Y248" s="81"/>
      <c r="Z248" s="81"/>
      <c r="AA248" s="81"/>
      <c r="AB248" s="81"/>
      <c r="AC248" s="81"/>
      <c r="AD248" s="81"/>
      <c r="AE248" s="81"/>
      <c r="AF248" s="81"/>
      <c r="AG248" s="81"/>
      <c r="AH248" s="81"/>
      <c r="AI248" s="81"/>
    </row>
    <row r="249" spans="13:35" x14ac:dyDescent="0.25">
      <c r="M249" s="84"/>
      <c r="N249" s="81"/>
      <c r="O249" s="81"/>
      <c r="P249" s="81"/>
      <c r="V249" s="81"/>
      <c r="W249" s="81"/>
      <c r="X249" s="81"/>
      <c r="Y249" s="81"/>
      <c r="Z249" s="81"/>
      <c r="AA249" s="81"/>
      <c r="AB249" s="81"/>
      <c r="AC249" s="81"/>
      <c r="AD249" s="81"/>
      <c r="AE249" s="81"/>
      <c r="AF249" s="81"/>
      <c r="AG249" s="81"/>
      <c r="AH249" s="81"/>
      <c r="AI249" s="81"/>
    </row>
    <row r="250" spans="13:35" x14ac:dyDescent="0.25">
      <c r="M250" s="84"/>
      <c r="N250" s="81"/>
      <c r="O250" s="81"/>
      <c r="P250" s="81"/>
      <c r="V250" s="81"/>
      <c r="W250" s="81"/>
      <c r="X250" s="81"/>
      <c r="Y250" s="81"/>
      <c r="Z250" s="81"/>
      <c r="AA250" s="81"/>
      <c r="AB250" s="81"/>
      <c r="AC250" s="81"/>
      <c r="AD250" s="81"/>
      <c r="AE250" s="81"/>
      <c r="AF250" s="81"/>
      <c r="AG250" s="81"/>
      <c r="AH250" s="81"/>
      <c r="AI250" s="81"/>
    </row>
    <row r="251" spans="13:35" x14ac:dyDescent="0.25">
      <c r="M251" s="84"/>
      <c r="N251" s="81"/>
      <c r="O251" s="81"/>
      <c r="P251" s="81"/>
      <c r="V251" s="81"/>
      <c r="W251" s="81"/>
      <c r="X251" s="81"/>
      <c r="Y251" s="81"/>
      <c r="Z251" s="81"/>
      <c r="AA251" s="81"/>
      <c r="AB251" s="81"/>
      <c r="AC251" s="81"/>
      <c r="AD251" s="81"/>
      <c r="AE251" s="81"/>
      <c r="AF251" s="81"/>
      <c r="AG251" s="81"/>
      <c r="AH251" s="81"/>
      <c r="AI251" s="81"/>
    </row>
    <row r="252" spans="13:35" x14ac:dyDescent="0.25">
      <c r="M252" s="84"/>
      <c r="N252" s="81"/>
      <c r="O252" s="81"/>
      <c r="P252" s="81"/>
      <c r="V252" s="81"/>
      <c r="W252" s="81"/>
      <c r="X252" s="81"/>
      <c r="Y252" s="81"/>
      <c r="Z252" s="81"/>
      <c r="AA252" s="81"/>
      <c r="AB252" s="81"/>
      <c r="AC252" s="81"/>
      <c r="AD252" s="81"/>
      <c r="AE252" s="81"/>
      <c r="AF252" s="81"/>
      <c r="AG252" s="81"/>
      <c r="AH252" s="81"/>
      <c r="AI252" s="81"/>
    </row>
    <row r="253" spans="13:35" x14ac:dyDescent="0.25">
      <c r="M253" s="84"/>
      <c r="N253" s="81"/>
      <c r="O253" s="81"/>
      <c r="P253" s="81"/>
      <c r="V253" s="81"/>
      <c r="W253" s="81"/>
      <c r="X253" s="81"/>
      <c r="Y253" s="81"/>
      <c r="Z253" s="81"/>
      <c r="AA253" s="81"/>
      <c r="AB253" s="81"/>
      <c r="AC253" s="81"/>
      <c r="AD253" s="81"/>
      <c r="AE253" s="81"/>
      <c r="AF253" s="81"/>
      <c r="AG253" s="81"/>
      <c r="AH253" s="81"/>
      <c r="AI253" s="81"/>
    </row>
    <row r="254" spans="13:35" x14ac:dyDescent="0.25">
      <c r="M254" s="84"/>
      <c r="N254" s="81"/>
      <c r="O254" s="81"/>
      <c r="P254" s="81"/>
      <c r="V254" s="81"/>
      <c r="W254" s="81"/>
      <c r="X254" s="81"/>
      <c r="Y254" s="81"/>
      <c r="Z254" s="81"/>
      <c r="AA254" s="81"/>
      <c r="AB254" s="81"/>
      <c r="AC254" s="81"/>
      <c r="AD254" s="81"/>
      <c r="AE254" s="81"/>
      <c r="AF254" s="81"/>
      <c r="AG254" s="81"/>
      <c r="AH254" s="81"/>
      <c r="AI254" s="81"/>
    </row>
    <row r="255" spans="13:35" x14ac:dyDescent="0.25">
      <c r="M255" s="84"/>
      <c r="N255" s="81"/>
      <c r="O255" s="81"/>
      <c r="P255" s="81"/>
      <c r="V255" s="81"/>
      <c r="W255" s="81"/>
      <c r="X255" s="81"/>
      <c r="Y255" s="81"/>
      <c r="Z255" s="81"/>
      <c r="AA255" s="81"/>
      <c r="AB255" s="81"/>
      <c r="AC255" s="81"/>
      <c r="AD255" s="81"/>
      <c r="AE255" s="81"/>
      <c r="AF255" s="81"/>
      <c r="AG255" s="81"/>
      <c r="AH255" s="81"/>
      <c r="AI255" s="81"/>
    </row>
    <row r="256" spans="13:35" x14ac:dyDescent="0.25">
      <c r="M256" s="84"/>
      <c r="N256" s="81"/>
      <c r="O256" s="81"/>
      <c r="P256" s="81"/>
      <c r="V256" s="81"/>
      <c r="W256" s="81"/>
      <c r="X256" s="81"/>
      <c r="Y256" s="81"/>
      <c r="Z256" s="81"/>
      <c r="AA256" s="81"/>
      <c r="AB256" s="81"/>
      <c r="AC256" s="81"/>
      <c r="AD256" s="81"/>
      <c r="AE256" s="81"/>
      <c r="AF256" s="81"/>
      <c r="AG256" s="81"/>
      <c r="AH256" s="81"/>
      <c r="AI256" s="81"/>
    </row>
    <row r="257" spans="13:35" x14ac:dyDescent="0.25">
      <c r="M257" s="84"/>
      <c r="N257" s="81"/>
      <c r="O257" s="81"/>
      <c r="P257" s="81"/>
      <c r="V257" s="81"/>
      <c r="W257" s="81"/>
      <c r="X257" s="81"/>
      <c r="Y257" s="81"/>
      <c r="Z257" s="81"/>
      <c r="AA257" s="81"/>
      <c r="AB257" s="81"/>
      <c r="AC257" s="81"/>
      <c r="AD257" s="81"/>
      <c r="AE257" s="81"/>
      <c r="AF257" s="81"/>
      <c r="AG257" s="81"/>
      <c r="AH257" s="81"/>
      <c r="AI257" s="81"/>
    </row>
    <row r="258" spans="13:35" x14ac:dyDescent="0.25">
      <c r="M258" s="84"/>
      <c r="N258" s="81"/>
      <c r="O258" s="81"/>
      <c r="P258" s="81"/>
      <c r="V258" s="81"/>
      <c r="W258" s="81"/>
      <c r="X258" s="81"/>
      <c r="Y258" s="81"/>
      <c r="Z258" s="81"/>
      <c r="AA258" s="81"/>
      <c r="AB258" s="81"/>
      <c r="AC258" s="81"/>
      <c r="AD258" s="81"/>
      <c r="AE258" s="81"/>
      <c r="AF258" s="81"/>
      <c r="AG258" s="81"/>
      <c r="AH258" s="81"/>
      <c r="AI258" s="81"/>
    </row>
    <row r="259" spans="13:35" x14ac:dyDescent="0.25">
      <c r="M259" s="84"/>
      <c r="N259" s="81"/>
      <c r="O259" s="81"/>
      <c r="P259" s="81"/>
      <c r="V259" s="81"/>
      <c r="W259" s="81"/>
      <c r="X259" s="81"/>
      <c r="Y259" s="81"/>
      <c r="Z259" s="81"/>
      <c r="AA259" s="81"/>
      <c r="AB259" s="81"/>
      <c r="AC259" s="81"/>
      <c r="AD259" s="81"/>
      <c r="AE259" s="81"/>
      <c r="AF259" s="81"/>
      <c r="AG259" s="81"/>
      <c r="AH259" s="81"/>
      <c r="AI259" s="81"/>
    </row>
    <row r="260" spans="13:35" x14ac:dyDescent="0.25">
      <c r="M260" s="84"/>
      <c r="N260" s="81"/>
      <c r="O260" s="81"/>
      <c r="P260" s="81"/>
      <c r="V260" s="81"/>
      <c r="W260" s="81"/>
      <c r="X260" s="81"/>
      <c r="Y260" s="81"/>
      <c r="Z260" s="81"/>
      <c r="AA260" s="81"/>
      <c r="AB260" s="81"/>
      <c r="AC260" s="81"/>
      <c r="AD260" s="81"/>
      <c r="AE260" s="81"/>
      <c r="AF260" s="81"/>
      <c r="AG260" s="81"/>
      <c r="AH260" s="81"/>
      <c r="AI260" s="81"/>
    </row>
    <row r="261" spans="13:35" x14ac:dyDescent="0.25">
      <c r="M261" s="84"/>
      <c r="N261" s="81"/>
      <c r="O261" s="81"/>
      <c r="P261" s="81"/>
      <c r="V261" s="81"/>
      <c r="W261" s="81"/>
      <c r="X261" s="81"/>
      <c r="Y261" s="81"/>
      <c r="Z261" s="81"/>
      <c r="AA261" s="81"/>
      <c r="AB261" s="81"/>
      <c r="AC261" s="81"/>
      <c r="AD261" s="81"/>
      <c r="AE261" s="81"/>
      <c r="AF261" s="81"/>
      <c r="AG261" s="81"/>
      <c r="AH261" s="81"/>
      <c r="AI261" s="81"/>
    </row>
    <row r="262" spans="13:35" x14ac:dyDescent="0.25">
      <c r="M262" s="84"/>
      <c r="N262" s="81"/>
      <c r="O262" s="81"/>
      <c r="P262" s="81"/>
      <c r="V262" s="81"/>
      <c r="W262" s="81"/>
      <c r="X262" s="81"/>
      <c r="Y262" s="81"/>
      <c r="Z262" s="81"/>
      <c r="AA262" s="81"/>
      <c r="AB262" s="81"/>
      <c r="AC262" s="81"/>
      <c r="AD262" s="81"/>
      <c r="AE262" s="81"/>
      <c r="AF262" s="81"/>
      <c r="AG262" s="81"/>
      <c r="AH262" s="81"/>
      <c r="AI262" s="81"/>
    </row>
    <row r="263" spans="13:35" x14ac:dyDescent="0.25">
      <c r="M263" s="84"/>
      <c r="N263" s="81"/>
      <c r="O263" s="81"/>
      <c r="P263" s="81"/>
      <c r="V263" s="81"/>
      <c r="W263" s="81"/>
      <c r="X263" s="81"/>
      <c r="Y263" s="81"/>
      <c r="Z263" s="81"/>
      <c r="AA263" s="81"/>
      <c r="AB263" s="81"/>
      <c r="AC263" s="81"/>
      <c r="AD263" s="81"/>
      <c r="AE263" s="81"/>
      <c r="AF263" s="81"/>
      <c r="AG263" s="81"/>
      <c r="AH263" s="81"/>
      <c r="AI263" s="81"/>
    </row>
    <row r="264" spans="13:35" x14ac:dyDescent="0.25">
      <c r="M264" s="84"/>
      <c r="N264" s="81"/>
      <c r="O264" s="81"/>
      <c r="P264" s="81"/>
      <c r="V264" s="81"/>
      <c r="W264" s="81"/>
      <c r="X264" s="81"/>
      <c r="Y264" s="81"/>
      <c r="Z264" s="81"/>
      <c r="AA264" s="81"/>
      <c r="AB264" s="81"/>
      <c r="AC264" s="81"/>
      <c r="AD264" s="81"/>
      <c r="AE264" s="81"/>
      <c r="AF264" s="81"/>
      <c r="AG264" s="81"/>
      <c r="AH264" s="81"/>
      <c r="AI264" s="81"/>
    </row>
    <row r="265" spans="13:35" x14ac:dyDescent="0.25">
      <c r="M265" s="84"/>
      <c r="N265" s="81"/>
      <c r="O265" s="81"/>
      <c r="P265" s="81"/>
      <c r="V265" s="81"/>
      <c r="W265" s="81"/>
      <c r="X265" s="81"/>
      <c r="Y265" s="81"/>
      <c r="Z265" s="81"/>
      <c r="AA265" s="81"/>
      <c r="AB265" s="81"/>
      <c r="AC265" s="81"/>
      <c r="AD265" s="81"/>
      <c r="AE265" s="81"/>
      <c r="AF265" s="81"/>
      <c r="AG265" s="81"/>
      <c r="AH265" s="81"/>
      <c r="AI265" s="81"/>
    </row>
    <row r="266" spans="13:35" x14ac:dyDescent="0.25">
      <c r="M266" s="84"/>
      <c r="N266" s="81"/>
      <c r="O266" s="81"/>
      <c r="P266" s="81"/>
      <c r="V266" s="81"/>
      <c r="W266" s="81"/>
      <c r="X266" s="81"/>
      <c r="Y266" s="81"/>
      <c r="Z266" s="81"/>
      <c r="AA266" s="81"/>
      <c r="AB266" s="81"/>
      <c r="AC266" s="81"/>
      <c r="AD266" s="81"/>
      <c r="AE266" s="81"/>
      <c r="AF266" s="81"/>
      <c r="AG266" s="81"/>
      <c r="AH266" s="81"/>
      <c r="AI266" s="81"/>
    </row>
    <row r="267" spans="13:35" x14ac:dyDescent="0.25">
      <c r="M267" s="84"/>
      <c r="N267" s="81"/>
      <c r="O267" s="81"/>
      <c r="P267" s="81"/>
      <c r="V267" s="81"/>
      <c r="W267" s="81"/>
      <c r="X267" s="81"/>
      <c r="Y267" s="81"/>
      <c r="Z267" s="81"/>
      <c r="AA267" s="81"/>
      <c r="AB267" s="81"/>
      <c r="AC267" s="81"/>
      <c r="AD267" s="81"/>
      <c r="AE267" s="81"/>
      <c r="AF267" s="81"/>
      <c r="AG267" s="81"/>
      <c r="AH267" s="81"/>
      <c r="AI267" s="81"/>
    </row>
    <row r="268" spans="13:35" x14ac:dyDescent="0.25">
      <c r="M268" s="84"/>
      <c r="N268" s="81"/>
      <c r="O268" s="81"/>
      <c r="P268" s="81"/>
      <c r="V268" s="81"/>
      <c r="W268" s="81"/>
      <c r="X268" s="81"/>
      <c r="Y268" s="81"/>
      <c r="Z268" s="81"/>
      <c r="AA268" s="81"/>
      <c r="AB268" s="81"/>
      <c r="AC268" s="81"/>
      <c r="AD268" s="81"/>
      <c r="AE268" s="81"/>
      <c r="AF268" s="81"/>
      <c r="AG268" s="81"/>
      <c r="AH268" s="81"/>
      <c r="AI268" s="81"/>
    </row>
    <row r="269" spans="13:35" x14ac:dyDescent="0.25">
      <c r="M269" s="84"/>
      <c r="N269" s="81"/>
      <c r="O269" s="81"/>
      <c r="P269" s="81"/>
      <c r="V269" s="81"/>
      <c r="W269" s="81"/>
      <c r="X269" s="81"/>
      <c r="Y269" s="81"/>
      <c r="Z269" s="81"/>
      <c r="AA269" s="81"/>
      <c r="AB269" s="81"/>
      <c r="AC269" s="81"/>
      <c r="AD269" s="81"/>
      <c r="AE269" s="81"/>
      <c r="AF269" s="81"/>
      <c r="AG269" s="81"/>
      <c r="AH269" s="81"/>
      <c r="AI269" s="81"/>
    </row>
    <row r="270" spans="13:35" x14ac:dyDescent="0.25">
      <c r="M270" s="84"/>
      <c r="N270" s="81"/>
      <c r="O270" s="81"/>
      <c r="P270" s="81"/>
      <c r="V270" s="81"/>
      <c r="W270" s="81"/>
      <c r="X270" s="81"/>
      <c r="Y270" s="81"/>
      <c r="Z270" s="81"/>
      <c r="AA270" s="81"/>
      <c r="AB270" s="81"/>
      <c r="AC270" s="81"/>
      <c r="AD270" s="81"/>
      <c r="AE270" s="81"/>
      <c r="AF270" s="81"/>
      <c r="AG270" s="81"/>
      <c r="AH270" s="81"/>
      <c r="AI270" s="81"/>
    </row>
    <row r="271" spans="13:35" x14ac:dyDescent="0.25">
      <c r="M271" s="84"/>
      <c r="N271" s="81"/>
      <c r="O271" s="81"/>
      <c r="P271" s="81"/>
      <c r="V271" s="81"/>
      <c r="W271" s="81"/>
      <c r="X271" s="81"/>
      <c r="Y271" s="81"/>
      <c r="Z271" s="81"/>
      <c r="AA271" s="81"/>
      <c r="AB271" s="81"/>
      <c r="AC271" s="81"/>
      <c r="AD271" s="81"/>
      <c r="AE271" s="81"/>
      <c r="AF271" s="81"/>
      <c r="AG271" s="81"/>
      <c r="AH271" s="81"/>
      <c r="AI271" s="81"/>
    </row>
    <row r="272" spans="13:35" x14ac:dyDescent="0.25">
      <c r="M272" s="84"/>
      <c r="N272" s="81"/>
      <c r="O272" s="81"/>
      <c r="P272" s="81"/>
      <c r="V272" s="81"/>
      <c r="W272" s="81"/>
      <c r="X272" s="81"/>
      <c r="Y272" s="81"/>
      <c r="Z272" s="81"/>
      <c r="AA272" s="81"/>
      <c r="AB272" s="81"/>
      <c r="AC272" s="81"/>
      <c r="AD272" s="81"/>
      <c r="AE272" s="81"/>
      <c r="AF272" s="81"/>
      <c r="AG272" s="81"/>
      <c r="AH272" s="81"/>
      <c r="AI272" s="81"/>
    </row>
    <row r="273" spans="13:35" x14ac:dyDescent="0.25">
      <c r="M273" s="84"/>
      <c r="N273" s="81"/>
      <c r="O273" s="81"/>
      <c r="P273" s="81"/>
      <c r="V273" s="81"/>
      <c r="W273" s="81"/>
      <c r="X273" s="81"/>
      <c r="Y273" s="81"/>
      <c r="Z273" s="81"/>
      <c r="AA273" s="81"/>
      <c r="AB273" s="81"/>
      <c r="AC273" s="81"/>
      <c r="AD273" s="81"/>
      <c r="AE273" s="81"/>
      <c r="AF273" s="81"/>
      <c r="AG273" s="81"/>
      <c r="AH273" s="81"/>
      <c r="AI273" s="81"/>
    </row>
    <row r="274" spans="13:35" x14ac:dyDescent="0.25">
      <c r="M274" s="84"/>
      <c r="N274" s="81"/>
      <c r="O274" s="81"/>
      <c r="P274" s="81"/>
      <c r="V274" s="81"/>
      <c r="W274" s="81"/>
      <c r="X274" s="81"/>
      <c r="Y274" s="81"/>
      <c r="Z274" s="81"/>
      <c r="AA274" s="81"/>
      <c r="AB274" s="81"/>
      <c r="AC274" s="81"/>
      <c r="AD274" s="81"/>
      <c r="AE274" s="81"/>
      <c r="AF274" s="81"/>
      <c r="AG274" s="81"/>
      <c r="AH274" s="81"/>
      <c r="AI274" s="81"/>
    </row>
    <row r="275" spans="13:35" x14ac:dyDescent="0.25">
      <c r="M275" s="84"/>
      <c r="N275" s="81"/>
      <c r="O275" s="81"/>
      <c r="P275" s="81"/>
      <c r="V275" s="81"/>
      <c r="W275" s="81"/>
      <c r="X275" s="81"/>
      <c r="Y275" s="81"/>
      <c r="Z275" s="81"/>
      <c r="AA275" s="81"/>
      <c r="AB275" s="81"/>
      <c r="AC275" s="81"/>
      <c r="AD275" s="81"/>
      <c r="AE275" s="81"/>
      <c r="AF275" s="81"/>
      <c r="AG275" s="81"/>
      <c r="AH275" s="81"/>
      <c r="AI275" s="81"/>
    </row>
    <row r="276" spans="13:35" x14ac:dyDescent="0.25">
      <c r="M276" s="84"/>
      <c r="N276" s="81"/>
      <c r="O276" s="81"/>
      <c r="P276" s="81"/>
      <c r="V276" s="81"/>
      <c r="W276" s="81"/>
      <c r="X276" s="81"/>
      <c r="Y276" s="81"/>
      <c r="Z276" s="81"/>
      <c r="AA276" s="81"/>
      <c r="AB276" s="81"/>
      <c r="AC276" s="81"/>
      <c r="AD276" s="81"/>
      <c r="AE276" s="81"/>
      <c r="AF276" s="81"/>
      <c r="AG276" s="81"/>
      <c r="AH276" s="81"/>
      <c r="AI276" s="81"/>
    </row>
    <row r="277" spans="13:35" x14ac:dyDescent="0.25">
      <c r="M277" s="84"/>
      <c r="N277" s="81"/>
      <c r="O277" s="81"/>
      <c r="P277" s="81"/>
      <c r="V277" s="81"/>
      <c r="W277" s="81"/>
      <c r="X277" s="81"/>
      <c r="Y277" s="81"/>
      <c r="Z277" s="81"/>
      <c r="AA277" s="81"/>
      <c r="AB277" s="81"/>
      <c r="AC277" s="81"/>
      <c r="AD277" s="81"/>
      <c r="AE277" s="81"/>
      <c r="AF277" s="81"/>
      <c r="AG277" s="81"/>
      <c r="AH277" s="81"/>
      <c r="AI277" s="81"/>
    </row>
    <row r="278" spans="13:35" x14ac:dyDescent="0.25">
      <c r="M278" s="84"/>
      <c r="N278" s="81"/>
      <c r="O278" s="81"/>
      <c r="P278" s="81"/>
      <c r="V278" s="81"/>
      <c r="W278" s="81"/>
      <c r="X278" s="81"/>
      <c r="Y278" s="81"/>
      <c r="Z278" s="81"/>
      <c r="AA278" s="81"/>
      <c r="AB278" s="81"/>
      <c r="AC278" s="81"/>
      <c r="AD278" s="81"/>
      <c r="AE278" s="81"/>
      <c r="AF278" s="81"/>
      <c r="AG278" s="81"/>
      <c r="AH278" s="81"/>
      <c r="AI278" s="81"/>
    </row>
    <row r="279" spans="13:35" x14ac:dyDescent="0.25">
      <c r="M279" s="84"/>
      <c r="N279" s="81"/>
      <c r="O279" s="81"/>
      <c r="P279" s="81"/>
      <c r="V279" s="81"/>
      <c r="W279" s="81"/>
      <c r="X279" s="81"/>
      <c r="Y279" s="81"/>
      <c r="Z279" s="81"/>
      <c r="AA279" s="81"/>
      <c r="AB279" s="81"/>
      <c r="AC279" s="81"/>
      <c r="AD279" s="81"/>
      <c r="AE279" s="81"/>
      <c r="AF279" s="81"/>
      <c r="AG279" s="81"/>
      <c r="AH279" s="81"/>
      <c r="AI279" s="81"/>
    </row>
    <row r="280" spans="13:35" x14ac:dyDescent="0.25">
      <c r="M280" s="84"/>
      <c r="N280" s="81"/>
      <c r="O280" s="81"/>
      <c r="P280" s="81"/>
      <c r="V280" s="81"/>
      <c r="W280" s="81"/>
      <c r="X280" s="81"/>
      <c r="Y280" s="81"/>
      <c r="Z280" s="81"/>
      <c r="AA280" s="81"/>
      <c r="AB280" s="81"/>
      <c r="AC280" s="81"/>
      <c r="AD280" s="81"/>
      <c r="AE280" s="81"/>
      <c r="AF280" s="81"/>
      <c r="AG280" s="81"/>
      <c r="AH280" s="81"/>
      <c r="AI280" s="81"/>
    </row>
    <row r="281" spans="13:35" x14ac:dyDescent="0.25">
      <c r="M281" s="84"/>
      <c r="N281" s="81"/>
      <c r="O281" s="81"/>
      <c r="P281" s="81"/>
      <c r="V281" s="81"/>
      <c r="W281" s="81"/>
      <c r="X281" s="81"/>
      <c r="Y281" s="81"/>
      <c r="Z281" s="81"/>
      <c r="AA281" s="81"/>
      <c r="AB281" s="81"/>
      <c r="AC281" s="81"/>
      <c r="AD281" s="81"/>
      <c r="AE281" s="81"/>
      <c r="AF281" s="81"/>
      <c r="AG281" s="81"/>
      <c r="AH281" s="81"/>
      <c r="AI281" s="81"/>
    </row>
    <row r="282" spans="13:35" x14ac:dyDescent="0.25">
      <c r="M282" s="84"/>
      <c r="N282" s="81"/>
      <c r="O282" s="81"/>
      <c r="P282" s="81"/>
      <c r="V282" s="81"/>
      <c r="W282" s="81"/>
      <c r="X282" s="81"/>
      <c r="Y282" s="81"/>
      <c r="Z282" s="81"/>
      <c r="AA282" s="81"/>
      <c r="AB282" s="81"/>
      <c r="AC282" s="81"/>
      <c r="AD282" s="81"/>
      <c r="AE282" s="81"/>
      <c r="AF282" s="81"/>
      <c r="AG282" s="81"/>
      <c r="AH282" s="81"/>
      <c r="AI282" s="81"/>
    </row>
    <row r="283" spans="13:35" x14ac:dyDescent="0.25">
      <c r="M283" s="84"/>
      <c r="N283" s="81"/>
      <c r="O283" s="81"/>
      <c r="P283" s="81"/>
      <c r="V283" s="81"/>
      <c r="W283" s="81"/>
      <c r="X283" s="81"/>
      <c r="Y283" s="81"/>
      <c r="Z283" s="81"/>
      <c r="AA283" s="81"/>
      <c r="AB283" s="81"/>
      <c r="AC283" s="81"/>
      <c r="AD283" s="81"/>
      <c r="AE283" s="81"/>
      <c r="AF283" s="81"/>
      <c r="AG283" s="81"/>
      <c r="AH283" s="81"/>
      <c r="AI283" s="81"/>
    </row>
    <row r="284" spans="13:35" x14ac:dyDescent="0.25">
      <c r="M284" s="84"/>
      <c r="N284" s="81"/>
      <c r="O284" s="81"/>
      <c r="P284" s="81"/>
      <c r="V284" s="81"/>
      <c r="W284" s="81"/>
      <c r="X284" s="81"/>
      <c r="Y284" s="81"/>
      <c r="Z284" s="81"/>
      <c r="AA284" s="81"/>
      <c r="AB284" s="81"/>
      <c r="AC284" s="81"/>
      <c r="AD284" s="81"/>
      <c r="AE284" s="81"/>
      <c r="AF284" s="81"/>
      <c r="AG284" s="81"/>
      <c r="AH284" s="81"/>
      <c r="AI284" s="81"/>
    </row>
    <row r="285" spans="13:35" x14ac:dyDescent="0.25">
      <c r="M285" s="84"/>
      <c r="N285" s="81"/>
      <c r="O285" s="81"/>
      <c r="P285" s="81"/>
      <c r="V285" s="81"/>
      <c r="W285" s="81"/>
      <c r="X285" s="81"/>
      <c r="Y285" s="81"/>
      <c r="Z285" s="81"/>
      <c r="AA285" s="81"/>
      <c r="AB285" s="81"/>
      <c r="AC285" s="81"/>
      <c r="AD285" s="81"/>
      <c r="AE285" s="81"/>
      <c r="AF285" s="81"/>
      <c r="AG285" s="81"/>
      <c r="AH285" s="81"/>
      <c r="AI285" s="81"/>
    </row>
    <row r="286" spans="13:35" x14ac:dyDescent="0.25">
      <c r="M286" s="84"/>
      <c r="N286" s="81"/>
      <c r="O286" s="81"/>
      <c r="P286" s="81"/>
      <c r="V286" s="81"/>
      <c r="W286" s="81"/>
      <c r="X286" s="81"/>
      <c r="Y286" s="81"/>
      <c r="Z286" s="81"/>
      <c r="AA286" s="81"/>
      <c r="AB286" s="81"/>
      <c r="AC286" s="81"/>
      <c r="AD286" s="81"/>
      <c r="AE286" s="81"/>
      <c r="AF286" s="81"/>
      <c r="AG286" s="81"/>
      <c r="AH286" s="81"/>
      <c r="AI286" s="81"/>
    </row>
    <row r="287" spans="13:35" x14ac:dyDescent="0.25">
      <c r="M287" s="84"/>
      <c r="N287" s="81"/>
      <c r="O287" s="81"/>
      <c r="P287" s="81"/>
      <c r="V287" s="81"/>
      <c r="W287" s="81"/>
      <c r="X287" s="81"/>
      <c r="Y287" s="81"/>
      <c r="Z287" s="81"/>
      <c r="AA287" s="81"/>
      <c r="AB287" s="81"/>
      <c r="AC287" s="81"/>
      <c r="AD287" s="81"/>
      <c r="AE287" s="81"/>
      <c r="AF287" s="81"/>
      <c r="AG287" s="81"/>
      <c r="AH287" s="81"/>
      <c r="AI287" s="81"/>
    </row>
    <row r="288" spans="13:35" x14ac:dyDescent="0.25">
      <c r="M288" s="84"/>
      <c r="N288" s="81"/>
      <c r="O288" s="81"/>
      <c r="P288" s="81"/>
      <c r="V288" s="81"/>
      <c r="W288" s="81"/>
      <c r="X288" s="81"/>
      <c r="Y288" s="81"/>
      <c r="Z288" s="81"/>
      <c r="AA288" s="81"/>
      <c r="AB288" s="81"/>
      <c r="AC288" s="81"/>
      <c r="AD288" s="81"/>
      <c r="AE288" s="81"/>
      <c r="AF288" s="81"/>
      <c r="AG288" s="81"/>
      <c r="AH288" s="81"/>
      <c r="AI288" s="81"/>
    </row>
    <row r="289" spans="13:35" x14ac:dyDescent="0.25">
      <c r="M289" s="84"/>
      <c r="N289" s="81"/>
      <c r="O289" s="81"/>
      <c r="P289" s="81"/>
      <c r="V289" s="81"/>
      <c r="W289" s="81"/>
      <c r="X289" s="81"/>
      <c r="Y289" s="81"/>
      <c r="Z289" s="81"/>
      <c r="AA289" s="81"/>
      <c r="AB289" s="81"/>
      <c r="AC289" s="81"/>
      <c r="AD289" s="81"/>
      <c r="AE289" s="81"/>
      <c r="AF289" s="81"/>
      <c r="AG289" s="81"/>
      <c r="AH289" s="81"/>
      <c r="AI289" s="81"/>
    </row>
    <row r="290" spans="13:35" x14ac:dyDescent="0.25">
      <c r="M290" s="84"/>
      <c r="N290" s="81"/>
      <c r="O290" s="81"/>
      <c r="P290" s="81"/>
      <c r="V290" s="81"/>
      <c r="W290" s="81"/>
      <c r="X290" s="81"/>
      <c r="Y290" s="81"/>
      <c r="Z290" s="81"/>
      <c r="AA290" s="81"/>
      <c r="AB290" s="81"/>
      <c r="AC290" s="81"/>
      <c r="AD290" s="81"/>
      <c r="AE290" s="81"/>
      <c r="AF290" s="81"/>
      <c r="AG290" s="81"/>
      <c r="AH290" s="81"/>
      <c r="AI290" s="81"/>
    </row>
    <row r="291" spans="13:35" x14ac:dyDescent="0.25">
      <c r="M291" s="84"/>
      <c r="N291" s="81"/>
      <c r="O291" s="81"/>
      <c r="P291" s="81"/>
      <c r="V291" s="81"/>
      <c r="W291" s="81"/>
      <c r="X291" s="81"/>
      <c r="Y291" s="81"/>
      <c r="Z291" s="81"/>
      <c r="AA291" s="81"/>
      <c r="AB291" s="81"/>
      <c r="AC291" s="81"/>
      <c r="AD291" s="81"/>
      <c r="AE291" s="81"/>
      <c r="AF291" s="81"/>
      <c r="AG291" s="81"/>
      <c r="AH291" s="81"/>
      <c r="AI291" s="81"/>
    </row>
    <row r="292" spans="13:35" x14ac:dyDescent="0.25">
      <c r="M292" s="84"/>
      <c r="N292" s="81"/>
      <c r="O292" s="81"/>
      <c r="P292" s="81"/>
      <c r="V292" s="81"/>
      <c r="W292" s="81"/>
      <c r="X292" s="81"/>
      <c r="Y292" s="81"/>
      <c r="Z292" s="81"/>
      <c r="AA292" s="81"/>
      <c r="AB292" s="81"/>
      <c r="AC292" s="81"/>
      <c r="AD292" s="81"/>
      <c r="AE292" s="81"/>
      <c r="AF292" s="81"/>
      <c r="AG292" s="81"/>
      <c r="AH292" s="81"/>
      <c r="AI292" s="81"/>
    </row>
    <row r="293" spans="13:35" x14ac:dyDescent="0.25">
      <c r="M293" s="84"/>
      <c r="N293" s="81"/>
      <c r="O293" s="81"/>
      <c r="P293" s="81"/>
      <c r="V293" s="81"/>
      <c r="W293" s="81"/>
      <c r="X293" s="81"/>
      <c r="Y293" s="81"/>
      <c r="Z293" s="81"/>
      <c r="AA293" s="81"/>
      <c r="AB293" s="81"/>
      <c r="AC293" s="81"/>
      <c r="AD293" s="81"/>
      <c r="AE293" s="81"/>
      <c r="AF293" s="81"/>
      <c r="AG293" s="81"/>
      <c r="AH293" s="81"/>
      <c r="AI293" s="81"/>
    </row>
    <row r="294" spans="13:35" x14ac:dyDescent="0.25">
      <c r="M294" s="84"/>
      <c r="N294" s="81"/>
      <c r="O294" s="81"/>
      <c r="P294" s="81"/>
      <c r="V294" s="81"/>
      <c r="W294" s="81"/>
      <c r="X294" s="81"/>
      <c r="Y294" s="81"/>
      <c r="Z294" s="81"/>
      <c r="AA294" s="81"/>
      <c r="AB294" s="81"/>
      <c r="AC294" s="81"/>
      <c r="AD294" s="81"/>
      <c r="AE294" s="81"/>
      <c r="AF294" s="81"/>
      <c r="AG294" s="81"/>
      <c r="AH294" s="81"/>
      <c r="AI294" s="81"/>
    </row>
    <row r="295" spans="13:35" x14ac:dyDescent="0.25">
      <c r="M295" s="84"/>
      <c r="N295" s="81"/>
      <c r="O295" s="81"/>
      <c r="P295" s="81"/>
      <c r="V295" s="81"/>
      <c r="W295" s="81"/>
      <c r="X295" s="81"/>
      <c r="Y295" s="81"/>
      <c r="Z295" s="81"/>
      <c r="AA295" s="81"/>
      <c r="AB295" s="81"/>
      <c r="AC295" s="81"/>
      <c r="AD295" s="81"/>
      <c r="AE295" s="81"/>
      <c r="AF295" s="81"/>
      <c r="AG295" s="81"/>
      <c r="AH295" s="81"/>
      <c r="AI295" s="81"/>
    </row>
    <row r="296" spans="13:35" x14ac:dyDescent="0.25">
      <c r="M296" s="84"/>
      <c r="N296" s="81"/>
      <c r="O296" s="81"/>
      <c r="P296" s="81"/>
      <c r="V296" s="81"/>
      <c r="W296" s="81"/>
      <c r="X296" s="81"/>
      <c r="Y296" s="81"/>
      <c r="Z296" s="81"/>
      <c r="AA296" s="81"/>
      <c r="AB296" s="81"/>
      <c r="AC296" s="81"/>
      <c r="AD296" s="81"/>
      <c r="AE296" s="81"/>
      <c r="AF296" s="81"/>
      <c r="AG296" s="81"/>
      <c r="AH296" s="81"/>
      <c r="AI296" s="81"/>
    </row>
    <row r="297" spans="13:35" x14ac:dyDescent="0.25">
      <c r="M297" s="84"/>
      <c r="N297" s="81"/>
      <c r="O297" s="81"/>
      <c r="P297" s="81"/>
      <c r="V297" s="81"/>
      <c r="W297" s="81"/>
      <c r="X297" s="81"/>
      <c r="Y297" s="81"/>
      <c r="Z297" s="81"/>
      <c r="AA297" s="81"/>
      <c r="AB297" s="81"/>
      <c r="AC297" s="81"/>
      <c r="AD297" s="81"/>
      <c r="AE297" s="81"/>
      <c r="AF297" s="81"/>
      <c r="AG297" s="81"/>
      <c r="AH297" s="81"/>
      <c r="AI297" s="81"/>
    </row>
    <row r="298" spans="13:35" x14ac:dyDescent="0.25">
      <c r="M298" s="84"/>
      <c r="N298" s="81"/>
      <c r="O298" s="81"/>
      <c r="P298" s="81"/>
      <c r="V298" s="81"/>
      <c r="W298" s="81"/>
      <c r="X298" s="81"/>
      <c r="Y298" s="81"/>
      <c r="Z298" s="81"/>
      <c r="AA298" s="81"/>
      <c r="AB298" s="81"/>
      <c r="AC298" s="81"/>
      <c r="AD298" s="81"/>
      <c r="AE298" s="81"/>
      <c r="AF298" s="81"/>
      <c r="AG298" s="81"/>
      <c r="AH298" s="81"/>
      <c r="AI298" s="81"/>
    </row>
    <row r="299" spans="13:35" x14ac:dyDescent="0.25">
      <c r="M299" s="84"/>
      <c r="N299" s="81"/>
      <c r="O299" s="81"/>
      <c r="P299" s="81"/>
      <c r="V299" s="81"/>
      <c r="W299" s="81"/>
      <c r="X299" s="81"/>
      <c r="Y299" s="81"/>
      <c r="Z299" s="81"/>
      <c r="AA299" s="81"/>
      <c r="AB299" s="81"/>
      <c r="AC299" s="81"/>
      <c r="AD299" s="81"/>
      <c r="AE299" s="81"/>
      <c r="AF299" s="81"/>
      <c r="AG299" s="81"/>
      <c r="AH299" s="81"/>
      <c r="AI299" s="81"/>
    </row>
    <row r="300" spans="13:35" x14ac:dyDescent="0.25">
      <c r="M300" s="84"/>
      <c r="N300" s="81"/>
      <c r="O300" s="81"/>
      <c r="P300" s="81"/>
      <c r="V300" s="81"/>
      <c r="W300" s="81"/>
      <c r="X300" s="81"/>
      <c r="Y300" s="81"/>
      <c r="Z300" s="81"/>
      <c r="AA300" s="81"/>
      <c r="AB300" s="81"/>
      <c r="AC300" s="81"/>
      <c r="AD300" s="81"/>
      <c r="AE300" s="81"/>
      <c r="AF300" s="81"/>
      <c r="AG300" s="81"/>
      <c r="AH300" s="81"/>
      <c r="AI300" s="81"/>
    </row>
    <row r="301" spans="13:35" x14ac:dyDescent="0.25">
      <c r="M301" s="84"/>
      <c r="N301" s="81"/>
      <c r="O301" s="81"/>
      <c r="P301" s="81"/>
      <c r="V301" s="81"/>
      <c r="W301" s="81"/>
      <c r="X301" s="81"/>
      <c r="Y301" s="81"/>
      <c r="Z301" s="81"/>
      <c r="AA301" s="81"/>
      <c r="AB301" s="81"/>
      <c r="AC301" s="81"/>
      <c r="AD301" s="81"/>
      <c r="AE301" s="81"/>
      <c r="AF301" s="81"/>
      <c r="AG301" s="81"/>
      <c r="AH301" s="81"/>
      <c r="AI301" s="81"/>
    </row>
    <row r="302" spans="13:35" x14ac:dyDescent="0.25">
      <c r="M302" s="84"/>
      <c r="N302" s="81"/>
      <c r="O302" s="81"/>
      <c r="P302" s="81"/>
      <c r="V302" s="81"/>
      <c r="W302" s="81"/>
      <c r="X302" s="81"/>
      <c r="Y302" s="81"/>
      <c r="Z302" s="81"/>
      <c r="AA302" s="81"/>
      <c r="AB302" s="81"/>
      <c r="AC302" s="81"/>
      <c r="AD302" s="81"/>
      <c r="AE302" s="81"/>
      <c r="AF302" s="81"/>
      <c r="AG302" s="81"/>
      <c r="AH302" s="81"/>
      <c r="AI302" s="81"/>
    </row>
    <row r="303" spans="13:35" x14ac:dyDescent="0.25">
      <c r="M303" s="84"/>
      <c r="N303" s="81"/>
      <c r="O303" s="81"/>
      <c r="P303" s="81"/>
      <c r="V303" s="81"/>
      <c r="W303" s="81"/>
      <c r="X303" s="81"/>
      <c r="Y303" s="81"/>
      <c r="Z303" s="81"/>
      <c r="AA303" s="81"/>
      <c r="AB303" s="81"/>
      <c r="AC303" s="81"/>
      <c r="AD303" s="81"/>
      <c r="AE303" s="81"/>
      <c r="AF303" s="81"/>
      <c r="AG303" s="81"/>
      <c r="AH303" s="81"/>
      <c r="AI303" s="81"/>
    </row>
    <row r="304" spans="13:35" x14ac:dyDescent="0.25">
      <c r="M304" s="84"/>
      <c r="N304" s="81"/>
      <c r="O304" s="81"/>
      <c r="P304" s="81"/>
      <c r="V304" s="81"/>
      <c r="W304" s="81"/>
      <c r="X304" s="81"/>
      <c r="Y304" s="81"/>
      <c r="Z304" s="81"/>
      <c r="AA304" s="81"/>
      <c r="AB304" s="81"/>
      <c r="AC304" s="81"/>
      <c r="AD304" s="81"/>
      <c r="AE304" s="81"/>
      <c r="AF304" s="81"/>
      <c r="AG304" s="81"/>
      <c r="AH304" s="81"/>
      <c r="AI304" s="81"/>
    </row>
    <row r="305" spans="13:35" x14ac:dyDescent="0.25">
      <c r="M305" s="84"/>
      <c r="N305" s="81"/>
      <c r="O305" s="81"/>
      <c r="P305" s="81"/>
      <c r="V305" s="81"/>
      <c r="W305" s="81"/>
      <c r="X305" s="81"/>
      <c r="Y305" s="81"/>
      <c r="Z305" s="81"/>
      <c r="AA305" s="81"/>
      <c r="AB305" s="81"/>
      <c r="AC305" s="81"/>
      <c r="AD305" s="81"/>
      <c r="AE305" s="81"/>
      <c r="AF305" s="81"/>
      <c r="AG305" s="81"/>
      <c r="AH305" s="81"/>
      <c r="AI305" s="81"/>
    </row>
    <row r="306" spans="13:35" x14ac:dyDescent="0.25">
      <c r="M306" s="84"/>
      <c r="N306" s="81"/>
      <c r="O306" s="81"/>
      <c r="P306" s="81"/>
      <c r="V306" s="81"/>
      <c r="W306" s="81"/>
      <c r="X306" s="81"/>
      <c r="Y306" s="81"/>
      <c r="Z306" s="81"/>
      <c r="AA306" s="81"/>
      <c r="AB306" s="81"/>
      <c r="AC306" s="81"/>
      <c r="AD306" s="81"/>
      <c r="AE306" s="81"/>
      <c r="AF306" s="81"/>
      <c r="AG306" s="81"/>
      <c r="AH306" s="81"/>
      <c r="AI306" s="81"/>
    </row>
    <row r="307" spans="13:35" x14ac:dyDescent="0.25">
      <c r="M307" s="84"/>
      <c r="N307" s="81"/>
      <c r="O307" s="81"/>
      <c r="P307" s="81"/>
      <c r="V307" s="81"/>
      <c r="W307" s="81"/>
      <c r="X307" s="81"/>
      <c r="Y307" s="81"/>
      <c r="Z307" s="81"/>
      <c r="AA307" s="81"/>
      <c r="AB307" s="81"/>
      <c r="AC307" s="81"/>
      <c r="AD307" s="81"/>
      <c r="AE307" s="81"/>
      <c r="AF307" s="81"/>
      <c r="AG307" s="81"/>
      <c r="AH307" s="81"/>
      <c r="AI307" s="81"/>
    </row>
    <row r="308" spans="13:35" x14ac:dyDescent="0.25">
      <c r="M308" s="84"/>
      <c r="N308" s="81"/>
      <c r="O308" s="81"/>
      <c r="P308" s="81"/>
      <c r="V308" s="81"/>
      <c r="W308" s="81"/>
      <c r="X308" s="81"/>
      <c r="Y308" s="81"/>
      <c r="Z308" s="81"/>
      <c r="AA308" s="81"/>
      <c r="AB308" s="81"/>
      <c r="AC308" s="81"/>
      <c r="AD308" s="81"/>
      <c r="AE308" s="81"/>
      <c r="AF308" s="81"/>
      <c r="AG308" s="81"/>
      <c r="AH308" s="81"/>
      <c r="AI308" s="81"/>
    </row>
    <row r="309" spans="13:35" x14ac:dyDescent="0.25">
      <c r="M309" s="84"/>
      <c r="N309" s="81"/>
      <c r="O309" s="81"/>
      <c r="P309" s="81"/>
      <c r="V309" s="81"/>
      <c r="W309" s="81"/>
      <c r="X309" s="81"/>
      <c r="Y309" s="81"/>
      <c r="Z309" s="81"/>
      <c r="AA309" s="81"/>
      <c r="AB309" s="81"/>
      <c r="AC309" s="81"/>
      <c r="AD309" s="81"/>
      <c r="AE309" s="81"/>
      <c r="AF309" s="81"/>
      <c r="AG309" s="81"/>
      <c r="AH309" s="81"/>
      <c r="AI309" s="81"/>
    </row>
    <row r="310" spans="13:35" x14ac:dyDescent="0.25">
      <c r="M310" s="84"/>
      <c r="N310" s="81"/>
      <c r="O310" s="81"/>
      <c r="P310" s="81"/>
      <c r="V310" s="81"/>
      <c r="W310" s="81"/>
      <c r="X310" s="81"/>
      <c r="Y310" s="81"/>
      <c r="Z310" s="81"/>
      <c r="AA310" s="81"/>
      <c r="AB310" s="81"/>
      <c r="AC310" s="81"/>
      <c r="AD310" s="81"/>
      <c r="AE310" s="81"/>
      <c r="AF310" s="81"/>
      <c r="AG310" s="81"/>
      <c r="AH310" s="81"/>
      <c r="AI310" s="81"/>
    </row>
    <row r="311" spans="13:35" x14ac:dyDescent="0.25">
      <c r="M311" s="84"/>
      <c r="N311" s="81"/>
      <c r="O311" s="81"/>
      <c r="P311" s="81"/>
      <c r="V311" s="81"/>
      <c r="W311" s="81"/>
      <c r="X311" s="81"/>
      <c r="Y311" s="81"/>
      <c r="Z311" s="81"/>
      <c r="AA311" s="81"/>
      <c r="AB311" s="81"/>
      <c r="AC311" s="81"/>
      <c r="AD311" s="81"/>
      <c r="AE311" s="81"/>
      <c r="AF311" s="81"/>
      <c r="AG311" s="81"/>
      <c r="AH311" s="81"/>
      <c r="AI311" s="81"/>
    </row>
    <row r="312" spans="13:35" x14ac:dyDescent="0.25">
      <c r="M312" s="84"/>
      <c r="N312" s="81"/>
      <c r="O312" s="81"/>
      <c r="P312" s="81"/>
      <c r="V312" s="81"/>
      <c r="W312" s="81"/>
      <c r="X312" s="81"/>
      <c r="Y312" s="81"/>
      <c r="Z312" s="81"/>
      <c r="AA312" s="81"/>
      <c r="AB312" s="81"/>
      <c r="AC312" s="81"/>
      <c r="AD312" s="81"/>
      <c r="AE312" s="81"/>
      <c r="AF312" s="81"/>
      <c r="AG312" s="81"/>
      <c r="AH312" s="81"/>
      <c r="AI312" s="81"/>
    </row>
    <row r="313" spans="13:35" x14ac:dyDescent="0.25">
      <c r="M313" s="84"/>
      <c r="N313" s="81"/>
      <c r="O313" s="81"/>
      <c r="P313" s="81"/>
      <c r="V313" s="81"/>
      <c r="W313" s="81"/>
      <c r="X313" s="81"/>
      <c r="Y313" s="81"/>
      <c r="Z313" s="81"/>
      <c r="AA313" s="81"/>
      <c r="AB313" s="81"/>
      <c r="AC313" s="81"/>
      <c r="AD313" s="81"/>
      <c r="AE313" s="81"/>
      <c r="AF313" s="81"/>
      <c r="AG313" s="81"/>
      <c r="AH313" s="81"/>
      <c r="AI313" s="81"/>
    </row>
    <row r="314" spans="13:35" x14ac:dyDescent="0.25">
      <c r="M314" s="84"/>
      <c r="N314" s="81"/>
      <c r="O314" s="81"/>
      <c r="P314" s="81"/>
      <c r="V314" s="81"/>
      <c r="W314" s="81"/>
      <c r="X314" s="81"/>
      <c r="Y314" s="81"/>
      <c r="Z314" s="81"/>
      <c r="AA314" s="81"/>
      <c r="AB314" s="81"/>
      <c r="AC314" s="81"/>
      <c r="AD314" s="81"/>
      <c r="AE314" s="81"/>
      <c r="AF314" s="81"/>
      <c r="AG314" s="81"/>
      <c r="AH314" s="81"/>
      <c r="AI314" s="81"/>
    </row>
    <row r="315" spans="13:35" x14ac:dyDescent="0.25">
      <c r="M315" s="84"/>
      <c r="N315" s="81"/>
      <c r="O315" s="81"/>
      <c r="P315" s="81"/>
      <c r="V315" s="81"/>
      <c r="W315" s="81"/>
      <c r="X315" s="81"/>
      <c r="Y315" s="81"/>
      <c r="Z315" s="81"/>
      <c r="AA315" s="81"/>
      <c r="AB315" s="81"/>
      <c r="AC315" s="81"/>
      <c r="AD315" s="81"/>
      <c r="AE315" s="81"/>
      <c r="AF315" s="81"/>
      <c r="AG315" s="81"/>
      <c r="AH315" s="81"/>
      <c r="AI315" s="81"/>
    </row>
    <row r="316" spans="13:35" x14ac:dyDescent="0.25">
      <c r="M316" s="84"/>
      <c r="N316" s="81"/>
      <c r="O316" s="81"/>
      <c r="P316" s="81"/>
      <c r="V316" s="81"/>
      <c r="W316" s="81"/>
      <c r="X316" s="81"/>
      <c r="Y316" s="81"/>
      <c r="Z316" s="81"/>
      <c r="AA316" s="81"/>
      <c r="AB316" s="81"/>
      <c r="AC316" s="81"/>
      <c r="AD316" s="81"/>
      <c r="AE316" s="81"/>
      <c r="AF316" s="81"/>
      <c r="AG316" s="81"/>
      <c r="AH316" s="81"/>
      <c r="AI316" s="81"/>
    </row>
    <row r="317" spans="13:35" x14ac:dyDescent="0.25">
      <c r="M317" s="84"/>
      <c r="N317" s="81"/>
      <c r="O317" s="81"/>
      <c r="P317" s="81"/>
      <c r="V317" s="81"/>
      <c r="W317" s="81"/>
      <c r="X317" s="81"/>
      <c r="Y317" s="81"/>
      <c r="Z317" s="81"/>
      <c r="AA317" s="81"/>
      <c r="AB317" s="81"/>
      <c r="AC317" s="81"/>
      <c r="AD317" s="81"/>
      <c r="AE317" s="81"/>
      <c r="AF317" s="81"/>
      <c r="AG317" s="81"/>
      <c r="AH317" s="81"/>
      <c r="AI317" s="81"/>
    </row>
    <row r="318" spans="13:35" x14ac:dyDescent="0.25">
      <c r="M318" s="84"/>
      <c r="N318" s="81"/>
      <c r="O318" s="81"/>
      <c r="P318" s="81"/>
      <c r="V318" s="81"/>
      <c r="W318" s="81"/>
      <c r="X318" s="81"/>
      <c r="Y318" s="81"/>
      <c r="Z318" s="81"/>
      <c r="AA318" s="81"/>
      <c r="AB318" s="81"/>
      <c r="AC318" s="81"/>
      <c r="AD318" s="81"/>
      <c r="AE318" s="81"/>
      <c r="AF318" s="81"/>
      <c r="AG318" s="81"/>
      <c r="AH318" s="81"/>
      <c r="AI318" s="81"/>
    </row>
    <row r="319" spans="13:35" x14ac:dyDescent="0.25">
      <c r="M319" s="84"/>
      <c r="N319" s="81"/>
      <c r="O319" s="81"/>
      <c r="P319" s="81"/>
      <c r="V319" s="81"/>
      <c r="W319" s="81"/>
      <c r="X319" s="81"/>
      <c r="Y319" s="81"/>
      <c r="Z319" s="81"/>
      <c r="AA319" s="81"/>
      <c r="AB319" s="81"/>
      <c r="AC319" s="81"/>
      <c r="AD319" s="81"/>
      <c r="AE319" s="81"/>
      <c r="AF319" s="81"/>
      <c r="AG319" s="81"/>
      <c r="AH319" s="81"/>
      <c r="AI319" s="81"/>
    </row>
    <row r="320" spans="13:35" x14ac:dyDescent="0.25">
      <c r="M320" s="84"/>
      <c r="N320" s="81"/>
      <c r="O320" s="81"/>
      <c r="P320" s="81"/>
      <c r="V320" s="81"/>
      <c r="W320" s="81"/>
      <c r="X320" s="81"/>
      <c r="Y320" s="81"/>
      <c r="Z320" s="81"/>
      <c r="AA320" s="81"/>
      <c r="AB320" s="81"/>
      <c r="AC320" s="81"/>
      <c r="AD320" s="81"/>
      <c r="AE320" s="81"/>
      <c r="AF320" s="81"/>
      <c r="AG320" s="81"/>
      <c r="AH320" s="81"/>
      <c r="AI320" s="81"/>
    </row>
    <row r="321" spans="13:35" x14ac:dyDescent="0.25">
      <c r="M321" s="84"/>
      <c r="N321" s="81"/>
      <c r="O321" s="81"/>
      <c r="P321" s="81"/>
      <c r="V321" s="81"/>
      <c r="W321" s="81"/>
      <c r="X321" s="81"/>
      <c r="Y321" s="81"/>
      <c r="Z321" s="81"/>
      <c r="AA321" s="81"/>
      <c r="AB321" s="81"/>
      <c r="AC321" s="81"/>
      <c r="AD321" s="81"/>
      <c r="AE321" s="81"/>
      <c r="AF321" s="81"/>
      <c r="AG321" s="81"/>
      <c r="AH321" s="81"/>
      <c r="AI321" s="81"/>
    </row>
    <row r="322" spans="13:35" x14ac:dyDescent="0.25">
      <c r="M322" s="84"/>
      <c r="N322" s="81"/>
      <c r="O322" s="81"/>
      <c r="P322" s="81"/>
      <c r="V322" s="81"/>
      <c r="W322" s="81"/>
      <c r="X322" s="81"/>
      <c r="Y322" s="81"/>
      <c r="Z322" s="81"/>
      <c r="AA322" s="81"/>
      <c r="AB322" s="81"/>
      <c r="AC322" s="81"/>
      <c r="AD322" s="81"/>
      <c r="AE322" s="81"/>
      <c r="AF322" s="81"/>
      <c r="AG322" s="81"/>
      <c r="AH322" s="81"/>
      <c r="AI322" s="81"/>
    </row>
    <row r="323" spans="13:35" x14ac:dyDescent="0.25">
      <c r="M323" s="84"/>
      <c r="N323" s="81"/>
      <c r="O323" s="81"/>
      <c r="P323" s="81"/>
      <c r="V323" s="81"/>
      <c r="W323" s="81"/>
      <c r="X323" s="81"/>
      <c r="Y323" s="81"/>
      <c r="Z323" s="81"/>
      <c r="AA323" s="81"/>
      <c r="AB323" s="81"/>
      <c r="AC323" s="81"/>
      <c r="AD323" s="81"/>
      <c r="AE323" s="81"/>
      <c r="AF323" s="81"/>
      <c r="AG323" s="81"/>
      <c r="AH323" s="81"/>
      <c r="AI323" s="81"/>
    </row>
    <row r="324" spans="13:35" x14ac:dyDescent="0.25">
      <c r="M324" s="84"/>
      <c r="N324" s="81"/>
      <c r="O324" s="81"/>
      <c r="P324" s="81"/>
      <c r="V324" s="81"/>
      <c r="W324" s="81"/>
      <c r="X324" s="81"/>
      <c r="Y324" s="81"/>
      <c r="Z324" s="81"/>
      <c r="AA324" s="81"/>
      <c r="AB324" s="81"/>
      <c r="AC324" s="81"/>
      <c r="AD324" s="81"/>
      <c r="AE324" s="81"/>
      <c r="AF324" s="81"/>
      <c r="AG324" s="81"/>
      <c r="AH324" s="81"/>
      <c r="AI324" s="81"/>
    </row>
    <row r="325" spans="13:35" x14ac:dyDescent="0.25">
      <c r="M325" s="84"/>
      <c r="N325" s="81"/>
      <c r="O325" s="81"/>
      <c r="P325" s="81"/>
      <c r="V325" s="81"/>
      <c r="W325" s="81"/>
      <c r="X325" s="81"/>
      <c r="Y325" s="81"/>
      <c r="Z325" s="81"/>
      <c r="AA325" s="81"/>
      <c r="AB325" s="81"/>
      <c r="AC325" s="81"/>
      <c r="AD325" s="81"/>
      <c r="AE325" s="81"/>
      <c r="AF325" s="81"/>
      <c r="AG325" s="81"/>
      <c r="AH325" s="81"/>
      <c r="AI325" s="81"/>
    </row>
    <row r="326" spans="13:35" x14ac:dyDescent="0.25">
      <c r="M326" s="84"/>
      <c r="N326" s="81"/>
      <c r="O326" s="81"/>
      <c r="P326" s="81"/>
      <c r="V326" s="81"/>
      <c r="W326" s="81"/>
      <c r="X326" s="81"/>
      <c r="Y326" s="81"/>
      <c r="Z326" s="81"/>
      <c r="AA326" s="81"/>
      <c r="AB326" s="81"/>
      <c r="AC326" s="81"/>
      <c r="AD326" s="81"/>
      <c r="AE326" s="81"/>
      <c r="AF326" s="81"/>
      <c r="AG326" s="81"/>
      <c r="AH326" s="81"/>
      <c r="AI326" s="81"/>
    </row>
    <row r="327" spans="13:35" x14ac:dyDescent="0.25">
      <c r="M327" s="84"/>
      <c r="N327" s="81"/>
      <c r="O327" s="81"/>
      <c r="P327" s="81"/>
      <c r="V327" s="81"/>
      <c r="W327" s="81"/>
      <c r="X327" s="81"/>
      <c r="Y327" s="81"/>
      <c r="Z327" s="81"/>
      <c r="AA327" s="81"/>
      <c r="AB327" s="81"/>
      <c r="AC327" s="81"/>
      <c r="AD327" s="81"/>
      <c r="AE327" s="81"/>
      <c r="AF327" s="81"/>
      <c r="AG327" s="81"/>
      <c r="AH327" s="81"/>
      <c r="AI327" s="81"/>
    </row>
    <row r="328" spans="13:35" x14ac:dyDescent="0.25">
      <c r="M328" s="84"/>
      <c r="N328" s="81"/>
      <c r="O328" s="81"/>
      <c r="P328" s="81"/>
      <c r="V328" s="81"/>
      <c r="W328" s="81"/>
      <c r="X328" s="81"/>
      <c r="Y328" s="81"/>
      <c r="Z328" s="81"/>
      <c r="AA328" s="81"/>
      <c r="AB328" s="81"/>
      <c r="AC328" s="81"/>
      <c r="AD328" s="81"/>
      <c r="AE328" s="81"/>
      <c r="AF328" s="81"/>
      <c r="AG328" s="81"/>
      <c r="AH328" s="81"/>
      <c r="AI328" s="81"/>
    </row>
    <row r="329" spans="13:35" x14ac:dyDescent="0.25">
      <c r="M329" s="84"/>
      <c r="N329" s="81"/>
      <c r="O329" s="81"/>
      <c r="P329" s="81"/>
      <c r="V329" s="81"/>
      <c r="W329" s="81"/>
      <c r="X329" s="81"/>
      <c r="Y329" s="81"/>
      <c r="Z329" s="81"/>
      <c r="AA329" s="81"/>
      <c r="AB329" s="81"/>
      <c r="AC329" s="81"/>
      <c r="AD329" s="81"/>
      <c r="AE329" s="81"/>
      <c r="AF329" s="81"/>
      <c r="AG329" s="81"/>
      <c r="AH329" s="81"/>
      <c r="AI329" s="81"/>
    </row>
    <row r="330" spans="13:35" x14ac:dyDescent="0.25">
      <c r="M330" s="84"/>
      <c r="N330" s="81"/>
      <c r="O330" s="81"/>
      <c r="P330" s="81"/>
      <c r="V330" s="81"/>
      <c r="W330" s="81"/>
      <c r="X330" s="81"/>
      <c r="Y330" s="81"/>
      <c r="Z330" s="81"/>
      <c r="AA330" s="81"/>
      <c r="AB330" s="81"/>
      <c r="AC330" s="81"/>
      <c r="AD330" s="81"/>
      <c r="AE330" s="81"/>
      <c r="AF330" s="81"/>
      <c r="AG330" s="81"/>
      <c r="AH330" s="81"/>
      <c r="AI330" s="81"/>
    </row>
    <row r="331" spans="13:35" x14ac:dyDescent="0.25">
      <c r="M331" s="84"/>
      <c r="N331" s="81"/>
      <c r="O331" s="81"/>
      <c r="P331" s="81"/>
      <c r="V331" s="81"/>
      <c r="W331" s="81"/>
      <c r="X331" s="81"/>
      <c r="Y331" s="81"/>
      <c r="Z331" s="81"/>
      <c r="AA331" s="81"/>
      <c r="AB331" s="81"/>
      <c r="AC331" s="81"/>
      <c r="AD331" s="81"/>
      <c r="AE331" s="81"/>
      <c r="AF331" s="81"/>
      <c r="AG331" s="81"/>
      <c r="AH331" s="81"/>
      <c r="AI331" s="81"/>
    </row>
    <row r="332" spans="13:35" x14ac:dyDescent="0.25">
      <c r="M332" s="84"/>
      <c r="N332" s="81"/>
      <c r="O332" s="81"/>
      <c r="P332" s="81"/>
      <c r="V332" s="81"/>
      <c r="W332" s="81"/>
      <c r="X332" s="81"/>
      <c r="Y332" s="81"/>
      <c r="Z332" s="81"/>
      <c r="AA332" s="81"/>
      <c r="AB332" s="81"/>
      <c r="AC332" s="81"/>
      <c r="AD332" s="81"/>
      <c r="AE332" s="81"/>
      <c r="AF332" s="81"/>
      <c r="AG332" s="81"/>
      <c r="AH332" s="81"/>
      <c r="AI332" s="81"/>
    </row>
    <row r="333" spans="13:35" x14ac:dyDescent="0.25">
      <c r="M333" s="84"/>
      <c r="N333" s="81"/>
      <c r="O333" s="81"/>
      <c r="P333" s="81"/>
      <c r="V333" s="81"/>
      <c r="W333" s="81"/>
      <c r="X333" s="81"/>
      <c r="Y333" s="81"/>
      <c r="Z333" s="81"/>
      <c r="AA333" s="81"/>
      <c r="AB333" s="81"/>
      <c r="AC333" s="81"/>
      <c r="AD333" s="81"/>
      <c r="AE333" s="81"/>
      <c r="AF333" s="81"/>
      <c r="AG333" s="81"/>
      <c r="AH333" s="81"/>
      <c r="AI333" s="81"/>
    </row>
    <row r="334" spans="13:35" x14ac:dyDescent="0.25">
      <c r="M334" s="84"/>
      <c r="N334" s="81"/>
      <c r="O334" s="81"/>
      <c r="P334" s="81"/>
      <c r="V334" s="81"/>
      <c r="W334" s="81"/>
      <c r="X334" s="81"/>
      <c r="Y334" s="81"/>
      <c r="Z334" s="81"/>
      <c r="AA334" s="81"/>
      <c r="AB334" s="81"/>
      <c r="AC334" s="81"/>
      <c r="AD334" s="81"/>
      <c r="AE334" s="81"/>
      <c r="AF334" s="81"/>
      <c r="AG334" s="81"/>
      <c r="AH334" s="81"/>
      <c r="AI334" s="81"/>
    </row>
    <row r="335" spans="13:35" x14ac:dyDescent="0.25">
      <c r="M335" s="84"/>
      <c r="N335" s="81"/>
      <c r="O335" s="81"/>
      <c r="P335" s="81"/>
      <c r="V335" s="81"/>
      <c r="W335" s="81"/>
      <c r="X335" s="81"/>
      <c r="Y335" s="81"/>
      <c r="Z335" s="81"/>
      <c r="AA335" s="81"/>
      <c r="AB335" s="81"/>
      <c r="AC335" s="81"/>
      <c r="AD335" s="81"/>
      <c r="AE335" s="81"/>
      <c r="AF335" s="81"/>
      <c r="AG335" s="81"/>
      <c r="AH335" s="81"/>
      <c r="AI335" s="81"/>
    </row>
    <row r="336" spans="13:35" x14ac:dyDescent="0.25">
      <c r="M336" s="84"/>
      <c r="N336" s="81"/>
      <c r="O336" s="81"/>
      <c r="P336" s="81"/>
      <c r="V336" s="81"/>
      <c r="W336" s="81"/>
      <c r="X336" s="81"/>
      <c r="Y336" s="81"/>
      <c r="Z336" s="81"/>
      <c r="AA336" s="81"/>
      <c r="AB336" s="81"/>
      <c r="AC336" s="81"/>
      <c r="AD336" s="81"/>
      <c r="AE336" s="81"/>
      <c r="AF336" s="81"/>
      <c r="AG336" s="81"/>
      <c r="AH336" s="81"/>
      <c r="AI336" s="81"/>
    </row>
    <row r="337" spans="13:35" x14ac:dyDescent="0.25">
      <c r="M337" s="84"/>
      <c r="N337" s="81"/>
      <c r="O337" s="81"/>
      <c r="P337" s="81"/>
      <c r="V337" s="81"/>
      <c r="W337" s="81"/>
      <c r="X337" s="81"/>
      <c r="Y337" s="81"/>
      <c r="Z337" s="81"/>
      <c r="AA337" s="81"/>
      <c r="AB337" s="81"/>
      <c r="AC337" s="81"/>
      <c r="AD337" s="81"/>
      <c r="AE337" s="81"/>
      <c r="AF337" s="81"/>
      <c r="AG337" s="81"/>
      <c r="AH337" s="81"/>
      <c r="AI337" s="81"/>
    </row>
    <row r="338" spans="13:35" x14ac:dyDescent="0.25">
      <c r="M338" s="84"/>
      <c r="N338" s="81"/>
      <c r="O338" s="81"/>
      <c r="P338" s="81"/>
      <c r="V338" s="81"/>
      <c r="W338" s="81"/>
      <c r="X338" s="81"/>
      <c r="Y338" s="81"/>
      <c r="Z338" s="81"/>
      <c r="AA338" s="81"/>
      <c r="AB338" s="81"/>
      <c r="AC338" s="81"/>
      <c r="AD338" s="81"/>
      <c r="AE338" s="81"/>
      <c r="AF338" s="81"/>
      <c r="AG338" s="81"/>
      <c r="AH338" s="81"/>
      <c r="AI338" s="81"/>
    </row>
    <row r="339" spans="13:35" x14ac:dyDescent="0.25">
      <c r="M339" s="84"/>
      <c r="N339" s="81"/>
      <c r="O339" s="81"/>
      <c r="P339" s="81"/>
      <c r="V339" s="81"/>
      <c r="W339" s="81"/>
      <c r="X339" s="81"/>
      <c r="Y339" s="81"/>
      <c r="Z339" s="81"/>
      <c r="AA339" s="81"/>
      <c r="AB339" s="81"/>
      <c r="AC339" s="81"/>
      <c r="AD339" s="81"/>
      <c r="AE339" s="81"/>
      <c r="AF339" s="81"/>
      <c r="AG339" s="81"/>
      <c r="AH339" s="81"/>
      <c r="AI339" s="81"/>
    </row>
    <row r="340" spans="13:35" x14ac:dyDescent="0.25">
      <c r="M340" s="84"/>
      <c r="N340" s="81"/>
      <c r="O340" s="81"/>
      <c r="P340" s="81"/>
      <c r="V340" s="81"/>
      <c r="W340" s="81"/>
      <c r="X340" s="81"/>
      <c r="Y340" s="81"/>
      <c r="Z340" s="81"/>
      <c r="AA340" s="81"/>
      <c r="AB340" s="81"/>
      <c r="AC340" s="81"/>
      <c r="AD340" s="81"/>
      <c r="AE340" s="81"/>
      <c r="AF340" s="81"/>
      <c r="AG340" s="81"/>
      <c r="AH340" s="81"/>
      <c r="AI340" s="81"/>
    </row>
    <row r="341" spans="13:35" x14ac:dyDescent="0.25">
      <c r="M341" s="84"/>
      <c r="N341" s="81"/>
      <c r="O341" s="81"/>
      <c r="P341" s="81"/>
      <c r="V341" s="81"/>
      <c r="W341" s="81"/>
      <c r="X341" s="81"/>
      <c r="Y341" s="81"/>
      <c r="Z341" s="81"/>
      <c r="AA341" s="81"/>
      <c r="AB341" s="81"/>
      <c r="AC341" s="81"/>
      <c r="AD341" s="81"/>
      <c r="AE341" s="81"/>
      <c r="AF341" s="81"/>
      <c r="AG341" s="81"/>
      <c r="AH341" s="81"/>
      <c r="AI341" s="81"/>
    </row>
    <row r="342" spans="13:35" x14ac:dyDescent="0.25">
      <c r="M342" s="84"/>
      <c r="N342" s="81"/>
      <c r="O342" s="81"/>
      <c r="P342" s="81"/>
      <c r="V342" s="81"/>
      <c r="W342" s="81"/>
      <c r="X342" s="81"/>
      <c r="Y342" s="81"/>
      <c r="Z342" s="81"/>
      <c r="AA342" s="81"/>
      <c r="AB342" s="81"/>
      <c r="AC342" s="81"/>
      <c r="AD342" s="81"/>
      <c r="AE342" s="81"/>
      <c r="AF342" s="81"/>
      <c r="AG342" s="81"/>
      <c r="AH342" s="81"/>
      <c r="AI342" s="81"/>
    </row>
    <row r="343" spans="13:35" x14ac:dyDescent="0.25">
      <c r="M343" s="84"/>
      <c r="N343" s="81"/>
      <c r="O343" s="81"/>
      <c r="P343" s="81"/>
      <c r="V343" s="81"/>
      <c r="W343" s="81"/>
      <c r="X343" s="81"/>
      <c r="Y343" s="81"/>
      <c r="Z343" s="81"/>
      <c r="AA343" s="81"/>
      <c r="AB343" s="81"/>
      <c r="AC343" s="81"/>
      <c r="AD343" s="81"/>
      <c r="AE343" s="81"/>
      <c r="AF343" s="81"/>
      <c r="AG343" s="81"/>
      <c r="AH343" s="81"/>
      <c r="AI343" s="81"/>
    </row>
    <row r="344" spans="13:35" x14ac:dyDescent="0.25">
      <c r="M344" s="84"/>
      <c r="N344" s="81"/>
      <c r="O344" s="81"/>
      <c r="P344" s="81"/>
      <c r="V344" s="81"/>
      <c r="W344" s="81"/>
      <c r="X344" s="81"/>
      <c r="Y344" s="81"/>
      <c r="Z344" s="81"/>
      <c r="AA344" s="81"/>
      <c r="AB344" s="81"/>
      <c r="AC344" s="81"/>
      <c r="AD344" s="81"/>
      <c r="AE344" s="81"/>
      <c r="AF344" s="81"/>
      <c r="AG344" s="81"/>
      <c r="AH344" s="81"/>
      <c r="AI344" s="81"/>
    </row>
    <row r="345" spans="13:35" x14ac:dyDescent="0.25">
      <c r="M345" s="84"/>
      <c r="N345" s="81"/>
      <c r="O345" s="81"/>
      <c r="P345" s="81"/>
      <c r="V345" s="81"/>
      <c r="W345" s="81"/>
      <c r="X345" s="81"/>
      <c r="Y345" s="81"/>
      <c r="Z345" s="81"/>
      <c r="AA345" s="81"/>
      <c r="AB345" s="81"/>
      <c r="AC345" s="81"/>
      <c r="AD345" s="81"/>
      <c r="AE345" s="81"/>
      <c r="AF345" s="81"/>
      <c r="AG345" s="81"/>
      <c r="AH345" s="81"/>
      <c r="AI345" s="81"/>
    </row>
    <row r="346" spans="13:35" x14ac:dyDescent="0.25">
      <c r="M346" s="84"/>
      <c r="N346" s="81"/>
      <c r="O346" s="81"/>
      <c r="P346" s="81"/>
      <c r="V346" s="81"/>
      <c r="W346" s="81"/>
      <c r="X346" s="81"/>
      <c r="Y346" s="81"/>
      <c r="Z346" s="81"/>
      <c r="AA346" s="81"/>
      <c r="AB346" s="81"/>
      <c r="AC346" s="81"/>
      <c r="AD346" s="81"/>
      <c r="AE346" s="81"/>
      <c r="AF346" s="81"/>
      <c r="AG346" s="81"/>
      <c r="AH346" s="81"/>
      <c r="AI346" s="81"/>
    </row>
    <row r="347" spans="13:35" x14ac:dyDescent="0.25">
      <c r="M347" s="84"/>
      <c r="N347" s="81"/>
      <c r="O347" s="81"/>
      <c r="P347" s="81"/>
      <c r="V347" s="81"/>
      <c r="W347" s="81"/>
      <c r="X347" s="81"/>
      <c r="Y347" s="81"/>
      <c r="Z347" s="81"/>
      <c r="AA347" s="81"/>
      <c r="AB347" s="81"/>
      <c r="AC347" s="81"/>
      <c r="AD347" s="81"/>
      <c r="AE347" s="81"/>
      <c r="AF347" s="81"/>
      <c r="AG347" s="81"/>
      <c r="AH347" s="81"/>
      <c r="AI347" s="81"/>
    </row>
    <row r="348" spans="13:35" x14ac:dyDescent="0.25">
      <c r="M348" s="84"/>
      <c r="N348" s="81"/>
      <c r="O348" s="81"/>
      <c r="P348" s="81"/>
      <c r="V348" s="81"/>
      <c r="W348" s="81"/>
      <c r="X348" s="81"/>
      <c r="Y348" s="81"/>
      <c r="Z348" s="81"/>
      <c r="AA348" s="81"/>
      <c r="AB348" s="81"/>
      <c r="AC348" s="81"/>
      <c r="AD348" s="81"/>
      <c r="AE348" s="81"/>
      <c r="AF348" s="81"/>
      <c r="AG348" s="81"/>
      <c r="AH348" s="81"/>
      <c r="AI348" s="81"/>
    </row>
    <row r="349" spans="13:35" x14ac:dyDescent="0.25">
      <c r="M349" s="84"/>
      <c r="N349" s="81"/>
      <c r="O349" s="81"/>
      <c r="P349" s="81"/>
      <c r="V349" s="81"/>
      <c r="W349" s="81"/>
      <c r="X349" s="81"/>
      <c r="Y349" s="81"/>
      <c r="Z349" s="81"/>
      <c r="AA349" s="81"/>
      <c r="AB349" s="81"/>
      <c r="AC349" s="81"/>
      <c r="AD349" s="81"/>
      <c r="AE349" s="81"/>
      <c r="AF349" s="81"/>
      <c r="AG349" s="81"/>
      <c r="AH349" s="81"/>
      <c r="AI349" s="81"/>
    </row>
    <row r="350" spans="13:35" x14ac:dyDescent="0.25">
      <c r="M350" s="84"/>
      <c r="N350" s="81"/>
      <c r="O350" s="81"/>
      <c r="P350" s="81"/>
      <c r="V350" s="81"/>
      <c r="W350" s="81"/>
      <c r="X350" s="81"/>
      <c r="Y350" s="81"/>
      <c r="Z350" s="81"/>
      <c r="AA350" s="81"/>
      <c r="AB350" s="81"/>
      <c r="AC350" s="81"/>
      <c r="AD350" s="81"/>
      <c r="AE350" s="81"/>
      <c r="AF350" s="81"/>
      <c r="AG350" s="81"/>
      <c r="AH350" s="81"/>
      <c r="AI350" s="81"/>
    </row>
    <row r="351" spans="13:35" x14ac:dyDescent="0.25">
      <c r="M351" s="84"/>
      <c r="N351" s="81"/>
      <c r="O351" s="81"/>
      <c r="P351" s="81"/>
      <c r="V351" s="81"/>
      <c r="W351" s="81"/>
      <c r="X351" s="81"/>
      <c r="Y351" s="81"/>
      <c r="Z351" s="81"/>
      <c r="AA351" s="81"/>
      <c r="AB351" s="81"/>
      <c r="AC351" s="81"/>
      <c r="AD351" s="81"/>
      <c r="AE351" s="81"/>
      <c r="AF351" s="81"/>
      <c r="AG351" s="81"/>
      <c r="AH351" s="81"/>
      <c r="AI351" s="81"/>
    </row>
    <row r="352" spans="13:35" x14ac:dyDescent="0.25">
      <c r="M352" s="84"/>
      <c r="N352" s="81"/>
      <c r="O352" s="81"/>
      <c r="P352" s="81"/>
      <c r="V352" s="81"/>
      <c r="W352" s="81"/>
      <c r="X352" s="81"/>
      <c r="Y352" s="81"/>
      <c r="Z352" s="81"/>
      <c r="AA352" s="81"/>
      <c r="AB352" s="81"/>
      <c r="AC352" s="81"/>
      <c r="AD352" s="81"/>
      <c r="AE352" s="81"/>
      <c r="AF352" s="81"/>
      <c r="AG352" s="81"/>
      <c r="AH352" s="81"/>
      <c r="AI352" s="81"/>
    </row>
    <row r="353" spans="13:35" x14ac:dyDescent="0.25">
      <c r="M353" s="84"/>
      <c r="N353" s="81"/>
      <c r="O353" s="81"/>
      <c r="P353" s="81"/>
      <c r="V353" s="81"/>
      <c r="W353" s="81"/>
      <c r="X353" s="81"/>
      <c r="Y353" s="81"/>
      <c r="Z353" s="81"/>
      <c r="AA353" s="81"/>
      <c r="AB353" s="81"/>
      <c r="AC353" s="81"/>
      <c r="AD353" s="81"/>
      <c r="AE353" s="81"/>
      <c r="AF353" s="81"/>
      <c r="AG353" s="81"/>
      <c r="AH353" s="81"/>
      <c r="AI353" s="81"/>
    </row>
    <row r="354" spans="13:35" x14ac:dyDescent="0.25">
      <c r="M354" s="84"/>
      <c r="N354" s="81"/>
      <c r="O354" s="81"/>
      <c r="P354" s="81"/>
      <c r="V354" s="81"/>
      <c r="W354" s="81"/>
      <c r="X354" s="81"/>
      <c r="Y354" s="81"/>
      <c r="Z354" s="81"/>
      <c r="AA354" s="81"/>
      <c r="AB354" s="81"/>
      <c r="AC354" s="81"/>
      <c r="AD354" s="81"/>
      <c r="AE354" s="81"/>
      <c r="AF354" s="81"/>
      <c r="AG354" s="81"/>
      <c r="AH354" s="81"/>
      <c r="AI354" s="81"/>
    </row>
    <row r="355" spans="13:35" x14ac:dyDescent="0.25">
      <c r="M355" s="84"/>
      <c r="N355" s="81"/>
      <c r="O355" s="81"/>
      <c r="P355" s="81"/>
      <c r="V355" s="81"/>
      <c r="W355" s="81"/>
      <c r="X355" s="81"/>
      <c r="Y355" s="81"/>
      <c r="Z355" s="81"/>
      <c r="AA355" s="81"/>
      <c r="AB355" s="81"/>
      <c r="AC355" s="81"/>
      <c r="AD355" s="81"/>
      <c r="AE355" s="81"/>
      <c r="AF355" s="81"/>
      <c r="AG355" s="81"/>
      <c r="AH355" s="81"/>
      <c r="AI355" s="81"/>
    </row>
    <row r="356" spans="13:35" x14ac:dyDescent="0.25">
      <c r="M356" s="84"/>
      <c r="N356" s="81"/>
      <c r="O356" s="81"/>
      <c r="P356" s="81"/>
      <c r="V356" s="81"/>
      <c r="W356" s="81"/>
      <c r="X356" s="81"/>
      <c r="Y356" s="81"/>
      <c r="Z356" s="81"/>
      <c r="AA356" s="81"/>
      <c r="AB356" s="81"/>
      <c r="AC356" s="81"/>
      <c r="AD356" s="81"/>
      <c r="AE356" s="81"/>
      <c r="AF356" s="81"/>
      <c r="AG356" s="81"/>
      <c r="AH356" s="81"/>
      <c r="AI356" s="81"/>
    </row>
    <row r="357" spans="13:35" x14ac:dyDescent="0.25">
      <c r="M357" s="84"/>
      <c r="N357" s="81"/>
      <c r="O357" s="81"/>
      <c r="P357" s="81"/>
      <c r="V357" s="81"/>
      <c r="W357" s="81"/>
      <c r="X357" s="81"/>
      <c r="Y357" s="81"/>
      <c r="Z357" s="81"/>
      <c r="AA357" s="81"/>
      <c r="AB357" s="81"/>
      <c r="AC357" s="81"/>
      <c r="AD357" s="81"/>
      <c r="AE357" s="81"/>
      <c r="AF357" s="81"/>
      <c r="AG357" s="81"/>
      <c r="AH357" s="81"/>
      <c r="AI357" s="81"/>
    </row>
    <row r="358" spans="13:35" x14ac:dyDescent="0.25">
      <c r="M358" s="84"/>
      <c r="N358" s="81"/>
      <c r="O358" s="81"/>
      <c r="P358" s="81"/>
      <c r="V358" s="81"/>
      <c r="W358" s="81"/>
      <c r="X358" s="81"/>
      <c r="Y358" s="81"/>
      <c r="Z358" s="81"/>
      <c r="AA358" s="81"/>
      <c r="AB358" s="81"/>
      <c r="AC358" s="81"/>
      <c r="AD358" s="81"/>
      <c r="AE358" s="81"/>
      <c r="AF358" s="81"/>
      <c r="AG358" s="81"/>
      <c r="AH358" s="81"/>
      <c r="AI358" s="81"/>
    </row>
    <row r="359" spans="13:35" x14ac:dyDescent="0.25">
      <c r="M359" s="84"/>
      <c r="N359" s="81"/>
      <c r="O359" s="81"/>
      <c r="P359" s="81"/>
      <c r="V359" s="81"/>
      <c r="W359" s="81"/>
      <c r="X359" s="81"/>
      <c r="Y359" s="81"/>
      <c r="Z359" s="81"/>
      <c r="AA359" s="81"/>
      <c r="AB359" s="81"/>
      <c r="AC359" s="81"/>
      <c r="AD359" s="81"/>
      <c r="AE359" s="81"/>
      <c r="AF359" s="81"/>
      <c r="AG359" s="81"/>
      <c r="AH359" s="81"/>
      <c r="AI359" s="81"/>
    </row>
    <row r="360" spans="13:35" x14ac:dyDescent="0.25">
      <c r="M360" s="84"/>
      <c r="N360" s="81"/>
      <c r="O360" s="81"/>
      <c r="P360" s="81"/>
      <c r="V360" s="81"/>
      <c r="W360" s="81"/>
      <c r="X360" s="81"/>
      <c r="Y360" s="81"/>
      <c r="Z360" s="81"/>
      <c r="AA360" s="81"/>
      <c r="AB360" s="81"/>
      <c r="AC360" s="81"/>
      <c r="AD360" s="81"/>
      <c r="AE360" s="81"/>
      <c r="AF360" s="81"/>
      <c r="AG360" s="81"/>
      <c r="AH360" s="81"/>
      <c r="AI360" s="81"/>
    </row>
    <row r="361" spans="13:35" x14ac:dyDescent="0.25">
      <c r="M361" s="84"/>
      <c r="N361" s="81"/>
      <c r="O361" s="81"/>
      <c r="P361" s="81"/>
      <c r="V361" s="81"/>
      <c r="W361" s="81"/>
      <c r="X361" s="81"/>
      <c r="Y361" s="81"/>
      <c r="Z361" s="81"/>
      <c r="AA361" s="81"/>
      <c r="AB361" s="81"/>
      <c r="AC361" s="81"/>
      <c r="AD361" s="81"/>
      <c r="AE361" s="81"/>
      <c r="AF361" s="81"/>
      <c r="AG361" s="81"/>
      <c r="AH361" s="81"/>
      <c r="AI361" s="81"/>
    </row>
    <row r="362" spans="13:35" x14ac:dyDescent="0.25">
      <c r="M362" s="84"/>
      <c r="N362" s="81"/>
      <c r="O362" s="81"/>
      <c r="P362" s="81"/>
      <c r="V362" s="81"/>
      <c r="W362" s="81"/>
      <c r="X362" s="81"/>
      <c r="Y362" s="81"/>
      <c r="Z362" s="81"/>
      <c r="AA362" s="81"/>
      <c r="AB362" s="81"/>
      <c r="AC362" s="81"/>
      <c r="AD362" s="81"/>
      <c r="AE362" s="81"/>
      <c r="AF362" s="81"/>
      <c r="AG362" s="81"/>
      <c r="AH362" s="81"/>
      <c r="AI362" s="81"/>
    </row>
    <row r="363" spans="13:35" x14ac:dyDescent="0.25">
      <c r="M363" s="84"/>
      <c r="N363" s="81"/>
      <c r="O363" s="81"/>
      <c r="P363" s="81"/>
      <c r="V363" s="81"/>
      <c r="W363" s="81"/>
      <c r="X363" s="81"/>
      <c r="Y363" s="81"/>
      <c r="Z363" s="81"/>
      <c r="AA363" s="81"/>
      <c r="AB363" s="81"/>
      <c r="AC363" s="81"/>
      <c r="AD363" s="81"/>
      <c r="AE363" s="81"/>
      <c r="AF363" s="81"/>
      <c r="AG363" s="81"/>
      <c r="AH363" s="81"/>
      <c r="AI363" s="81"/>
    </row>
    <row r="364" spans="13:35" x14ac:dyDescent="0.25">
      <c r="M364" s="84"/>
      <c r="N364" s="81"/>
      <c r="O364" s="81"/>
      <c r="P364" s="81"/>
      <c r="V364" s="81"/>
      <c r="W364" s="81"/>
      <c r="X364" s="81"/>
      <c r="Y364" s="81"/>
      <c r="Z364" s="81"/>
      <c r="AA364" s="81"/>
      <c r="AB364" s="81"/>
      <c r="AC364" s="81"/>
      <c r="AD364" s="81"/>
      <c r="AE364" s="81"/>
      <c r="AF364" s="81"/>
      <c r="AG364" s="81"/>
      <c r="AH364" s="81"/>
      <c r="AI364" s="81"/>
    </row>
    <row r="365" spans="13:35" x14ac:dyDescent="0.25">
      <c r="M365" s="84"/>
      <c r="N365" s="81"/>
      <c r="O365" s="81"/>
      <c r="P365" s="81"/>
      <c r="V365" s="81"/>
      <c r="W365" s="81"/>
      <c r="X365" s="81"/>
      <c r="Y365" s="81"/>
      <c r="Z365" s="81"/>
      <c r="AA365" s="81"/>
      <c r="AB365" s="81"/>
      <c r="AC365" s="81"/>
      <c r="AD365" s="81"/>
      <c r="AE365" s="81"/>
      <c r="AF365" s="81"/>
      <c r="AG365" s="81"/>
      <c r="AH365" s="81"/>
      <c r="AI365" s="81"/>
    </row>
    <row r="366" spans="13:35" x14ac:dyDescent="0.25">
      <c r="M366" s="84"/>
      <c r="N366" s="81"/>
      <c r="O366" s="81"/>
      <c r="P366" s="81"/>
      <c r="V366" s="81"/>
      <c r="W366" s="81"/>
      <c r="X366" s="81"/>
      <c r="Y366" s="81"/>
      <c r="Z366" s="81"/>
      <c r="AA366" s="81"/>
      <c r="AB366" s="81"/>
      <c r="AC366" s="81"/>
      <c r="AD366" s="81"/>
      <c r="AE366" s="81"/>
      <c r="AF366" s="81"/>
      <c r="AG366" s="81"/>
      <c r="AH366" s="81"/>
      <c r="AI366" s="81"/>
    </row>
    <row r="367" spans="13:35" x14ac:dyDescent="0.25">
      <c r="M367" s="84"/>
      <c r="N367" s="81"/>
      <c r="O367" s="81"/>
      <c r="P367" s="81"/>
      <c r="V367" s="81"/>
      <c r="W367" s="81"/>
      <c r="X367" s="81"/>
      <c r="Y367" s="81"/>
      <c r="Z367" s="81"/>
      <c r="AA367" s="81"/>
      <c r="AB367" s="81"/>
      <c r="AC367" s="81"/>
      <c r="AD367" s="81"/>
      <c r="AE367" s="81"/>
      <c r="AF367" s="81"/>
      <c r="AG367" s="81"/>
      <c r="AH367" s="81"/>
      <c r="AI367" s="81"/>
    </row>
    <row r="368" spans="13:35" x14ac:dyDescent="0.25">
      <c r="M368" s="84"/>
      <c r="N368" s="81"/>
      <c r="O368" s="81"/>
      <c r="P368" s="81"/>
      <c r="V368" s="81"/>
      <c r="W368" s="81"/>
      <c r="X368" s="81"/>
      <c r="Y368" s="81"/>
      <c r="Z368" s="81"/>
      <c r="AA368" s="81"/>
      <c r="AB368" s="81"/>
      <c r="AC368" s="81"/>
      <c r="AD368" s="81"/>
      <c r="AE368" s="81"/>
      <c r="AF368" s="81"/>
      <c r="AG368" s="81"/>
      <c r="AH368" s="81"/>
      <c r="AI368" s="81"/>
    </row>
    <row r="369" spans="13:35" x14ac:dyDescent="0.25">
      <c r="M369" s="84"/>
      <c r="N369" s="81"/>
      <c r="O369" s="81"/>
      <c r="P369" s="81"/>
      <c r="V369" s="81"/>
      <c r="W369" s="81"/>
      <c r="X369" s="81"/>
      <c r="Y369" s="81"/>
      <c r="Z369" s="81"/>
      <c r="AA369" s="81"/>
      <c r="AB369" s="81"/>
      <c r="AC369" s="81"/>
      <c r="AD369" s="81"/>
      <c r="AE369" s="81"/>
      <c r="AF369" s="81"/>
      <c r="AG369" s="81"/>
      <c r="AH369" s="81"/>
      <c r="AI369" s="81"/>
    </row>
    <row r="370" spans="13:35" x14ac:dyDescent="0.25">
      <c r="M370" s="84"/>
      <c r="N370" s="81"/>
      <c r="O370" s="81"/>
      <c r="P370" s="81"/>
      <c r="V370" s="81"/>
      <c r="W370" s="81"/>
      <c r="X370" s="81"/>
      <c r="Y370" s="81"/>
      <c r="Z370" s="81"/>
      <c r="AA370" s="81"/>
      <c r="AB370" s="81"/>
      <c r="AC370" s="81"/>
      <c r="AD370" s="81"/>
      <c r="AE370" s="81"/>
      <c r="AF370" s="81"/>
      <c r="AG370" s="81"/>
      <c r="AH370" s="81"/>
      <c r="AI370" s="81"/>
    </row>
    <row r="371" spans="13:35" x14ac:dyDescent="0.25">
      <c r="M371" s="84"/>
      <c r="N371" s="81"/>
      <c r="O371" s="81"/>
      <c r="P371" s="81"/>
      <c r="V371" s="81"/>
      <c r="W371" s="81"/>
      <c r="X371" s="81"/>
      <c r="Y371" s="81"/>
      <c r="Z371" s="81"/>
      <c r="AA371" s="81"/>
      <c r="AB371" s="81"/>
      <c r="AC371" s="81"/>
      <c r="AD371" s="81"/>
      <c r="AE371" s="81"/>
      <c r="AF371" s="81"/>
      <c r="AG371" s="81"/>
      <c r="AH371" s="81"/>
      <c r="AI371" s="81"/>
    </row>
    <row r="372" spans="13:35" x14ac:dyDescent="0.25">
      <c r="M372" s="84"/>
      <c r="N372" s="81"/>
      <c r="O372" s="81"/>
      <c r="P372" s="81"/>
      <c r="V372" s="81"/>
      <c r="W372" s="81"/>
      <c r="X372" s="81"/>
      <c r="Y372" s="81"/>
      <c r="Z372" s="81"/>
      <c r="AA372" s="81"/>
      <c r="AB372" s="81"/>
      <c r="AC372" s="81"/>
      <c r="AD372" s="81"/>
      <c r="AE372" s="81"/>
      <c r="AF372" s="81"/>
      <c r="AG372" s="81"/>
      <c r="AH372" s="81"/>
      <c r="AI372" s="81"/>
    </row>
    <row r="373" spans="13:35" x14ac:dyDescent="0.25">
      <c r="M373" s="84"/>
      <c r="N373" s="81"/>
      <c r="O373" s="81"/>
      <c r="P373" s="81"/>
      <c r="V373" s="81"/>
      <c r="W373" s="81"/>
      <c r="X373" s="81"/>
      <c r="Y373" s="81"/>
      <c r="Z373" s="81"/>
      <c r="AA373" s="81"/>
      <c r="AB373" s="81"/>
      <c r="AC373" s="81"/>
      <c r="AD373" s="81"/>
      <c r="AE373" s="81"/>
      <c r="AF373" s="81"/>
      <c r="AG373" s="81"/>
      <c r="AH373" s="81"/>
      <c r="AI373" s="81"/>
    </row>
    <row r="374" spans="13:35" x14ac:dyDescent="0.25">
      <c r="M374" s="84"/>
      <c r="N374" s="81"/>
      <c r="O374" s="81"/>
      <c r="P374" s="81"/>
      <c r="V374" s="81"/>
      <c r="W374" s="81"/>
      <c r="X374" s="81"/>
      <c r="Y374" s="81"/>
      <c r="Z374" s="81"/>
      <c r="AA374" s="81"/>
      <c r="AB374" s="81"/>
      <c r="AC374" s="81"/>
      <c r="AD374" s="81"/>
      <c r="AE374" s="81"/>
      <c r="AF374" s="81"/>
      <c r="AG374" s="81"/>
      <c r="AH374" s="81"/>
      <c r="AI374" s="81"/>
    </row>
    <row r="375" spans="13:35" x14ac:dyDescent="0.25">
      <c r="M375" s="84"/>
      <c r="N375" s="81"/>
      <c r="O375" s="81"/>
      <c r="P375" s="81"/>
      <c r="V375" s="81"/>
      <c r="W375" s="81"/>
      <c r="X375" s="81"/>
      <c r="Y375" s="81"/>
      <c r="Z375" s="81"/>
      <c r="AA375" s="81"/>
      <c r="AB375" s="81"/>
      <c r="AC375" s="81"/>
      <c r="AD375" s="81"/>
      <c r="AE375" s="81"/>
      <c r="AF375" s="81"/>
      <c r="AG375" s="81"/>
      <c r="AH375" s="81"/>
      <c r="AI375" s="81"/>
    </row>
    <row r="376" spans="13:35" x14ac:dyDescent="0.25">
      <c r="M376" s="84"/>
      <c r="N376" s="81"/>
      <c r="O376" s="81"/>
      <c r="P376" s="81"/>
      <c r="V376" s="81"/>
      <c r="W376" s="81"/>
      <c r="X376" s="81"/>
      <c r="Y376" s="81"/>
      <c r="Z376" s="81"/>
      <c r="AA376" s="81"/>
      <c r="AB376" s="81"/>
      <c r="AC376" s="81"/>
      <c r="AD376" s="81"/>
      <c r="AE376" s="81"/>
      <c r="AF376" s="81"/>
      <c r="AG376" s="81"/>
      <c r="AH376" s="81"/>
      <c r="AI376" s="81"/>
    </row>
    <row r="377" spans="13:35" x14ac:dyDescent="0.25">
      <c r="M377" s="84"/>
      <c r="N377" s="81"/>
      <c r="O377" s="81"/>
      <c r="P377" s="81"/>
      <c r="V377" s="81"/>
      <c r="W377" s="81"/>
      <c r="X377" s="81"/>
      <c r="Y377" s="81"/>
      <c r="Z377" s="81"/>
      <c r="AA377" s="81"/>
      <c r="AB377" s="81"/>
      <c r="AC377" s="81"/>
      <c r="AD377" s="81"/>
      <c r="AE377" s="81"/>
      <c r="AF377" s="81"/>
      <c r="AG377" s="81"/>
      <c r="AH377" s="81"/>
      <c r="AI377" s="81"/>
    </row>
    <row r="378" spans="13:35" x14ac:dyDescent="0.25">
      <c r="M378" s="84"/>
      <c r="N378" s="81"/>
      <c r="O378" s="81"/>
      <c r="P378" s="81"/>
      <c r="V378" s="81"/>
      <c r="W378" s="81"/>
      <c r="X378" s="81"/>
      <c r="Y378" s="81"/>
      <c r="Z378" s="81"/>
      <c r="AA378" s="81"/>
      <c r="AB378" s="81"/>
      <c r="AC378" s="81"/>
      <c r="AD378" s="81"/>
      <c r="AE378" s="81"/>
      <c r="AF378" s="81"/>
      <c r="AG378" s="81"/>
      <c r="AH378" s="81"/>
      <c r="AI378" s="81"/>
    </row>
    <row r="379" spans="13:35" x14ac:dyDescent="0.25">
      <c r="M379" s="84"/>
      <c r="N379" s="81"/>
      <c r="O379" s="81"/>
      <c r="P379" s="81"/>
      <c r="V379" s="81"/>
      <c r="W379" s="81"/>
      <c r="X379" s="81"/>
      <c r="Y379" s="81"/>
      <c r="Z379" s="81"/>
      <c r="AA379" s="81"/>
      <c r="AB379" s="81"/>
      <c r="AC379" s="81"/>
      <c r="AD379" s="81"/>
      <c r="AE379" s="81"/>
      <c r="AF379" s="81"/>
      <c r="AG379" s="81"/>
      <c r="AH379" s="81"/>
      <c r="AI379" s="81"/>
    </row>
    <row r="380" spans="13:35" x14ac:dyDescent="0.25">
      <c r="M380" s="84"/>
      <c r="N380" s="81"/>
      <c r="O380" s="81"/>
      <c r="P380" s="81"/>
      <c r="V380" s="81"/>
      <c r="W380" s="81"/>
      <c r="X380" s="81"/>
      <c r="Y380" s="81"/>
      <c r="Z380" s="81"/>
      <c r="AA380" s="81"/>
      <c r="AB380" s="81"/>
      <c r="AC380" s="81"/>
      <c r="AD380" s="81"/>
      <c r="AE380" s="81"/>
      <c r="AF380" s="81"/>
      <c r="AG380" s="81"/>
      <c r="AH380" s="81"/>
      <c r="AI380" s="81"/>
    </row>
    <row r="381" spans="13:35" x14ac:dyDescent="0.25">
      <c r="M381" s="84"/>
      <c r="N381" s="81"/>
      <c r="O381" s="81"/>
      <c r="P381" s="81"/>
      <c r="V381" s="81"/>
      <c r="W381" s="81"/>
      <c r="X381" s="81"/>
      <c r="Y381" s="81"/>
      <c r="Z381" s="81"/>
      <c r="AA381" s="81"/>
      <c r="AB381" s="81"/>
      <c r="AC381" s="81"/>
      <c r="AD381" s="81"/>
      <c r="AE381" s="81"/>
      <c r="AF381" s="81"/>
      <c r="AG381" s="81"/>
      <c r="AH381" s="81"/>
      <c r="AI381" s="81"/>
    </row>
    <row r="382" spans="13:35" x14ac:dyDescent="0.25">
      <c r="M382" s="84"/>
      <c r="N382" s="81"/>
      <c r="O382" s="81"/>
      <c r="P382" s="81"/>
      <c r="V382" s="81"/>
      <c r="W382" s="81"/>
      <c r="X382" s="81"/>
      <c r="Y382" s="81"/>
      <c r="Z382" s="81"/>
      <c r="AA382" s="81"/>
      <c r="AB382" s="81"/>
      <c r="AC382" s="81"/>
      <c r="AD382" s="81"/>
      <c r="AE382" s="81"/>
      <c r="AF382" s="81"/>
      <c r="AG382" s="81"/>
      <c r="AH382" s="81"/>
      <c r="AI382" s="81"/>
    </row>
    <row r="383" spans="13:35" x14ac:dyDescent="0.25">
      <c r="M383" s="84"/>
      <c r="N383" s="81"/>
      <c r="O383" s="81"/>
      <c r="P383" s="81"/>
      <c r="V383" s="81"/>
      <c r="W383" s="81"/>
      <c r="X383" s="81"/>
      <c r="Y383" s="81"/>
      <c r="Z383" s="81"/>
      <c r="AA383" s="81"/>
      <c r="AB383" s="81"/>
      <c r="AC383" s="81"/>
      <c r="AD383" s="81"/>
      <c r="AE383" s="81"/>
      <c r="AF383" s="81"/>
      <c r="AG383" s="81"/>
      <c r="AH383" s="81"/>
      <c r="AI383" s="81"/>
    </row>
    <row r="384" spans="13:35" x14ac:dyDescent="0.25">
      <c r="M384" s="84"/>
      <c r="N384" s="81"/>
      <c r="O384" s="81"/>
      <c r="P384" s="81"/>
      <c r="V384" s="81"/>
      <c r="W384" s="81"/>
      <c r="X384" s="81"/>
      <c r="Y384" s="81"/>
      <c r="Z384" s="81"/>
      <c r="AA384" s="81"/>
      <c r="AB384" s="81"/>
      <c r="AC384" s="81"/>
      <c r="AD384" s="81"/>
      <c r="AE384" s="81"/>
      <c r="AF384" s="81"/>
      <c r="AG384" s="81"/>
      <c r="AH384" s="81"/>
      <c r="AI384" s="81"/>
    </row>
    <row r="385" spans="13:35" x14ac:dyDescent="0.25">
      <c r="M385" s="84"/>
      <c r="N385" s="81"/>
      <c r="O385" s="81"/>
      <c r="P385" s="81"/>
      <c r="V385" s="81"/>
      <c r="W385" s="81"/>
      <c r="X385" s="81"/>
      <c r="Y385" s="81"/>
      <c r="Z385" s="81"/>
      <c r="AA385" s="81"/>
      <c r="AB385" s="81"/>
      <c r="AC385" s="81"/>
      <c r="AD385" s="81"/>
      <c r="AE385" s="81"/>
      <c r="AF385" s="81"/>
      <c r="AG385" s="81"/>
      <c r="AH385" s="81"/>
      <c r="AI385" s="81"/>
    </row>
    <row r="386" spans="13:35" x14ac:dyDescent="0.25">
      <c r="M386" s="84"/>
      <c r="N386" s="81"/>
      <c r="O386" s="81"/>
      <c r="P386" s="81"/>
      <c r="V386" s="81"/>
      <c r="W386" s="81"/>
      <c r="X386" s="81"/>
      <c r="Y386" s="81"/>
      <c r="Z386" s="81"/>
      <c r="AA386" s="81"/>
      <c r="AB386" s="81"/>
      <c r="AC386" s="81"/>
      <c r="AD386" s="81"/>
      <c r="AE386" s="81"/>
      <c r="AF386" s="81"/>
      <c r="AG386" s="81"/>
      <c r="AH386" s="81"/>
      <c r="AI386" s="81"/>
    </row>
    <row r="387" spans="13:35" x14ac:dyDescent="0.25">
      <c r="M387" s="84"/>
      <c r="N387" s="81"/>
      <c r="O387" s="81"/>
      <c r="P387" s="81"/>
      <c r="V387" s="81"/>
      <c r="W387" s="81"/>
      <c r="X387" s="81"/>
      <c r="Y387" s="81"/>
      <c r="Z387" s="81"/>
      <c r="AA387" s="81"/>
      <c r="AB387" s="81"/>
      <c r="AC387" s="81"/>
      <c r="AD387" s="81"/>
      <c r="AE387" s="81"/>
      <c r="AF387" s="81"/>
      <c r="AG387" s="81"/>
      <c r="AH387" s="81"/>
      <c r="AI387" s="81"/>
    </row>
    <row r="388" spans="13:35" x14ac:dyDescent="0.25">
      <c r="M388" s="84"/>
      <c r="N388" s="81"/>
      <c r="O388" s="81"/>
      <c r="P388" s="81"/>
      <c r="V388" s="81"/>
      <c r="W388" s="81"/>
      <c r="X388" s="81"/>
      <c r="Y388" s="81"/>
      <c r="Z388" s="81"/>
      <c r="AA388" s="81"/>
      <c r="AB388" s="81"/>
      <c r="AC388" s="81"/>
      <c r="AD388" s="81"/>
      <c r="AE388" s="81"/>
      <c r="AF388" s="81"/>
      <c r="AG388" s="81"/>
      <c r="AH388" s="81"/>
      <c r="AI388" s="81"/>
    </row>
    <row r="389" spans="13:35" x14ac:dyDescent="0.25">
      <c r="M389" s="84"/>
      <c r="N389" s="81"/>
      <c r="O389" s="81"/>
      <c r="P389" s="81"/>
      <c r="V389" s="81"/>
      <c r="W389" s="81"/>
      <c r="X389" s="81"/>
      <c r="Y389" s="81"/>
      <c r="Z389" s="81"/>
      <c r="AA389" s="81"/>
      <c r="AB389" s="81"/>
      <c r="AC389" s="81"/>
      <c r="AD389" s="81"/>
      <c r="AE389" s="81"/>
      <c r="AF389" s="81"/>
      <c r="AG389" s="81"/>
      <c r="AH389" s="81"/>
      <c r="AI389" s="81"/>
    </row>
    <row r="390" spans="13:35" x14ac:dyDescent="0.25">
      <c r="M390" s="84"/>
      <c r="N390" s="81"/>
      <c r="O390" s="81"/>
      <c r="P390" s="81"/>
      <c r="V390" s="81"/>
      <c r="W390" s="81"/>
      <c r="X390" s="81"/>
      <c r="Y390" s="81"/>
      <c r="Z390" s="81"/>
      <c r="AA390" s="81"/>
      <c r="AB390" s="81"/>
      <c r="AC390" s="81"/>
      <c r="AD390" s="81"/>
      <c r="AE390" s="81"/>
      <c r="AF390" s="81"/>
      <c r="AG390" s="81"/>
      <c r="AH390" s="81"/>
      <c r="AI390" s="81"/>
    </row>
    <row r="391" spans="13:35" x14ac:dyDescent="0.25">
      <c r="M391" s="84"/>
      <c r="N391" s="81"/>
      <c r="O391" s="81"/>
      <c r="P391" s="81"/>
      <c r="V391" s="81"/>
      <c r="W391" s="81"/>
      <c r="X391" s="81"/>
      <c r="Y391" s="81"/>
      <c r="Z391" s="81"/>
      <c r="AA391" s="81"/>
      <c r="AB391" s="81"/>
      <c r="AC391" s="81"/>
      <c r="AD391" s="81"/>
      <c r="AE391" s="81"/>
      <c r="AF391" s="81"/>
      <c r="AG391" s="81"/>
      <c r="AH391" s="81"/>
      <c r="AI391" s="81"/>
    </row>
    <row r="392" spans="13:35" x14ac:dyDescent="0.25">
      <c r="M392" s="84"/>
      <c r="N392" s="81"/>
      <c r="O392" s="81"/>
      <c r="P392" s="81"/>
      <c r="V392" s="81"/>
      <c r="W392" s="81"/>
      <c r="X392" s="81"/>
      <c r="Y392" s="81"/>
      <c r="Z392" s="81"/>
      <c r="AA392" s="81"/>
      <c r="AB392" s="81"/>
      <c r="AC392" s="81"/>
      <c r="AD392" s="81"/>
      <c r="AE392" s="81"/>
      <c r="AF392" s="81"/>
      <c r="AG392" s="81"/>
      <c r="AH392" s="81"/>
      <c r="AI392" s="81"/>
    </row>
    <row r="393" spans="13:35" x14ac:dyDescent="0.25">
      <c r="M393" s="84"/>
      <c r="N393" s="81"/>
      <c r="O393" s="81"/>
      <c r="P393" s="81"/>
      <c r="V393" s="81"/>
      <c r="W393" s="81"/>
      <c r="X393" s="81"/>
      <c r="Y393" s="81"/>
      <c r="Z393" s="81"/>
      <c r="AA393" s="81"/>
      <c r="AB393" s="81"/>
      <c r="AC393" s="81"/>
      <c r="AD393" s="81"/>
      <c r="AE393" s="81"/>
      <c r="AF393" s="81"/>
      <c r="AG393" s="81"/>
      <c r="AH393" s="81"/>
      <c r="AI393" s="81"/>
    </row>
    <row r="394" spans="13:35" x14ac:dyDescent="0.25">
      <c r="M394" s="84"/>
      <c r="N394" s="81"/>
      <c r="O394" s="81"/>
      <c r="P394" s="81"/>
      <c r="V394" s="81"/>
      <c r="W394" s="81"/>
      <c r="X394" s="81"/>
      <c r="Y394" s="81"/>
      <c r="Z394" s="81"/>
      <c r="AA394" s="81"/>
      <c r="AB394" s="81"/>
      <c r="AC394" s="81"/>
      <c r="AD394" s="81"/>
      <c r="AE394" s="81"/>
      <c r="AF394" s="81"/>
      <c r="AG394" s="81"/>
      <c r="AH394" s="81"/>
      <c r="AI394" s="81"/>
    </row>
    <row r="395" spans="13:35" x14ac:dyDescent="0.25">
      <c r="M395" s="84"/>
      <c r="N395" s="81"/>
      <c r="O395" s="81"/>
      <c r="P395" s="81"/>
      <c r="V395" s="81"/>
      <c r="W395" s="81"/>
      <c r="X395" s="81"/>
      <c r="Y395" s="81"/>
      <c r="Z395" s="81"/>
      <c r="AA395" s="81"/>
      <c r="AB395" s="81"/>
      <c r="AC395" s="81"/>
      <c r="AD395" s="81"/>
      <c r="AE395" s="81"/>
      <c r="AF395" s="81"/>
      <c r="AG395" s="81"/>
      <c r="AH395" s="81"/>
      <c r="AI395" s="81"/>
    </row>
    <row r="396" spans="13:35" x14ac:dyDescent="0.25">
      <c r="M396" s="84"/>
      <c r="N396" s="81"/>
      <c r="O396" s="81"/>
      <c r="P396" s="81"/>
      <c r="V396" s="81"/>
      <c r="W396" s="81"/>
      <c r="X396" s="81"/>
      <c r="Y396" s="81"/>
      <c r="Z396" s="81"/>
      <c r="AA396" s="81"/>
      <c r="AB396" s="81"/>
      <c r="AC396" s="81"/>
      <c r="AD396" s="81"/>
      <c r="AE396" s="81"/>
      <c r="AF396" s="81"/>
      <c r="AG396" s="81"/>
      <c r="AH396" s="81"/>
      <c r="AI396" s="81"/>
    </row>
    <row r="397" spans="13:35" x14ac:dyDescent="0.25">
      <c r="M397" s="84"/>
      <c r="N397" s="81"/>
      <c r="O397" s="81"/>
      <c r="P397" s="81"/>
      <c r="V397" s="81"/>
      <c r="W397" s="81"/>
      <c r="X397" s="81"/>
      <c r="Y397" s="81"/>
      <c r="Z397" s="81"/>
      <c r="AA397" s="81"/>
      <c r="AB397" s="81"/>
      <c r="AC397" s="81"/>
      <c r="AD397" s="81"/>
      <c r="AE397" s="81"/>
      <c r="AF397" s="81"/>
      <c r="AG397" s="81"/>
      <c r="AH397" s="81"/>
      <c r="AI397" s="81"/>
    </row>
    <row r="398" spans="13:35" x14ac:dyDescent="0.25">
      <c r="M398" s="84"/>
      <c r="N398" s="81"/>
      <c r="O398" s="81"/>
      <c r="P398" s="81"/>
      <c r="V398" s="81"/>
      <c r="W398" s="81"/>
      <c r="X398" s="81"/>
      <c r="Y398" s="81"/>
      <c r="Z398" s="81"/>
      <c r="AA398" s="81"/>
      <c r="AB398" s="81"/>
      <c r="AC398" s="81"/>
      <c r="AD398" s="81"/>
      <c r="AE398" s="81"/>
      <c r="AF398" s="81"/>
      <c r="AG398" s="81"/>
      <c r="AH398" s="81"/>
      <c r="AI398" s="81"/>
    </row>
    <row r="399" spans="13:35" x14ac:dyDescent="0.25">
      <c r="M399" s="84"/>
      <c r="N399" s="81"/>
      <c r="O399" s="81"/>
      <c r="P399" s="81"/>
      <c r="V399" s="81"/>
      <c r="W399" s="81"/>
      <c r="X399" s="81"/>
      <c r="Y399" s="81"/>
      <c r="Z399" s="81"/>
      <c r="AA399" s="81"/>
      <c r="AB399" s="81"/>
      <c r="AC399" s="81"/>
      <c r="AD399" s="81"/>
      <c r="AE399" s="81"/>
      <c r="AF399" s="81"/>
      <c r="AG399" s="81"/>
      <c r="AH399" s="81"/>
      <c r="AI399" s="81"/>
    </row>
    <row r="400" spans="13:35" x14ac:dyDescent="0.25">
      <c r="M400" s="84"/>
      <c r="N400" s="81"/>
      <c r="O400" s="81"/>
      <c r="P400" s="81"/>
      <c r="V400" s="81"/>
      <c r="W400" s="81"/>
      <c r="X400" s="81"/>
      <c r="Y400" s="81"/>
      <c r="Z400" s="81"/>
      <c r="AA400" s="81"/>
      <c r="AB400" s="81"/>
      <c r="AC400" s="81"/>
      <c r="AD400" s="81"/>
      <c r="AE400" s="81"/>
      <c r="AF400" s="81"/>
      <c r="AG400" s="81"/>
      <c r="AH400" s="81"/>
      <c r="AI400" s="81"/>
    </row>
    <row r="401" spans="13:35" x14ac:dyDescent="0.25">
      <c r="M401" s="84"/>
      <c r="N401" s="81"/>
      <c r="O401" s="81"/>
      <c r="P401" s="81"/>
      <c r="V401" s="81"/>
      <c r="W401" s="81"/>
      <c r="X401" s="81"/>
      <c r="Y401" s="81"/>
      <c r="Z401" s="81"/>
      <c r="AA401" s="81"/>
      <c r="AB401" s="81"/>
      <c r="AC401" s="81"/>
      <c r="AD401" s="81"/>
      <c r="AE401" s="81"/>
      <c r="AF401" s="81"/>
      <c r="AG401" s="81"/>
      <c r="AH401" s="81"/>
      <c r="AI401" s="81"/>
    </row>
    <row r="402" spans="13:35" x14ac:dyDescent="0.25">
      <c r="M402" s="84"/>
      <c r="N402" s="81"/>
      <c r="O402" s="81"/>
      <c r="P402" s="81"/>
      <c r="V402" s="81"/>
      <c r="W402" s="81"/>
      <c r="X402" s="81"/>
      <c r="Y402" s="81"/>
      <c r="Z402" s="81"/>
      <c r="AA402" s="81"/>
      <c r="AB402" s="81"/>
      <c r="AC402" s="81"/>
      <c r="AD402" s="81"/>
      <c r="AE402" s="81"/>
      <c r="AF402" s="81"/>
      <c r="AG402" s="81"/>
      <c r="AH402" s="81"/>
      <c r="AI402" s="81"/>
    </row>
    <row r="403" spans="13:35" x14ac:dyDescent="0.25">
      <c r="M403" s="84"/>
      <c r="N403" s="81"/>
      <c r="O403" s="81"/>
      <c r="P403" s="81"/>
      <c r="V403" s="81"/>
      <c r="W403" s="81"/>
      <c r="X403" s="81"/>
      <c r="Y403" s="81"/>
      <c r="Z403" s="81"/>
      <c r="AA403" s="81"/>
      <c r="AB403" s="81"/>
      <c r="AC403" s="81"/>
      <c r="AD403" s="81"/>
      <c r="AE403" s="81"/>
      <c r="AF403" s="81"/>
      <c r="AG403" s="81"/>
      <c r="AH403" s="81"/>
      <c r="AI403" s="81"/>
    </row>
    <row r="404" spans="13:35" x14ac:dyDescent="0.25">
      <c r="M404" s="84"/>
      <c r="N404" s="81"/>
      <c r="O404" s="81"/>
      <c r="P404" s="81"/>
      <c r="V404" s="81"/>
      <c r="W404" s="81"/>
      <c r="X404" s="81"/>
      <c r="Y404" s="81"/>
      <c r="Z404" s="81"/>
      <c r="AA404" s="81"/>
      <c r="AB404" s="81"/>
      <c r="AC404" s="81"/>
      <c r="AD404" s="81"/>
      <c r="AE404" s="81"/>
      <c r="AF404" s="81"/>
      <c r="AG404" s="81"/>
      <c r="AH404" s="81"/>
      <c r="AI404" s="81"/>
    </row>
    <row r="405" spans="13:35" x14ac:dyDescent="0.25">
      <c r="M405" s="84"/>
      <c r="N405" s="81"/>
      <c r="O405" s="81"/>
      <c r="P405" s="81"/>
      <c r="V405" s="81"/>
      <c r="W405" s="81"/>
      <c r="X405" s="81"/>
      <c r="Y405" s="81"/>
      <c r="Z405" s="81"/>
      <c r="AA405" s="81"/>
      <c r="AB405" s="81"/>
      <c r="AC405" s="81"/>
      <c r="AD405" s="81"/>
      <c r="AE405" s="81"/>
      <c r="AF405" s="81"/>
      <c r="AG405" s="81"/>
      <c r="AH405" s="81"/>
      <c r="AI405" s="81"/>
    </row>
    <row r="406" spans="13:35" x14ac:dyDescent="0.25">
      <c r="M406" s="84"/>
      <c r="N406" s="81"/>
      <c r="O406" s="81"/>
      <c r="P406" s="81"/>
      <c r="V406" s="81"/>
      <c r="W406" s="81"/>
      <c r="X406" s="81"/>
      <c r="Y406" s="81"/>
      <c r="Z406" s="81"/>
      <c r="AA406" s="81"/>
      <c r="AB406" s="81"/>
      <c r="AC406" s="81"/>
      <c r="AD406" s="81"/>
      <c r="AE406" s="81"/>
      <c r="AF406" s="81"/>
      <c r="AG406" s="81"/>
      <c r="AH406" s="81"/>
      <c r="AI406" s="81"/>
    </row>
    <row r="407" spans="13:35" x14ac:dyDescent="0.25">
      <c r="M407" s="84"/>
      <c r="N407" s="81"/>
      <c r="O407" s="81"/>
      <c r="P407" s="81"/>
      <c r="V407" s="81"/>
      <c r="W407" s="81"/>
      <c r="X407" s="81"/>
      <c r="Y407" s="81"/>
      <c r="Z407" s="81"/>
      <c r="AA407" s="81"/>
      <c r="AB407" s="81"/>
      <c r="AC407" s="81"/>
      <c r="AD407" s="81"/>
      <c r="AE407" s="81"/>
      <c r="AF407" s="81"/>
      <c r="AG407" s="81"/>
      <c r="AH407" s="81"/>
      <c r="AI407" s="81"/>
    </row>
    <row r="408" spans="13:35" x14ac:dyDescent="0.25">
      <c r="M408" s="84"/>
      <c r="N408" s="81"/>
      <c r="O408" s="81"/>
      <c r="P408" s="81"/>
      <c r="V408" s="81"/>
      <c r="W408" s="81"/>
      <c r="X408" s="81"/>
      <c r="Y408" s="81"/>
      <c r="Z408" s="81"/>
      <c r="AA408" s="81"/>
      <c r="AB408" s="81"/>
      <c r="AC408" s="81"/>
      <c r="AD408" s="81"/>
      <c r="AE408" s="81"/>
      <c r="AF408" s="81"/>
      <c r="AG408" s="81"/>
      <c r="AH408" s="81"/>
      <c r="AI408" s="81"/>
    </row>
    <row r="409" spans="13:35" x14ac:dyDescent="0.25">
      <c r="M409" s="84"/>
      <c r="N409" s="81"/>
      <c r="O409" s="81"/>
      <c r="P409" s="81"/>
      <c r="V409" s="81"/>
      <c r="W409" s="81"/>
      <c r="X409" s="81"/>
      <c r="Y409" s="81"/>
      <c r="Z409" s="81"/>
      <c r="AA409" s="81"/>
      <c r="AB409" s="81"/>
      <c r="AC409" s="81"/>
      <c r="AD409" s="81"/>
      <c r="AE409" s="81"/>
      <c r="AF409" s="81"/>
      <c r="AG409" s="81"/>
      <c r="AH409" s="81"/>
      <c r="AI409" s="81"/>
    </row>
    <row r="410" spans="13:35" x14ac:dyDescent="0.25">
      <c r="M410" s="84"/>
      <c r="N410" s="81"/>
      <c r="O410" s="81"/>
      <c r="P410" s="81"/>
      <c r="V410" s="81"/>
      <c r="W410" s="81"/>
      <c r="X410" s="81"/>
      <c r="Y410" s="81"/>
      <c r="Z410" s="81"/>
      <c r="AA410" s="81"/>
      <c r="AB410" s="81"/>
      <c r="AC410" s="81"/>
      <c r="AD410" s="81"/>
      <c r="AE410" s="81"/>
      <c r="AF410" s="81"/>
      <c r="AG410" s="81"/>
      <c r="AH410" s="81"/>
      <c r="AI410" s="81"/>
    </row>
    <row r="411" spans="13:35" x14ac:dyDescent="0.25">
      <c r="M411" s="84"/>
      <c r="N411" s="81"/>
      <c r="O411" s="81"/>
      <c r="P411" s="81"/>
      <c r="V411" s="81"/>
      <c r="W411" s="81"/>
      <c r="X411" s="81"/>
      <c r="Y411" s="81"/>
      <c r="Z411" s="81"/>
      <c r="AA411" s="81"/>
      <c r="AB411" s="81"/>
      <c r="AC411" s="81"/>
      <c r="AD411" s="81"/>
      <c r="AE411" s="81"/>
      <c r="AF411" s="81"/>
      <c r="AG411" s="81"/>
      <c r="AH411" s="81"/>
      <c r="AI411" s="81"/>
    </row>
    <row r="412" spans="13:35" x14ac:dyDescent="0.25">
      <c r="M412" s="84"/>
      <c r="N412" s="81"/>
      <c r="O412" s="81"/>
      <c r="P412" s="81"/>
      <c r="V412" s="81"/>
      <c r="W412" s="81"/>
      <c r="X412" s="81"/>
      <c r="Y412" s="81"/>
      <c r="Z412" s="81"/>
      <c r="AA412" s="81"/>
      <c r="AB412" s="81"/>
      <c r="AC412" s="81"/>
      <c r="AD412" s="81"/>
      <c r="AE412" s="81"/>
      <c r="AF412" s="81"/>
      <c r="AG412" s="81"/>
      <c r="AH412" s="81"/>
      <c r="AI412" s="81"/>
    </row>
    <row r="413" spans="13:35" x14ac:dyDescent="0.25">
      <c r="M413" s="84"/>
      <c r="N413" s="81"/>
      <c r="O413" s="81"/>
      <c r="P413" s="81"/>
      <c r="V413" s="81"/>
      <c r="W413" s="81"/>
      <c r="X413" s="81"/>
      <c r="Y413" s="81"/>
      <c r="Z413" s="81"/>
      <c r="AA413" s="81"/>
      <c r="AB413" s="81"/>
      <c r="AC413" s="81"/>
      <c r="AD413" s="81"/>
      <c r="AE413" s="81"/>
      <c r="AF413" s="81"/>
      <c r="AG413" s="81"/>
      <c r="AH413" s="81"/>
      <c r="AI413" s="81"/>
    </row>
    <row r="414" spans="13:35" x14ac:dyDescent="0.25">
      <c r="M414" s="84"/>
      <c r="N414" s="81"/>
      <c r="O414" s="81"/>
      <c r="P414" s="81"/>
      <c r="V414" s="81"/>
      <c r="W414" s="81"/>
      <c r="X414" s="81"/>
      <c r="Y414" s="81"/>
      <c r="Z414" s="81"/>
      <c r="AA414" s="81"/>
      <c r="AB414" s="81"/>
      <c r="AC414" s="81"/>
      <c r="AD414" s="81"/>
      <c r="AE414" s="81"/>
      <c r="AF414" s="81"/>
      <c r="AG414" s="81"/>
      <c r="AH414" s="81"/>
      <c r="AI414" s="81"/>
    </row>
    <row r="415" spans="13:35" x14ac:dyDescent="0.25">
      <c r="M415" s="84"/>
      <c r="N415" s="81"/>
      <c r="O415" s="81"/>
      <c r="P415" s="81"/>
      <c r="V415" s="81"/>
      <c r="W415" s="81"/>
      <c r="X415" s="81"/>
      <c r="Y415" s="81"/>
      <c r="Z415" s="81"/>
      <c r="AA415" s="81"/>
      <c r="AB415" s="81"/>
      <c r="AC415" s="81"/>
      <c r="AD415" s="81"/>
      <c r="AE415" s="81"/>
      <c r="AF415" s="81"/>
      <c r="AG415" s="81"/>
      <c r="AH415" s="81"/>
      <c r="AI415" s="81"/>
    </row>
    <row r="416" spans="13:35" x14ac:dyDescent="0.25">
      <c r="M416" s="84"/>
      <c r="N416" s="81"/>
      <c r="O416" s="81"/>
      <c r="P416" s="81"/>
      <c r="V416" s="81"/>
      <c r="W416" s="81"/>
      <c r="X416" s="81"/>
      <c r="Y416" s="81"/>
      <c r="Z416" s="81"/>
      <c r="AA416" s="81"/>
      <c r="AB416" s="81"/>
      <c r="AC416" s="81"/>
      <c r="AD416" s="81"/>
      <c r="AE416" s="81"/>
      <c r="AF416" s="81"/>
      <c r="AG416" s="81"/>
      <c r="AH416" s="81"/>
      <c r="AI416" s="81"/>
    </row>
    <row r="417" spans="13:35" x14ac:dyDescent="0.25">
      <c r="M417" s="84"/>
      <c r="N417" s="81"/>
      <c r="O417" s="81"/>
      <c r="P417" s="81"/>
      <c r="V417" s="81"/>
      <c r="W417" s="81"/>
      <c r="X417" s="81"/>
      <c r="Y417" s="81"/>
      <c r="Z417" s="81"/>
      <c r="AA417" s="81"/>
      <c r="AB417" s="81"/>
      <c r="AC417" s="81"/>
      <c r="AD417" s="81"/>
      <c r="AE417" s="81"/>
      <c r="AF417" s="81"/>
      <c r="AG417" s="81"/>
      <c r="AH417" s="81"/>
      <c r="AI417" s="81"/>
    </row>
    <row r="418" spans="13:35" x14ac:dyDescent="0.25">
      <c r="M418" s="84"/>
      <c r="N418" s="81"/>
      <c r="O418" s="81"/>
      <c r="P418" s="81"/>
      <c r="V418" s="81"/>
      <c r="W418" s="81"/>
      <c r="X418" s="81"/>
      <c r="Y418" s="81"/>
      <c r="Z418" s="81"/>
      <c r="AA418" s="81"/>
      <c r="AB418" s="81"/>
      <c r="AC418" s="81"/>
      <c r="AD418" s="81"/>
      <c r="AE418" s="81"/>
      <c r="AF418" s="81"/>
      <c r="AG418" s="81"/>
      <c r="AH418" s="81"/>
      <c r="AI418" s="81"/>
    </row>
    <row r="419" spans="13:35" x14ac:dyDescent="0.25">
      <c r="M419" s="84"/>
      <c r="N419" s="81"/>
      <c r="O419" s="81"/>
      <c r="P419" s="81"/>
      <c r="V419" s="81"/>
      <c r="W419" s="81"/>
      <c r="X419" s="81"/>
      <c r="Y419" s="81"/>
      <c r="Z419" s="81"/>
      <c r="AA419" s="81"/>
      <c r="AB419" s="81"/>
      <c r="AC419" s="81"/>
      <c r="AD419" s="81"/>
      <c r="AE419" s="81"/>
      <c r="AF419" s="81"/>
      <c r="AG419" s="81"/>
      <c r="AH419" s="81"/>
      <c r="AI419" s="81"/>
    </row>
    <row r="420" spans="13:35" x14ac:dyDescent="0.25">
      <c r="M420" s="84"/>
      <c r="N420" s="81"/>
      <c r="O420" s="81"/>
      <c r="P420" s="81"/>
      <c r="V420" s="81"/>
      <c r="W420" s="81"/>
      <c r="X420" s="81"/>
      <c r="Y420" s="81"/>
      <c r="Z420" s="81"/>
      <c r="AA420" s="81"/>
      <c r="AB420" s="81"/>
      <c r="AC420" s="81"/>
      <c r="AD420" s="81"/>
      <c r="AE420" s="81"/>
      <c r="AF420" s="81"/>
      <c r="AG420" s="81"/>
      <c r="AH420" s="81"/>
      <c r="AI420" s="81"/>
    </row>
    <row r="421" spans="13:35" x14ac:dyDescent="0.25">
      <c r="M421" s="84"/>
      <c r="N421" s="81"/>
      <c r="O421" s="81"/>
      <c r="P421" s="81"/>
      <c r="V421" s="81"/>
      <c r="W421" s="81"/>
      <c r="X421" s="81"/>
      <c r="Y421" s="81"/>
      <c r="Z421" s="81"/>
      <c r="AA421" s="81"/>
      <c r="AB421" s="81"/>
      <c r="AC421" s="81"/>
      <c r="AD421" s="81"/>
      <c r="AE421" s="81"/>
      <c r="AF421" s="81"/>
      <c r="AG421" s="81"/>
      <c r="AH421" s="81"/>
      <c r="AI421" s="81"/>
    </row>
    <row r="422" spans="13:35" x14ac:dyDescent="0.25">
      <c r="M422" s="84"/>
      <c r="N422" s="81"/>
      <c r="O422" s="81"/>
      <c r="P422" s="81"/>
      <c r="V422" s="81"/>
      <c r="W422" s="81"/>
      <c r="X422" s="81"/>
      <c r="Y422" s="81"/>
      <c r="Z422" s="81"/>
      <c r="AA422" s="81"/>
      <c r="AB422" s="81"/>
      <c r="AC422" s="81"/>
      <c r="AD422" s="81"/>
      <c r="AE422" s="81"/>
      <c r="AF422" s="81"/>
      <c r="AG422" s="81"/>
      <c r="AH422" s="81"/>
      <c r="AI422" s="81"/>
    </row>
    <row r="423" spans="13:35" x14ac:dyDescent="0.25">
      <c r="M423" s="84"/>
      <c r="N423" s="81"/>
      <c r="O423" s="81"/>
      <c r="P423" s="81"/>
      <c r="V423" s="81"/>
      <c r="W423" s="81"/>
      <c r="X423" s="81"/>
      <c r="Y423" s="81"/>
      <c r="Z423" s="81"/>
      <c r="AA423" s="81"/>
      <c r="AB423" s="81"/>
      <c r="AC423" s="81"/>
      <c r="AD423" s="81"/>
      <c r="AE423" s="81"/>
      <c r="AF423" s="81"/>
      <c r="AG423" s="81"/>
      <c r="AH423" s="81"/>
      <c r="AI423" s="81"/>
    </row>
    <row r="424" spans="13:35" x14ac:dyDescent="0.25">
      <c r="M424" s="84"/>
      <c r="N424" s="81"/>
      <c r="O424" s="81"/>
      <c r="P424" s="81"/>
      <c r="V424" s="81"/>
      <c r="W424" s="81"/>
      <c r="X424" s="81"/>
      <c r="Y424" s="81"/>
      <c r="Z424" s="81"/>
      <c r="AA424" s="81"/>
      <c r="AB424" s="81"/>
      <c r="AC424" s="81"/>
      <c r="AD424" s="81"/>
      <c r="AE424" s="81"/>
      <c r="AF424" s="81"/>
      <c r="AG424" s="81"/>
      <c r="AH424" s="81"/>
      <c r="AI424" s="81"/>
    </row>
    <row r="425" spans="13:35" x14ac:dyDescent="0.25">
      <c r="M425" s="84"/>
      <c r="N425" s="81"/>
      <c r="O425" s="81"/>
      <c r="P425" s="81"/>
      <c r="V425" s="81"/>
      <c r="W425" s="81"/>
      <c r="X425" s="81"/>
      <c r="Y425" s="81"/>
      <c r="Z425" s="81"/>
      <c r="AA425" s="81"/>
      <c r="AB425" s="81"/>
      <c r="AC425" s="81"/>
      <c r="AD425" s="81"/>
      <c r="AE425" s="81"/>
      <c r="AF425" s="81"/>
      <c r="AG425" s="81"/>
      <c r="AH425" s="81"/>
      <c r="AI425" s="81"/>
    </row>
    <row r="426" spans="13:35" x14ac:dyDescent="0.25">
      <c r="M426" s="84"/>
      <c r="N426" s="81"/>
      <c r="O426" s="81"/>
      <c r="P426" s="81"/>
      <c r="V426" s="81"/>
      <c r="W426" s="81"/>
      <c r="X426" s="81"/>
      <c r="Y426" s="81"/>
      <c r="Z426" s="81"/>
      <c r="AA426" s="81"/>
      <c r="AB426" s="81"/>
      <c r="AC426" s="81"/>
      <c r="AD426" s="81"/>
      <c r="AE426" s="81"/>
      <c r="AF426" s="81"/>
      <c r="AG426" s="81"/>
      <c r="AH426" s="81"/>
      <c r="AI426" s="81"/>
    </row>
    <row r="427" spans="13:35" x14ac:dyDescent="0.25">
      <c r="M427" s="84"/>
      <c r="N427" s="81"/>
      <c r="O427" s="81"/>
      <c r="P427" s="81"/>
      <c r="V427" s="81"/>
      <c r="W427" s="81"/>
      <c r="X427" s="81"/>
      <c r="Y427" s="81"/>
      <c r="Z427" s="81"/>
      <c r="AA427" s="81"/>
      <c r="AB427" s="81"/>
      <c r="AC427" s="81"/>
      <c r="AD427" s="81"/>
      <c r="AE427" s="81"/>
      <c r="AF427" s="81"/>
      <c r="AG427" s="81"/>
      <c r="AH427" s="81"/>
      <c r="AI427" s="81"/>
    </row>
    <row r="428" spans="13:35" x14ac:dyDescent="0.25">
      <c r="M428" s="84"/>
      <c r="N428" s="81"/>
      <c r="O428" s="81"/>
      <c r="P428" s="81"/>
      <c r="V428" s="81"/>
      <c r="W428" s="81"/>
      <c r="X428" s="81"/>
      <c r="Y428" s="81"/>
      <c r="Z428" s="81"/>
      <c r="AA428" s="81"/>
      <c r="AB428" s="81"/>
      <c r="AC428" s="81"/>
      <c r="AD428" s="81"/>
      <c r="AE428" s="81"/>
      <c r="AF428" s="81"/>
      <c r="AG428" s="81"/>
      <c r="AH428" s="81"/>
      <c r="AI428" s="81"/>
    </row>
    <row r="429" spans="13:35" x14ac:dyDescent="0.25">
      <c r="M429" s="84"/>
      <c r="N429" s="81"/>
      <c r="O429" s="81"/>
      <c r="P429" s="81"/>
      <c r="V429" s="81"/>
      <c r="W429" s="81"/>
      <c r="X429" s="81"/>
      <c r="Y429" s="81"/>
      <c r="Z429" s="81"/>
      <c r="AA429" s="81"/>
      <c r="AB429" s="81"/>
      <c r="AC429" s="81"/>
      <c r="AD429" s="81"/>
      <c r="AE429" s="81"/>
      <c r="AF429" s="81"/>
      <c r="AG429" s="81"/>
      <c r="AH429" s="81"/>
      <c r="AI429" s="81"/>
    </row>
    <row r="430" spans="13:35" x14ac:dyDescent="0.25">
      <c r="M430" s="84"/>
      <c r="N430" s="81"/>
      <c r="O430" s="81"/>
      <c r="P430" s="81"/>
      <c r="V430" s="81"/>
      <c r="W430" s="81"/>
      <c r="X430" s="81"/>
      <c r="Y430" s="81"/>
      <c r="Z430" s="81"/>
      <c r="AA430" s="81"/>
      <c r="AB430" s="81"/>
      <c r="AC430" s="81"/>
      <c r="AD430" s="81"/>
      <c r="AE430" s="81"/>
      <c r="AF430" s="81"/>
      <c r="AG430" s="81"/>
      <c r="AH430" s="81"/>
      <c r="AI430" s="81"/>
    </row>
    <row r="431" spans="13:35" x14ac:dyDescent="0.25">
      <c r="M431" s="84"/>
      <c r="N431" s="81"/>
      <c r="O431" s="81"/>
      <c r="P431" s="81"/>
      <c r="V431" s="81"/>
      <c r="W431" s="81"/>
      <c r="X431" s="81"/>
      <c r="Y431" s="81"/>
      <c r="Z431" s="81"/>
      <c r="AA431" s="81"/>
      <c r="AB431" s="81"/>
      <c r="AC431" s="81"/>
      <c r="AD431" s="81"/>
      <c r="AE431" s="81"/>
      <c r="AF431" s="81"/>
      <c r="AG431" s="81"/>
      <c r="AH431" s="81"/>
      <c r="AI431" s="81"/>
    </row>
    <row r="432" spans="13:35" x14ac:dyDescent="0.25">
      <c r="M432" s="84"/>
      <c r="N432" s="81"/>
      <c r="O432" s="81"/>
      <c r="P432" s="81"/>
      <c r="V432" s="81"/>
      <c r="W432" s="81"/>
      <c r="X432" s="81"/>
      <c r="Y432" s="81"/>
      <c r="Z432" s="81"/>
      <c r="AA432" s="81"/>
      <c r="AB432" s="81"/>
      <c r="AC432" s="81"/>
      <c r="AD432" s="81"/>
      <c r="AE432" s="81"/>
      <c r="AF432" s="81"/>
      <c r="AG432" s="81"/>
      <c r="AH432" s="81"/>
      <c r="AI432" s="81"/>
    </row>
    <row r="433" spans="13:35" x14ac:dyDescent="0.25">
      <c r="M433" s="84"/>
      <c r="N433" s="81"/>
      <c r="O433" s="81"/>
      <c r="P433" s="81"/>
      <c r="V433" s="81"/>
      <c r="W433" s="81"/>
      <c r="X433" s="81"/>
      <c r="Y433" s="81"/>
      <c r="Z433" s="81"/>
      <c r="AA433" s="81"/>
      <c r="AB433" s="81"/>
      <c r="AC433" s="81"/>
      <c r="AD433" s="81"/>
      <c r="AE433" s="81"/>
      <c r="AF433" s="81"/>
      <c r="AG433" s="81"/>
      <c r="AH433" s="81"/>
      <c r="AI433" s="81"/>
    </row>
    <row r="434" spans="13:35" x14ac:dyDescent="0.25">
      <c r="M434" s="84"/>
      <c r="N434" s="81"/>
      <c r="O434" s="81"/>
      <c r="P434" s="81"/>
      <c r="V434" s="81"/>
      <c r="W434" s="81"/>
      <c r="X434" s="81"/>
      <c r="Y434" s="81"/>
      <c r="Z434" s="81"/>
      <c r="AA434" s="81"/>
      <c r="AB434" s="81"/>
      <c r="AC434" s="81"/>
      <c r="AD434" s="81"/>
      <c r="AE434" s="81"/>
      <c r="AF434" s="81"/>
      <c r="AG434" s="81"/>
      <c r="AH434" s="81"/>
      <c r="AI434" s="81"/>
    </row>
    <row r="435" spans="13:35" x14ac:dyDescent="0.25">
      <c r="M435" s="84"/>
      <c r="N435" s="81"/>
      <c r="O435" s="81"/>
      <c r="P435" s="81"/>
      <c r="V435" s="81"/>
      <c r="W435" s="81"/>
      <c r="X435" s="81"/>
      <c r="Y435" s="81"/>
      <c r="Z435" s="81"/>
      <c r="AA435" s="81"/>
      <c r="AB435" s="81"/>
      <c r="AC435" s="81"/>
      <c r="AD435" s="81"/>
      <c r="AE435" s="81"/>
      <c r="AF435" s="81"/>
      <c r="AG435" s="81"/>
      <c r="AH435" s="81"/>
      <c r="AI435" s="81"/>
    </row>
    <row r="436" spans="13:35" x14ac:dyDescent="0.25">
      <c r="M436" s="84"/>
      <c r="N436" s="81"/>
      <c r="O436" s="81"/>
      <c r="P436" s="81"/>
      <c r="V436" s="81"/>
      <c r="W436" s="81"/>
      <c r="X436" s="81"/>
      <c r="Y436" s="81"/>
      <c r="Z436" s="81"/>
      <c r="AA436" s="81"/>
      <c r="AB436" s="81"/>
      <c r="AC436" s="81"/>
      <c r="AD436" s="81"/>
      <c r="AE436" s="81"/>
      <c r="AF436" s="81"/>
      <c r="AG436" s="81"/>
      <c r="AH436" s="81"/>
      <c r="AI436" s="81"/>
    </row>
    <row r="437" spans="13:35" x14ac:dyDescent="0.25">
      <c r="M437" s="84"/>
      <c r="N437" s="81"/>
      <c r="O437" s="81"/>
      <c r="P437" s="81"/>
      <c r="V437" s="81"/>
      <c r="W437" s="81"/>
      <c r="X437" s="81"/>
      <c r="Y437" s="81"/>
      <c r="Z437" s="81"/>
      <c r="AA437" s="81"/>
      <c r="AB437" s="81"/>
      <c r="AC437" s="81"/>
      <c r="AD437" s="81"/>
      <c r="AE437" s="81"/>
      <c r="AF437" s="81"/>
      <c r="AG437" s="81"/>
      <c r="AH437" s="81"/>
      <c r="AI437" s="81"/>
    </row>
    <row r="438" spans="13:35" x14ac:dyDescent="0.25">
      <c r="M438" s="84"/>
      <c r="N438" s="81"/>
      <c r="O438" s="81"/>
      <c r="P438" s="81"/>
      <c r="V438" s="81"/>
      <c r="W438" s="81"/>
      <c r="X438" s="81"/>
      <c r="Y438" s="81"/>
      <c r="Z438" s="81"/>
      <c r="AA438" s="81"/>
      <c r="AB438" s="81"/>
      <c r="AC438" s="81"/>
      <c r="AD438" s="81"/>
      <c r="AE438" s="81"/>
      <c r="AF438" s="81"/>
      <c r="AG438" s="81"/>
      <c r="AH438" s="81"/>
      <c r="AI438" s="81"/>
    </row>
    <row r="439" spans="13:35" x14ac:dyDescent="0.25">
      <c r="M439" s="84"/>
      <c r="N439" s="81"/>
      <c r="O439" s="81"/>
      <c r="P439" s="81"/>
      <c r="V439" s="81"/>
      <c r="W439" s="81"/>
      <c r="X439" s="81"/>
      <c r="Y439" s="81"/>
      <c r="Z439" s="81"/>
      <c r="AA439" s="81"/>
      <c r="AB439" s="81"/>
      <c r="AC439" s="81"/>
      <c r="AD439" s="81"/>
      <c r="AE439" s="81"/>
      <c r="AF439" s="81"/>
      <c r="AG439" s="81"/>
      <c r="AH439" s="81"/>
      <c r="AI439" s="81"/>
    </row>
    <row r="440" spans="13:35" x14ac:dyDescent="0.25">
      <c r="M440" s="84"/>
      <c r="N440" s="81"/>
      <c r="O440" s="81"/>
      <c r="P440" s="81"/>
      <c r="V440" s="81"/>
      <c r="W440" s="81"/>
      <c r="X440" s="81"/>
      <c r="Y440" s="81"/>
      <c r="Z440" s="81"/>
      <c r="AA440" s="81"/>
      <c r="AB440" s="81"/>
      <c r="AC440" s="81"/>
      <c r="AD440" s="81"/>
      <c r="AE440" s="81"/>
      <c r="AF440" s="81"/>
      <c r="AG440" s="81"/>
      <c r="AH440" s="81"/>
      <c r="AI440" s="81"/>
    </row>
    <row r="441" spans="13:35" x14ac:dyDescent="0.25">
      <c r="M441" s="84"/>
      <c r="N441" s="81"/>
      <c r="O441" s="81"/>
      <c r="P441" s="81"/>
      <c r="V441" s="81"/>
      <c r="W441" s="81"/>
      <c r="X441" s="81"/>
      <c r="Y441" s="81"/>
      <c r="Z441" s="81"/>
      <c r="AA441" s="81"/>
      <c r="AB441" s="81"/>
      <c r="AC441" s="81"/>
      <c r="AD441" s="81"/>
      <c r="AE441" s="81"/>
      <c r="AF441" s="81"/>
      <c r="AG441" s="81"/>
      <c r="AH441" s="81"/>
      <c r="AI441" s="81"/>
    </row>
    <row r="442" spans="13:35" x14ac:dyDescent="0.25">
      <c r="M442" s="84"/>
      <c r="N442" s="81"/>
      <c r="O442" s="81"/>
      <c r="P442" s="81"/>
      <c r="V442" s="81"/>
      <c r="W442" s="81"/>
      <c r="X442" s="81"/>
      <c r="Y442" s="81"/>
      <c r="Z442" s="81"/>
      <c r="AA442" s="81"/>
      <c r="AB442" s="81"/>
      <c r="AC442" s="81"/>
      <c r="AD442" s="81"/>
      <c r="AE442" s="81"/>
      <c r="AF442" s="81"/>
      <c r="AG442" s="81"/>
      <c r="AH442" s="81"/>
      <c r="AI442" s="81"/>
    </row>
    <row r="443" spans="13:35" x14ac:dyDescent="0.25">
      <c r="M443" s="84"/>
      <c r="N443" s="81"/>
      <c r="O443" s="81"/>
      <c r="P443" s="81"/>
      <c r="V443" s="81"/>
      <c r="W443" s="81"/>
      <c r="X443" s="81"/>
      <c r="Y443" s="81"/>
      <c r="Z443" s="81"/>
      <c r="AA443" s="81"/>
      <c r="AB443" s="81"/>
      <c r="AC443" s="81"/>
      <c r="AD443" s="81"/>
      <c r="AE443" s="81"/>
      <c r="AF443" s="81"/>
      <c r="AG443" s="81"/>
      <c r="AH443" s="81"/>
      <c r="AI443" s="81"/>
    </row>
    <row r="444" spans="13:35" x14ac:dyDescent="0.25">
      <c r="M444" s="84"/>
      <c r="N444" s="81"/>
      <c r="O444" s="81"/>
      <c r="P444" s="81"/>
      <c r="V444" s="81"/>
      <c r="W444" s="81"/>
      <c r="X444" s="81"/>
      <c r="Y444" s="81"/>
      <c r="Z444" s="81"/>
      <c r="AA444" s="81"/>
      <c r="AB444" s="81"/>
      <c r="AC444" s="81"/>
      <c r="AD444" s="81"/>
      <c r="AE444" s="81"/>
      <c r="AF444" s="81"/>
      <c r="AG444" s="81"/>
      <c r="AH444" s="81"/>
      <c r="AI444" s="81"/>
    </row>
    <row r="445" spans="13:35" x14ac:dyDescent="0.25">
      <c r="M445" s="84"/>
      <c r="N445" s="81"/>
      <c r="O445" s="81"/>
      <c r="P445" s="81"/>
      <c r="V445" s="81"/>
      <c r="W445" s="81"/>
      <c r="X445" s="81"/>
      <c r="Y445" s="81"/>
      <c r="Z445" s="81"/>
      <c r="AA445" s="81"/>
      <c r="AB445" s="81"/>
      <c r="AC445" s="81"/>
      <c r="AD445" s="81"/>
      <c r="AE445" s="81"/>
      <c r="AF445" s="81"/>
      <c r="AG445" s="81"/>
      <c r="AH445" s="81"/>
      <c r="AI445" s="81"/>
    </row>
    <row r="446" spans="13:35" x14ac:dyDescent="0.25">
      <c r="M446" s="84"/>
      <c r="N446" s="81"/>
      <c r="O446" s="81"/>
      <c r="P446" s="81"/>
      <c r="V446" s="81"/>
      <c r="W446" s="81"/>
      <c r="X446" s="81"/>
      <c r="Y446" s="81"/>
      <c r="Z446" s="81"/>
      <c r="AA446" s="81"/>
      <c r="AB446" s="81"/>
      <c r="AC446" s="81"/>
      <c r="AD446" s="81"/>
      <c r="AE446" s="81"/>
      <c r="AF446" s="81"/>
      <c r="AG446" s="81"/>
      <c r="AH446" s="81"/>
      <c r="AI446" s="81"/>
    </row>
    <row r="447" spans="13:35" x14ac:dyDescent="0.25">
      <c r="M447" s="84"/>
      <c r="N447" s="81"/>
      <c r="O447" s="81"/>
      <c r="P447" s="81"/>
      <c r="V447" s="81"/>
      <c r="W447" s="81"/>
      <c r="X447" s="81"/>
      <c r="Y447" s="81"/>
      <c r="Z447" s="81"/>
      <c r="AA447" s="81"/>
      <c r="AB447" s="81"/>
      <c r="AC447" s="81"/>
      <c r="AD447" s="81"/>
      <c r="AE447" s="81"/>
      <c r="AF447" s="81"/>
      <c r="AG447" s="81"/>
      <c r="AH447" s="81"/>
      <c r="AI447" s="81"/>
    </row>
    <row r="448" spans="13:35" x14ac:dyDescent="0.25">
      <c r="M448" s="84"/>
      <c r="N448" s="81"/>
      <c r="O448" s="81"/>
      <c r="P448" s="81"/>
      <c r="V448" s="81"/>
      <c r="W448" s="81"/>
      <c r="X448" s="81"/>
      <c r="Y448" s="81"/>
      <c r="Z448" s="81"/>
      <c r="AA448" s="81"/>
      <c r="AB448" s="81"/>
      <c r="AC448" s="81"/>
      <c r="AD448" s="81"/>
      <c r="AE448" s="81"/>
      <c r="AF448" s="81"/>
      <c r="AG448" s="81"/>
      <c r="AH448" s="81"/>
      <c r="AI448" s="81"/>
    </row>
    <row r="449" spans="13:35" x14ac:dyDescent="0.25">
      <c r="M449" s="84"/>
      <c r="N449" s="81"/>
      <c r="O449" s="81"/>
      <c r="P449" s="81"/>
      <c r="V449" s="81"/>
      <c r="W449" s="81"/>
      <c r="X449" s="81"/>
      <c r="Y449" s="81"/>
      <c r="Z449" s="81"/>
      <c r="AA449" s="81"/>
      <c r="AB449" s="81"/>
      <c r="AC449" s="81"/>
      <c r="AD449" s="81"/>
      <c r="AE449" s="81"/>
      <c r="AF449" s="81"/>
      <c r="AG449" s="81"/>
      <c r="AH449" s="81"/>
      <c r="AI449" s="81"/>
    </row>
    <row r="450" spans="13:35" x14ac:dyDescent="0.25">
      <c r="M450" s="84"/>
      <c r="N450" s="81"/>
      <c r="O450" s="81"/>
      <c r="P450" s="81"/>
      <c r="V450" s="81"/>
      <c r="W450" s="81"/>
      <c r="X450" s="81"/>
      <c r="Y450" s="81"/>
      <c r="Z450" s="81"/>
      <c r="AA450" s="81"/>
      <c r="AB450" s="81"/>
      <c r="AC450" s="81"/>
      <c r="AD450" s="81"/>
      <c r="AE450" s="81"/>
      <c r="AF450" s="81"/>
      <c r="AG450" s="81"/>
      <c r="AH450" s="81"/>
      <c r="AI450" s="81"/>
    </row>
    <row r="451" spans="13:35" x14ac:dyDescent="0.25">
      <c r="M451" s="84"/>
      <c r="N451" s="81"/>
      <c r="O451" s="81"/>
      <c r="P451" s="81"/>
      <c r="V451" s="81"/>
      <c r="W451" s="81"/>
      <c r="X451" s="81"/>
      <c r="Y451" s="81"/>
      <c r="Z451" s="81"/>
      <c r="AA451" s="81"/>
      <c r="AB451" s="81"/>
      <c r="AC451" s="81"/>
      <c r="AD451" s="81"/>
      <c r="AE451" s="81"/>
      <c r="AF451" s="81"/>
      <c r="AG451" s="81"/>
      <c r="AH451" s="81"/>
      <c r="AI451" s="81"/>
    </row>
    <row r="452" spans="13:35" x14ac:dyDescent="0.25">
      <c r="M452" s="84"/>
      <c r="N452" s="81"/>
      <c r="O452" s="81"/>
      <c r="P452" s="81"/>
      <c r="V452" s="81"/>
      <c r="W452" s="81"/>
      <c r="X452" s="81"/>
      <c r="Y452" s="81"/>
      <c r="Z452" s="81"/>
      <c r="AA452" s="81"/>
      <c r="AB452" s="81"/>
      <c r="AC452" s="81"/>
      <c r="AD452" s="81"/>
      <c r="AE452" s="81"/>
      <c r="AF452" s="81"/>
      <c r="AG452" s="81"/>
      <c r="AH452" s="81"/>
      <c r="AI452" s="81"/>
    </row>
    <row r="453" spans="13:35" x14ac:dyDescent="0.25">
      <c r="M453" s="84"/>
      <c r="N453" s="81"/>
      <c r="O453" s="81"/>
      <c r="P453" s="81"/>
      <c r="V453" s="81"/>
      <c r="W453" s="81"/>
      <c r="X453" s="81"/>
      <c r="Y453" s="81"/>
      <c r="Z453" s="81"/>
      <c r="AA453" s="81"/>
      <c r="AB453" s="81"/>
      <c r="AC453" s="81"/>
      <c r="AD453" s="81"/>
      <c r="AE453" s="81"/>
      <c r="AF453" s="81"/>
      <c r="AG453" s="81"/>
      <c r="AH453" s="81"/>
      <c r="AI453" s="81"/>
    </row>
    <row r="454" spans="13:35" x14ac:dyDescent="0.25">
      <c r="M454" s="84"/>
      <c r="N454" s="81"/>
      <c r="O454" s="81"/>
      <c r="P454" s="81"/>
      <c r="V454" s="81"/>
      <c r="W454" s="81"/>
      <c r="X454" s="81"/>
      <c r="Y454" s="81"/>
      <c r="Z454" s="81"/>
      <c r="AA454" s="81"/>
      <c r="AB454" s="81"/>
      <c r="AC454" s="81"/>
      <c r="AD454" s="81"/>
      <c r="AE454" s="81"/>
      <c r="AF454" s="81"/>
      <c r="AG454" s="81"/>
      <c r="AH454" s="81"/>
      <c r="AI454" s="81"/>
    </row>
    <row r="455" spans="13:35" x14ac:dyDescent="0.25">
      <c r="M455" s="84"/>
      <c r="N455" s="81"/>
      <c r="O455" s="81"/>
      <c r="P455" s="81"/>
      <c r="V455" s="81"/>
      <c r="W455" s="81"/>
      <c r="X455" s="81"/>
      <c r="Y455" s="81"/>
      <c r="Z455" s="81"/>
      <c r="AA455" s="81"/>
      <c r="AB455" s="81"/>
      <c r="AC455" s="81"/>
      <c r="AD455" s="81"/>
      <c r="AE455" s="81"/>
      <c r="AF455" s="81"/>
      <c r="AG455" s="81"/>
      <c r="AH455" s="81"/>
      <c r="AI455" s="81"/>
    </row>
    <row r="456" spans="13:35" x14ac:dyDescent="0.25">
      <c r="M456" s="84"/>
      <c r="N456" s="81"/>
      <c r="O456" s="81"/>
      <c r="P456" s="81"/>
      <c r="V456" s="81"/>
      <c r="W456" s="81"/>
      <c r="X456" s="81"/>
      <c r="Y456" s="81"/>
      <c r="Z456" s="81"/>
      <c r="AA456" s="81"/>
      <c r="AB456" s="81"/>
      <c r="AC456" s="81"/>
      <c r="AD456" s="81"/>
      <c r="AE456" s="81"/>
      <c r="AF456" s="81"/>
      <c r="AG456" s="81"/>
      <c r="AH456" s="81"/>
      <c r="AI456" s="81"/>
    </row>
    <row r="457" spans="13:35" x14ac:dyDescent="0.25">
      <c r="M457" s="84"/>
      <c r="N457" s="81"/>
      <c r="O457" s="81"/>
      <c r="P457" s="81"/>
      <c r="V457" s="81"/>
      <c r="W457" s="81"/>
      <c r="X457" s="81"/>
      <c r="Y457" s="81"/>
      <c r="Z457" s="81"/>
      <c r="AA457" s="81"/>
      <c r="AB457" s="81"/>
      <c r="AC457" s="81"/>
      <c r="AD457" s="81"/>
      <c r="AE457" s="81"/>
      <c r="AF457" s="81"/>
      <c r="AG457" s="81"/>
      <c r="AH457" s="81"/>
      <c r="AI457" s="81"/>
    </row>
    <row r="458" spans="13:35" x14ac:dyDescent="0.25">
      <c r="M458" s="84"/>
      <c r="N458" s="81"/>
      <c r="O458" s="81"/>
      <c r="P458" s="81"/>
      <c r="V458" s="81"/>
      <c r="W458" s="81"/>
      <c r="X458" s="81"/>
      <c r="Y458" s="81"/>
      <c r="Z458" s="81"/>
      <c r="AA458" s="81"/>
      <c r="AB458" s="81"/>
      <c r="AC458" s="81"/>
      <c r="AD458" s="81"/>
      <c r="AE458" s="81"/>
      <c r="AF458" s="81"/>
      <c r="AG458" s="81"/>
      <c r="AH458" s="81"/>
      <c r="AI458" s="81"/>
    </row>
    <row r="459" spans="13:35" x14ac:dyDescent="0.25">
      <c r="M459" s="84"/>
      <c r="N459" s="81"/>
      <c r="O459" s="81"/>
      <c r="P459" s="81"/>
      <c r="V459" s="81"/>
      <c r="W459" s="81"/>
      <c r="X459" s="81"/>
      <c r="Y459" s="81"/>
      <c r="Z459" s="81"/>
      <c r="AA459" s="81"/>
      <c r="AB459" s="81"/>
      <c r="AC459" s="81"/>
      <c r="AD459" s="81"/>
      <c r="AE459" s="81"/>
      <c r="AF459" s="81"/>
      <c r="AG459" s="81"/>
      <c r="AH459" s="81"/>
      <c r="AI459" s="81"/>
    </row>
    <row r="460" spans="13:35" x14ac:dyDescent="0.25">
      <c r="M460" s="84"/>
      <c r="N460" s="81"/>
      <c r="O460" s="81"/>
      <c r="P460" s="81"/>
      <c r="V460" s="81"/>
      <c r="W460" s="81"/>
      <c r="X460" s="81"/>
      <c r="Y460" s="81"/>
      <c r="Z460" s="81"/>
      <c r="AA460" s="81"/>
      <c r="AB460" s="81"/>
      <c r="AC460" s="81"/>
      <c r="AD460" s="81"/>
      <c r="AE460" s="81"/>
      <c r="AF460" s="81"/>
      <c r="AG460" s="81"/>
      <c r="AH460" s="81"/>
      <c r="AI460" s="81"/>
    </row>
    <row r="461" spans="13:35" x14ac:dyDescent="0.25">
      <c r="M461" s="84"/>
      <c r="N461" s="81"/>
      <c r="O461" s="81"/>
      <c r="P461" s="81"/>
      <c r="V461" s="81"/>
      <c r="W461" s="81"/>
      <c r="X461" s="81"/>
      <c r="Y461" s="81"/>
      <c r="Z461" s="81"/>
      <c r="AA461" s="81"/>
      <c r="AB461" s="81"/>
      <c r="AC461" s="81"/>
      <c r="AD461" s="81"/>
      <c r="AE461" s="81"/>
      <c r="AF461" s="81"/>
      <c r="AG461" s="81"/>
      <c r="AH461" s="81"/>
      <c r="AI461" s="81"/>
    </row>
    <row r="462" spans="13:35" x14ac:dyDescent="0.25">
      <c r="M462" s="84"/>
      <c r="N462" s="81"/>
      <c r="O462" s="81"/>
      <c r="P462" s="81"/>
      <c r="V462" s="81"/>
      <c r="W462" s="81"/>
      <c r="X462" s="81"/>
      <c r="Y462" s="81"/>
      <c r="Z462" s="81"/>
      <c r="AA462" s="81"/>
      <c r="AB462" s="81"/>
      <c r="AC462" s="81"/>
      <c r="AD462" s="81"/>
      <c r="AE462" s="81"/>
      <c r="AF462" s="81"/>
      <c r="AG462" s="81"/>
      <c r="AH462" s="81"/>
      <c r="AI462" s="81"/>
    </row>
    <row r="463" spans="13:35" x14ac:dyDescent="0.25">
      <c r="M463" s="84"/>
      <c r="N463" s="81"/>
      <c r="O463" s="81"/>
      <c r="P463" s="81"/>
      <c r="V463" s="81"/>
      <c r="W463" s="81"/>
      <c r="X463" s="81"/>
      <c r="Y463" s="81"/>
      <c r="Z463" s="81"/>
      <c r="AA463" s="81"/>
      <c r="AB463" s="81"/>
      <c r="AC463" s="81"/>
      <c r="AD463" s="81"/>
      <c r="AE463" s="81"/>
      <c r="AF463" s="81"/>
      <c r="AG463" s="81"/>
      <c r="AH463" s="81"/>
      <c r="AI463" s="81"/>
    </row>
    <row r="464" spans="13:35" x14ac:dyDescent="0.25">
      <c r="M464" s="84"/>
      <c r="N464" s="81"/>
      <c r="O464" s="81"/>
      <c r="P464" s="81"/>
      <c r="V464" s="81"/>
      <c r="W464" s="81"/>
      <c r="X464" s="81"/>
      <c r="Y464" s="81"/>
      <c r="Z464" s="81"/>
      <c r="AA464" s="81"/>
      <c r="AB464" s="81"/>
      <c r="AC464" s="81"/>
      <c r="AD464" s="81"/>
      <c r="AE464" s="81"/>
      <c r="AF464" s="81"/>
      <c r="AG464" s="81"/>
      <c r="AH464" s="81"/>
      <c r="AI464" s="81"/>
    </row>
    <row r="465" spans="13:35" x14ac:dyDescent="0.25">
      <c r="M465" s="84"/>
      <c r="N465" s="81"/>
      <c r="O465" s="81"/>
      <c r="P465" s="81"/>
      <c r="V465" s="81"/>
      <c r="W465" s="81"/>
      <c r="X465" s="81"/>
      <c r="Y465" s="81"/>
      <c r="Z465" s="81"/>
      <c r="AA465" s="81"/>
      <c r="AB465" s="81"/>
      <c r="AC465" s="81"/>
      <c r="AD465" s="81"/>
      <c r="AE465" s="81"/>
      <c r="AF465" s="81"/>
      <c r="AG465" s="81"/>
      <c r="AH465" s="81"/>
      <c r="AI465" s="81"/>
    </row>
    <row r="466" spans="13:35" x14ac:dyDescent="0.25">
      <c r="M466" s="84"/>
      <c r="N466" s="81"/>
      <c r="O466" s="81"/>
      <c r="P466" s="81"/>
      <c r="V466" s="81"/>
      <c r="W466" s="81"/>
      <c r="X466" s="81"/>
      <c r="Y466" s="81"/>
      <c r="Z466" s="81"/>
      <c r="AA466" s="81"/>
      <c r="AB466" s="81"/>
      <c r="AC466" s="81"/>
      <c r="AD466" s="81"/>
      <c r="AE466" s="81"/>
      <c r="AF466" s="81"/>
      <c r="AG466" s="81"/>
      <c r="AH466" s="81"/>
      <c r="AI466" s="81"/>
    </row>
    <row r="467" spans="13:35" x14ac:dyDescent="0.25">
      <c r="M467" s="84"/>
      <c r="N467" s="81"/>
      <c r="O467" s="81"/>
      <c r="P467" s="81"/>
      <c r="V467" s="81"/>
      <c r="W467" s="81"/>
      <c r="X467" s="81"/>
      <c r="Y467" s="81"/>
      <c r="Z467" s="81"/>
      <c r="AA467" s="81"/>
      <c r="AB467" s="81"/>
      <c r="AC467" s="81"/>
      <c r="AD467" s="81"/>
      <c r="AE467" s="81"/>
      <c r="AF467" s="81"/>
      <c r="AG467" s="81"/>
      <c r="AH467" s="81"/>
      <c r="AI467" s="81"/>
    </row>
    <row r="468" spans="13:35" x14ac:dyDescent="0.25">
      <c r="M468" s="84"/>
      <c r="N468" s="81"/>
      <c r="O468" s="81"/>
      <c r="P468" s="81"/>
      <c r="V468" s="81"/>
      <c r="W468" s="81"/>
      <c r="X468" s="81"/>
      <c r="Y468" s="81"/>
      <c r="Z468" s="81"/>
      <c r="AA468" s="81"/>
      <c r="AB468" s="81"/>
      <c r="AC468" s="81"/>
      <c r="AD468" s="81"/>
      <c r="AE468" s="81"/>
      <c r="AF468" s="81"/>
      <c r="AG468" s="81"/>
      <c r="AH468" s="81"/>
      <c r="AI468" s="81"/>
    </row>
    <row r="469" spans="13:35" x14ac:dyDescent="0.25">
      <c r="M469" s="84"/>
      <c r="N469" s="81"/>
      <c r="O469" s="81"/>
      <c r="P469" s="81"/>
      <c r="V469" s="81"/>
      <c r="W469" s="81"/>
      <c r="X469" s="81"/>
      <c r="Y469" s="81"/>
      <c r="Z469" s="81"/>
      <c r="AA469" s="81"/>
      <c r="AB469" s="81"/>
      <c r="AC469" s="81"/>
      <c r="AD469" s="81"/>
      <c r="AE469" s="81"/>
      <c r="AF469" s="81"/>
      <c r="AG469" s="81"/>
      <c r="AH469" s="81"/>
      <c r="AI469" s="81"/>
    </row>
    <row r="470" spans="13:35" x14ac:dyDescent="0.25">
      <c r="M470" s="84"/>
      <c r="N470" s="81"/>
      <c r="O470" s="81"/>
      <c r="P470" s="81"/>
      <c r="V470" s="81"/>
      <c r="W470" s="81"/>
      <c r="X470" s="81"/>
      <c r="Y470" s="81"/>
      <c r="Z470" s="81"/>
      <c r="AA470" s="81"/>
      <c r="AB470" s="81"/>
      <c r="AC470" s="81"/>
      <c r="AD470" s="81"/>
      <c r="AE470" s="81"/>
      <c r="AF470" s="81"/>
      <c r="AG470" s="81"/>
      <c r="AH470" s="81"/>
      <c r="AI470" s="81"/>
    </row>
    <row r="471" spans="13:35" x14ac:dyDescent="0.25">
      <c r="M471" s="84"/>
      <c r="N471" s="81"/>
      <c r="O471" s="81"/>
      <c r="P471" s="81"/>
      <c r="V471" s="81"/>
      <c r="W471" s="81"/>
      <c r="X471" s="81"/>
      <c r="Y471" s="81"/>
      <c r="Z471" s="81"/>
      <c r="AA471" s="81"/>
      <c r="AB471" s="81"/>
      <c r="AC471" s="81"/>
      <c r="AD471" s="81"/>
      <c r="AE471" s="81"/>
      <c r="AF471" s="81"/>
      <c r="AG471" s="81"/>
      <c r="AH471" s="81"/>
      <c r="AI471" s="81"/>
    </row>
    <row r="472" spans="13:35" x14ac:dyDescent="0.25">
      <c r="M472" s="84"/>
      <c r="N472" s="81"/>
      <c r="O472" s="81"/>
      <c r="P472" s="81"/>
      <c r="V472" s="81"/>
      <c r="W472" s="81"/>
      <c r="X472" s="81"/>
      <c r="Y472" s="81"/>
      <c r="Z472" s="81"/>
      <c r="AA472" s="81"/>
      <c r="AB472" s="81"/>
      <c r="AC472" s="81"/>
      <c r="AD472" s="81"/>
      <c r="AE472" s="81"/>
      <c r="AF472" s="81"/>
      <c r="AG472" s="81"/>
      <c r="AH472" s="81"/>
      <c r="AI472" s="81"/>
    </row>
    <row r="473" spans="13:35" x14ac:dyDescent="0.25">
      <c r="M473" s="84"/>
      <c r="N473" s="81"/>
      <c r="O473" s="81"/>
      <c r="P473" s="81"/>
      <c r="V473" s="81"/>
      <c r="W473" s="81"/>
      <c r="X473" s="81"/>
      <c r="Y473" s="81"/>
      <c r="Z473" s="81"/>
      <c r="AA473" s="81"/>
      <c r="AB473" s="81"/>
      <c r="AC473" s="81"/>
      <c r="AD473" s="81"/>
      <c r="AE473" s="81"/>
      <c r="AF473" s="81"/>
      <c r="AG473" s="81"/>
      <c r="AH473" s="81"/>
      <c r="AI473" s="81"/>
    </row>
    <row r="474" spans="13:35" x14ac:dyDescent="0.25">
      <c r="M474" s="84"/>
      <c r="N474" s="81"/>
      <c r="O474" s="81"/>
      <c r="P474" s="81"/>
      <c r="V474" s="81"/>
      <c r="W474" s="81"/>
      <c r="X474" s="81"/>
      <c r="Y474" s="81"/>
      <c r="Z474" s="81"/>
      <c r="AA474" s="81"/>
      <c r="AB474" s="81"/>
      <c r="AC474" s="81"/>
      <c r="AD474" s="81"/>
      <c r="AE474" s="81"/>
      <c r="AF474" s="81"/>
      <c r="AG474" s="81"/>
      <c r="AH474" s="81"/>
      <c r="AI474" s="81"/>
    </row>
    <row r="475" spans="13:35" x14ac:dyDescent="0.25">
      <c r="M475" s="84"/>
      <c r="N475" s="81"/>
      <c r="O475" s="81"/>
      <c r="P475" s="81"/>
      <c r="V475" s="81"/>
      <c r="W475" s="81"/>
      <c r="X475" s="81"/>
      <c r="Y475" s="81"/>
      <c r="Z475" s="81"/>
      <c r="AA475" s="81"/>
      <c r="AB475" s="81"/>
      <c r="AC475" s="81"/>
      <c r="AD475" s="81"/>
      <c r="AE475" s="81"/>
      <c r="AF475" s="81"/>
      <c r="AG475" s="81"/>
      <c r="AH475" s="81"/>
      <c r="AI475" s="81"/>
    </row>
    <row r="476" spans="13:35" x14ac:dyDescent="0.25">
      <c r="M476" s="84"/>
      <c r="N476" s="81"/>
      <c r="O476" s="81"/>
      <c r="P476" s="81"/>
      <c r="V476" s="81"/>
      <c r="W476" s="81"/>
      <c r="X476" s="81"/>
      <c r="Y476" s="81"/>
      <c r="Z476" s="81"/>
      <c r="AA476" s="81"/>
      <c r="AB476" s="81"/>
      <c r="AC476" s="81"/>
      <c r="AD476" s="81"/>
      <c r="AE476" s="81"/>
      <c r="AF476" s="81"/>
      <c r="AG476" s="81"/>
      <c r="AH476" s="81"/>
      <c r="AI476" s="81"/>
    </row>
    <row r="477" spans="13:35" x14ac:dyDescent="0.25">
      <c r="M477" s="84"/>
      <c r="N477" s="81"/>
      <c r="O477" s="81"/>
      <c r="P477" s="81"/>
      <c r="V477" s="81"/>
      <c r="W477" s="81"/>
      <c r="X477" s="81"/>
      <c r="Y477" s="81"/>
      <c r="Z477" s="81"/>
      <c r="AA477" s="81"/>
      <c r="AB477" s="81"/>
      <c r="AC477" s="81"/>
      <c r="AD477" s="81"/>
      <c r="AE477" s="81"/>
      <c r="AF477" s="81"/>
      <c r="AG477" s="81"/>
      <c r="AH477" s="81"/>
      <c r="AI477" s="81"/>
    </row>
    <row r="478" spans="13:35" x14ac:dyDescent="0.25">
      <c r="M478" s="84"/>
      <c r="N478" s="81"/>
      <c r="O478" s="81"/>
      <c r="P478" s="81"/>
      <c r="V478" s="81"/>
      <c r="W478" s="81"/>
      <c r="X478" s="81"/>
      <c r="Y478" s="81"/>
      <c r="Z478" s="81"/>
      <c r="AA478" s="81"/>
      <c r="AB478" s="81"/>
      <c r="AC478" s="81"/>
      <c r="AD478" s="81"/>
      <c r="AE478" s="81"/>
      <c r="AF478" s="81"/>
      <c r="AG478" s="81"/>
      <c r="AH478" s="81"/>
      <c r="AI478" s="81"/>
    </row>
    <row r="479" spans="13:35" x14ac:dyDescent="0.25">
      <c r="M479" s="84"/>
      <c r="N479" s="81"/>
      <c r="O479" s="81"/>
      <c r="P479" s="81"/>
      <c r="V479" s="81"/>
      <c r="W479" s="81"/>
      <c r="X479" s="81"/>
      <c r="Y479" s="81"/>
      <c r="Z479" s="81"/>
      <c r="AA479" s="81"/>
      <c r="AB479" s="81"/>
      <c r="AC479" s="81"/>
      <c r="AD479" s="81"/>
      <c r="AE479" s="81"/>
      <c r="AF479" s="81"/>
      <c r="AG479" s="81"/>
      <c r="AH479" s="81"/>
      <c r="AI479" s="81"/>
    </row>
  </sheetData>
  <mergeCells count="22">
    <mergeCell ref="D1:E1"/>
    <mergeCell ref="J1:M1"/>
    <mergeCell ref="B28:B33"/>
    <mergeCell ref="B34:B39"/>
    <mergeCell ref="B40:B45"/>
    <mergeCell ref="B52:B53"/>
    <mergeCell ref="C52:C53"/>
    <mergeCell ref="C32:C33"/>
    <mergeCell ref="C28:C29"/>
    <mergeCell ref="C30:C31"/>
    <mergeCell ref="C34:C35"/>
    <mergeCell ref="C36:C37"/>
    <mergeCell ref="C38:C39"/>
    <mergeCell ref="C40:C41"/>
    <mergeCell ref="C42:C43"/>
    <mergeCell ref="C44:C45"/>
    <mergeCell ref="B65:B66"/>
    <mergeCell ref="C65:C66"/>
    <mergeCell ref="B54:B55"/>
    <mergeCell ref="C54:C55"/>
    <mergeCell ref="B56:B57"/>
    <mergeCell ref="C56:C57"/>
  </mergeCells>
  <conditionalFormatting sqref="AA3:AB3 AA5:AB20 AB4">
    <cfRule type="cellIs" dxfId="19" priority="25" operator="greaterThan">
      <formula>1.08</formula>
    </cfRule>
  </conditionalFormatting>
  <conditionalFormatting sqref="AF3 AF5:AF20">
    <cfRule type="cellIs" dxfId="18" priority="22" operator="greaterThan">
      <formula>1.08</formula>
    </cfRule>
  </conditionalFormatting>
  <conditionalFormatting sqref="AC3:AD3 AC5:AD20">
    <cfRule type="cellIs" dxfId="17" priority="20" operator="greaterThan">
      <formula>1</formula>
    </cfRule>
  </conditionalFormatting>
  <conditionalFormatting sqref="AG3 AG5:AG20">
    <cfRule type="cellIs" dxfId="16" priority="19" operator="greaterThan">
      <formula>1</formula>
    </cfRule>
  </conditionalFormatting>
  <conditionalFormatting sqref="AA21:AB21">
    <cfRule type="cellIs" dxfId="15" priority="18" operator="greaterThan">
      <formula>1.08</formula>
    </cfRule>
  </conditionalFormatting>
  <conditionalFormatting sqref="AF21">
    <cfRule type="cellIs" dxfId="14" priority="17" operator="greaterThan">
      <formula>1.08</formula>
    </cfRule>
  </conditionalFormatting>
  <conditionalFormatting sqref="AC21:AD21">
    <cfRule type="cellIs" dxfId="13" priority="16" operator="greaterThan">
      <formula>1</formula>
    </cfRule>
  </conditionalFormatting>
  <conditionalFormatting sqref="AG21">
    <cfRule type="cellIs" dxfId="12" priority="15" operator="greaterThan">
      <formula>1</formula>
    </cfRule>
  </conditionalFormatting>
  <conditionalFormatting sqref="AA22:AB22">
    <cfRule type="cellIs" dxfId="11" priority="14" operator="greaterThan">
      <formula>1.08</formula>
    </cfRule>
  </conditionalFormatting>
  <conditionalFormatting sqref="AF22">
    <cfRule type="cellIs" dxfId="10" priority="13" operator="greaterThan">
      <formula>1.08</formula>
    </cfRule>
  </conditionalFormatting>
  <conditionalFormatting sqref="AC22:AD22">
    <cfRule type="cellIs" dxfId="9" priority="12" operator="greaterThan">
      <formula>1</formula>
    </cfRule>
  </conditionalFormatting>
  <conditionalFormatting sqref="AG22">
    <cfRule type="cellIs" dxfId="8" priority="11" operator="greaterThan">
      <formula>1</formula>
    </cfRule>
  </conditionalFormatting>
  <conditionalFormatting sqref="AA23:AB23">
    <cfRule type="cellIs" dxfId="7" priority="10" operator="greaterThan">
      <formula>1.08</formula>
    </cfRule>
  </conditionalFormatting>
  <conditionalFormatting sqref="AF23">
    <cfRule type="cellIs" dxfId="6" priority="9" operator="greaterThan">
      <formula>1.08</formula>
    </cfRule>
  </conditionalFormatting>
  <conditionalFormatting sqref="AC23:AD23">
    <cfRule type="cellIs" dxfId="5" priority="8" operator="greaterThan">
      <formula>1</formula>
    </cfRule>
  </conditionalFormatting>
  <conditionalFormatting sqref="AG23">
    <cfRule type="cellIs" dxfId="4" priority="7" operator="greaterThan">
      <formula>1</formula>
    </cfRule>
  </conditionalFormatting>
  <conditionalFormatting sqref="AA4">
    <cfRule type="cellIs" dxfId="3" priority="6" operator="greaterThan">
      <formula>1.08</formula>
    </cfRule>
  </conditionalFormatting>
  <conditionalFormatting sqref="AF4">
    <cfRule type="cellIs" dxfId="2" priority="5" operator="greaterThan">
      <formula>1.08</formula>
    </cfRule>
  </conditionalFormatting>
  <conditionalFormatting sqref="AC4:AD4">
    <cfRule type="cellIs" dxfId="1" priority="4" operator="greaterThan">
      <formula>1</formula>
    </cfRule>
  </conditionalFormatting>
  <conditionalFormatting sqref="AG4">
    <cfRule type="cellIs" dxfId="0" priority="3" operator="greaterThan">
      <formula>1</formula>
    </cfRule>
  </conditionalFormatting>
  <pageMargins left="0.511811024" right="0.511811024" top="0.78740157499999996" bottom="0.78740157499999996" header="0.31496062000000002" footer="0.31496062000000002"/>
  <pageSetup orientation="portrait" horizontalDpi="300" verticalDpi="3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0000000}">
          <x14:formula1>
            <xm:f>Cabos!$A$3:$A$6</xm:f>
          </x14:formula1>
          <xm:sqref>H5:H23</xm:sqref>
        </x14:dataValidation>
        <x14:dataValidation type="list" allowBlank="1" showInputMessage="1" showErrorMessage="1" xr:uid="{0D768820-31ED-4214-A906-45C1680F8818}">
          <x14:formula1>
            <xm:f>Cabos!$A$2:$A$6</xm:f>
          </x14:formula1>
          <xm:sqref>H3:H4</xm:sqref>
        </x14:dataValidation>
        <x14:dataValidation type="list" allowBlank="1" showInputMessage="1" showErrorMessage="1" xr:uid="{00000000-0002-0000-0000-000001000000}">
          <x14:formula1>
            <xm:f>Cabos!$B$13:$B$207</xm:f>
          </x14:formula1>
          <xm:sqref>J3:J134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85"/>
  <sheetViews>
    <sheetView workbookViewId="0">
      <selection activeCell="H1" sqref="H1:H1048576"/>
    </sheetView>
  </sheetViews>
  <sheetFormatPr defaultRowHeight="15" x14ac:dyDescent="0.25"/>
  <cols>
    <col min="1" max="1" width="16.42578125" customWidth="1"/>
    <col min="2" max="2" width="25.5703125" customWidth="1"/>
    <col min="3" max="3" width="15.28515625" customWidth="1"/>
    <col min="4" max="4" width="14.7109375" customWidth="1"/>
    <col min="5" max="5" width="12.5703125" customWidth="1"/>
    <col min="6" max="6" width="12.85546875" customWidth="1"/>
  </cols>
  <sheetData>
    <row r="1" spans="1:8" x14ac:dyDescent="0.25">
      <c r="A1" t="s">
        <v>5</v>
      </c>
    </row>
    <row r="2" spans="1:8" x14ac:dyDescent="0.25">
      <c r="A2">
        <v>6.6</v>
      </c>
    </row>
    <row r="3" spans="1:8" x14ac:dyDescent="0.25">
      <c r="A3">
        <v>26</v>
      </c>
      <c r="D3">
        <v>200</v>
      </c>
    </row>
    <row r="4" spans="1:8" x14ac:dyDescent="0.25">
      <c r="A4">
        <v>26.5</v>
      </c>
      <c r="D4" s="3">
        <f>'Dados Típicos'!O43</f>
        <v>316.66666666666669</v>
      </c>
    </row>
    <row r="5" spans="1:8" x14ac:dyDescent="0.25">
      <c r="A5">
        <v>9</v>
      </c>
      <c r="C5">
        <v>220</v>
      </c>
      <c r="D5">
        <f>C5/1.2</f>
        <v>183.33333333333334</v>
      </c>
    </row>
    <row r="6" spans="1:8" x14ac:dyDescent="0.25">
      <c r="A6">
        <v>6.9</v>
      </c>
    </row>
    <row r="8" spans="1:8" ht="17.25" x14ac:dyDescent="0.25">
      <c r="B8" t="s">
        <v>9</v>
      </c>
      <c r="C8" t="s">
        <v>144</v>
      </c>
      <c r="D8" t="s">
        <v>17</v>
      </c>
      <c r="E8" t="s">
        <v>91</v>
      </c>
      <c r="F8" t="s">
        <v>92</v>
      </c>
      <c r="G8" t="s">
        <v>164</v>
      </c>
      <c r="H8" t="s">
        <v>173</v>
      </c>
    </row>
    <row r="9" spans="1:8" ht="17.25" x14ac:dyDescent="0.25">
      <c r="B9" s="2" t="s">
        <v>143</v>
      </c>
      <c r="C9" s="3">
        <f>'Dados Típicos'!G14</f>
        <v>130.5</v>
      </c>
      <c r="D9">
        <v>0.53834500000000007</v>
      </c>
      <c r="E9">
        <v>0.157</v>
      </c>
      <c r="F9" s="77">
        <v>11132</v>
      </c>
      <c r="G9">
        <v>180</v>
      </c>
      <c r="H9" s="202">
        <f>8700/1000</f>
        <v>8.6999999999999993</v>
      </c>
    </row>
    <row r="10" spans="1:8" ht="17.25" x14ac:dyDescent="0.25">
      <c r="B10" s="2" t="s">
        <v>142</v>
      </c>
      <c r="C10" s="3">
        <f>'Dados Típicos'!O14</f>
        <v>153.70000000000002</v>
      </c>
      <c r="D10">
        <v>0.495</v>
      </c>
      <c r="E10">
        <v>0.14899999999999999</v>
      </c>
      <c r="F10" s="77">
        <v>9958</v>
      </c>
      <c r="G10">
        <v>200</v>
      </c>
      <c r="H10" s="202">
        <v>9.1999999999999993</v>
      </c>
    </row>
    <row r="11" spans="1:8" ht="17.25" x14ac:dyDescent="0.25">
      <c r="B11" s="2" t="s">
        <v>141</v>
      </c>
      <c r="C11" s="3">
        <f>'Dados Típicos'!G23</f>
        <v>187.05</v>
      </c>
      <c r="D11">
        <v>0.34399999999999997</v>
      </c>
      <c r="E11">
        <v>0.14099999999999999</v>
      </c>
      <c r="F11" s="77">
        <v>8949</v>
      </c>
      <c r="G11">
        <v>220</v>
      </c>
      <c r="H11" s="202">
        <v>10.6</v>
      </c>
    </row>
    <row r="12" spans="1:8" ht="17.25" x14ac:dyDescent="0.25">
      <c r="B12" s="2" t="s">
        <v>140</v>
      </c>
      <c r="C12" s="3">
        <f>'Dados Típicos'!O23</f>
        <v>221.85</v>
      </c>
      <c r="D12">
        <v>0.248</v>
      </c>
      <c r="E12">
        <v>0.13500000000000001</v>
      </c>
      <c r="F12" s="77">
        <v>8025</v>
      </c>
      <c r="G12">
        <v>248.6</v>
      </c>
      <c r="H12" s="202">
        <v>11.7</v>
      </c>
    </row>
    <row r="13" spans="1:8" ht="18" customHeight="1" x14ac:dyDescent="0.25">
      <c r="B13" s="2" t="s">
        <v>84</v>
      </c>
      <c r="C13" s="3">
        <f>'Dados Típicos'!G32</f>
        <v>250.85</v>
      </c>
      <c r="D13" s="76">
        <v>0.1582895</v>
      </c>
      <c r="E13">
        <v>0.13</v>
      </c>
      <c r="F13" s="77">
        <v>7363</v>
      </c>
      <c r="G13">
        <v>273.89999999999998</v>
      </c>
      <c r="H13" s="202">
        <v>12.9</v>
      </c>
    </row>
    <row r="14" spans="1:8" ht="18" customHeight="1" x14ac:dyDescent="0.25">
      <c r="B14" s="2" t="s">
        <v>85</v>
      </c>
      <c r="C14" s="3">
        <f>'Dados Típicos'!O32</f>
        <v>278.39999999999998</v>
      </c>
      <c r="D14" s="76">
        <v>0.12936349999999999</v>
      </c>
      <c r="E14">
        <v>0.126</v>
      </c>
      <c r="F14" s="77">
        <v>6803</v>
      </c>
      <c r="G14">
        <v>299.2</v>
      </c>
      <c r="H14" s="202">
        <v>14.4</v>
      </c>
    </row>
    <row r="15" spans="1:8" ht="18" customHeight="1" x14ac:dyDescent="0.25">
      <c r="B15" s="2" t="s">
        <v>86</v>
      </c>
      <c r="C15" s="3">
        <f>'Dados Típicos'!G41</f>
        <v>311.02500000000003</v>
      </c>
      <c r="D15" s="76">
        <v>0.10365150000000001</v>
      </c>
      <c r="E15">
        <v>0.122</v>
      </c>
      <c r="F15" s="77">
        <v>6292</v>
      </c>
      <c r="G15">
        <v>341</v>
      </c>
      <c r="H15" s="202">
        <v>15.9</v>
      </c>
    </row>
    <row r="16" spans="1:8" ht="18" customHeight="1" x14ac:dyDescent="0.25">
      <c r="B16" s="2" t="s">
        <v>87</v>
      </c>
      <c r="C16" s="3">
        <f>'Dados Típicos'!O41</f>
        <v>362.5</v>
      </c>
      <c r="D16" s="76">
        <v>8.0350000000000005E-2</v>
      </c>
      <c r="E16">
        <v>0.12</v>
      </c>
      <c r="F16" s="77">
        <v>6253</v>
      </c>
      <c r="G16">
        <v>382.8</v>
      </c>
      <c r="H16" s="202">
        <v>18.100000000000001</v>
      </c>
    </row>
    <row r="17" spans="2:8" ht="18" customHeight="1" x14ac:dyDescent="0.25">
      <c r="B17" s="2" t="s">
        <v>88</v>
      </c>
      <c r="C17" s="3">
        <f>'Dados Típicos'!G50</f>
        <v>395.125</v>
      </c>
      <c r="D17" s="76">
        <v>6.5083500000000002E-2</v>
      </c>
      <c r="E17">
        <v>0.11700000000000001</v>
      </c>
      <c r="F17" s="77">
        <v>5746</v>
      </c>
      <c r="G17">
        <v>478.5</v>
      </c>
      <c r="H17" s="202">
        <v>20.399999999999999</v>
      </c>
    </row>
    <row r="18" spans="2:8" ht="18" customHeight="1" x14ac:dyDescent="0.25">
      <c r="B18" s="2" t="s">
        <v>89</v>
      </c>
      <c r="C18" s="3">
        <f>'Dados Típicos'!O50</f>
        <v>435</v>
      </c>
      <c r="D18" s="76">
        <v>5.3031000000000002E-2</v>
      </c>
      <c r="E18">
        <v>0.112</v>
      </c>
      <c r="F18" s="77">
        <v>5105</v>
      </c>
      <c r="G18">
        <v>526.78899082568807</v>
      </c>
      <c r="H18" s="203">
        <f>H17+2.3</f>
        <v>22.7</v>
      </c>
    </row>
    <row r="19" spans="2:8" ht="18" customHeight="1" x14ac:dyDescent="0.25">
      <c r="B19" s="2" t="s">
        <v>90</v>
      </c>
      <c r="C19" s="3">
        <f>'Dados Típicos'!G60</f>
        <v>477.77500000000003</v>
      </c>
      <c r="D19" s="76">
        <v>4.7490500000000005E-2</v>
      </c>
      <c r="E19">
        <v>0.112</v>
      </c>
      <c r="F19" s="77">
        <v>4669</v>
      </c>
      <c r="G19">
        <v>578.58990825688068</v>
      </c>
      <c r="H19" s="203">
        <f>H18+2.3</f>
        <v>25</v>
      </c>
    </row>
    <row r="20" spans="2:8" ht="18" customHeight="1" x14ac:dyDescent="0.25">
      <c r="B20" s="2" t="s">
        <v>137</v>
      </c>
      <c r="C20" s="3">
        <f>'Dados Típicos'!O60</f>
        <v>522.72500000000002</v>
      </c>
      <c r="D20" s="76">
        <v>4.1950000000000001E-2</v>
      </c>
      <c r="E20">
        <v>0.1137</v>
      </c>
      <c r="F20" s="77">
        <v>4583</v>
      </c>
      <c r="G20">
        <v>633.0247706422017</v>
      </c>
      <c r="H20" s="203">
        <f>H19+2</f>
        <v>27</v>
      </c>
    </row>
    <row r="21" spans="2:8" ht="18" customHeight="1" x14ac:dyDescent="0.25">
      <c r="B21" s="2" t="s">
        <v>147</v>
      </c>
      <c r="C21" s="3"/>
      <c r="D21" s="76"/>
      <c r="F21" s="77"/>
    </row>
    <row r="22" spans="2:8" ht="18" customHeight="1" x14ac:dyDescent="0.25">
      <c r="B22" s="2" t="s">
        <v>148</v>
      </c>
      <c r="C22" s="3">
        <f>C10</f>
        <v>153.70000000000002</v>
      </c>
      <c r="D22" s="76">
        <v>0.495</v>
      </c>
      <c r="E22">
        <v>0.17899999999999999</v>
      </c>
      <c r="F22" s="77">
        <v>19063</v>
      </c>
      <c r="G22">
        <v>460</v>
      </c>
      <c r="H22" s="204">
        <v>10.7</v>
      </c>
    </row>
    <row r="23" spans="2:8" ht="18" customHeight="1" x14ac:dyDescent="0.25">
      <c r="B23" s="2" t="s">
        <v>149</v>
      </c>
      <c r="C23" s="3">
        <f t="shared" ref="C23:C30" si="0">C11</f>
        <v>187.05</v>
      </c>
      <c r="D23" s="76">
        <v>0.34399999999999997</v>
      </c>
      <c r="E23">
        <v>0.16800000000000001</v>
      </c>
      <c r="F23" s="77">
        <v>17244</v>
      </c>
      <c r="G23">
        <v>466.66666666666669</v>
      </c>
      <c r="H23" s="204">
        <v>12.2</v>
      </c>
    </row>
    <row r="24" spans="2:8" ht="18" customHeight="1" x14ac:dyDescent="0.25">
      <c r="B24" s="2" t="s">
        <v>150</v>
      </c>
      <c r="C24" s="3">
        <f t="shared" si="0"/>
        <v>221.85</v>
      </c>
      <c r="D24" s="76">
        <v>0.248</v>
      </c>
      <c r="E24">
        <v>0.16</v>
      </c>
      <c r="F24" s="77">
        <v>15680</v>
      </c>
      <c r="G24">
        <v>468</v>
      </c>
      <c r="H24" s="204">
        <v>13.5</v>
      </c>
    </row>
    <row r="25" spans="2:8" ht="18" customHeight="1" x14ac:dyDescent="0.25">
      <c r="B25" s="2" t="s">
        <v>10</v>
      </c>
      <c r="C25" s="3">
        <f t="shared" si="0"/>
        <v>250.85</v>
      </c>
      <c r="D25" s="85">
        <v>0.1582895</v>
      </c>
      <c r="E25" s="81">
        <v>0.13</v>
      </c>
      <c r="F25" s="96">
        <v>14663</v>
      </c>
      <c r="G25">
        <v>468.66666666666669</v>
      </c>
      <c r="H25" s="204">
        <v>14.8</v>
      </c>
    </row>
    <row r="26" spans="2:8" ht="18" customHeight="1" x14ac:dyDescent="0.25">
      <c r="B26" s="2" t="s">
        <v>11</v>
      </c>
      <c r="C26" s="3">
        <f t="shared" si="0"/>
        <v>278.39999999999998</v>
      </c>
      <c r="D26" s="85">
        <v>0.12936349999999999</v>
      </c>
      <c r="E26" s="81">
        <v>0.126</v>
      </c>
      <c r="F26" s="96">
        <v>13715</v>
      </c>
      <c r="G26">
        <v>470</v>
      </c>
      <c r="H26" s="204">
        <v>16</v>
      </c>
    </row>
    <row r="27" spans="2:8" ht="18" customHeight="1" x14ac:dyDescent="0.25">
      <c r="B27" s="2" t="s">
        <v>12</v>
      </c>
      <c r="C27" s="3">
        <f t="shared" si="0"/>
        <v>311.02500000000003</v>
      </c>
      <c r="D27" s="85">
        <v>0.10365150000000001</v>
      </c>
      <c r="E27" s="81">
        <v>0.122</v>
      </c>
      <c r="F27" s="96">
        <v>12781</v>
      </c>
      <c r="G27">
        <v>473.33333333333331</v>
      </c>
      <c r="H27" s="204">
        <v>17.600000000000001</v>
      </c>
    </row>
    <row r="28" spans="2:8" ht="18" customHeight="1" x14ac:dyDescent="0.25">
      <c r="B28" s="2" t="s">
        <v>13</v>
      </c>
      <c r="C28" s="3">
        <f t="shared" si="0"/>
        <v>362.5</v>
      </c>
      <c r="D28" s="85">
        <v>8.0350000000000005E-2</v>
      </c>
      <c r="E28" s="81">
        <v>0.12</v>
      </c>
      <c r="F28" s="96">
        <v>11528</v>
      </c>
      <c r="G28">
        <v>476.66666666666669</v>
      </c>
      <c r="H28" s="204">
        <v>20.100000000000001</v>
      </c>
    </row>
    <row r="29" spans="2:8" ht="18" customHeight="1" x14ac:dyDescent="0.25">
      <c r="B29" s="2" t="s">
        <v>14</v>
      </c>
      <c r="C29" s="3">
        <f t="shared" si="0"/>
        <v>395.125</v>
      </c>
      <c r="D29" s="85">
        <v>6.5083500000000002E-2</v>
      </c>
      <c r="E29" s="81">
        <v>0.11700000000000001</v>
      </c>
      <c r="F29" s="96">
        <v>10665</v>
      </c>
      <c r="G29">
        <v>480</v>
      </c>
      <c r="H29" s="204">
        <v>22.5</v>
      </c>
    </row>
    <row r="30" spans="2:8" ht="18" customHeight="1" x14ac:dyDescent="0.25">
      <c r="B30" s="2" t="s">
        <v>16</v>
      </c>
      <c r="C30" s="3">
        <f t="shared" si="0"/>
        <v>435</v>
      </c>
      <c r="D30" s="85">
        <v>5.3031000000000002E-2</v>
      </c>
      <c r="E30" s="81">
        <v>0.112</v>
      </c>
      <c r="F30" s="96">
        <v>9879</v>
      </c>
      <c r="G30">
        <v>528</v>
      </c>
      <c r="H30" s="204">
        <v>26.6</v>
      </c>
    </row>
    <row r="31" spans="2:8" ht="18" customHeight="1" x14ac:dyDescent="0.25">
      <c r="B31" s="2" t="s">
        <v>15</v>
      </c>
      <c r="C31" s="93">
        <f>C19</f>
        <v>477.77500000000003</v>
      </c>
      <c r="D31" s="95">
        <v>3.573614130444993E-2</v>
      </c>
      <c r="E31" s="95">
        <v>0.10871469193119648</v>
      </c>
      <c r="F31" s="95">
        <v>9145.1924066778101</v>
      </c>
      <c r="G31">
        <v>633.59999999999991</v>
      </c>
      <c r="H31" s="204">
        <v>31.3</v>
      </c>
    </row>
    <row r="32" spans="2:8" ht="18" customHeight="1" x14ac:dyDescent="0.25">
      <c r="B32" s="2" t="s">
        <v>162</v>
      </c>
      <c r="C32" s="93">
        <f>C20</f>
        <v>522.72500000000002</v>
      </c>
      <c r="D32" s="95">
        <v>2.7089942625214865E-2</v>
      </c>
      <c r="E32" s="95">
        <v>0.10556945599765377</v>
      </c>
      <c r="F32" s="95">
        <v>8442.0766014552264</v>
      </c>
      <c r="G32">
        <v>739.19999999999993</v>
      </c>
      <c r="H32" s="204">
        <v>37.200000000000003</v>
      </c>
    </row>
    <row r="33" spans="2:12" ht="18" customHeight="1" x14ac:dyDescent="0.25">
      <c r="B33" s="2" t="s">
        <v>21</v>
      </c>
      <c r="C33" s="80">
        <f t="shared" ref="C33:C38" si="1">C25</f>
        <v>250.85</v>
      </c>
      <c r="D33" s="85">
        <v>0.1582895</v>
      </c>
      <c r="E33" s="81">
        <v>0.13</v>
      </c>
      <c r="F33" s="80">
        <f t="shared" ref="F33:F38" si="2">F13*1.1</f>
        <v>8099.3000000000011</v>
      </c>
    </row>
    <row r="34" spans="2:12" ht="18" customHeight="1" x14ac:dyDescent="0.25">
      <c r="B34" s="2" t="s">
        <v>22</v>
      </c>
      <c r="C34" s="80">
        <f t="shared" si="1"/>
        <v>278.39999999999998</v>
      </c>
      <c r="D34" s="85">
        <v>0.12936349999999999</v>
      </c>
      <c r="E34" s="81">
        <v>0.126</v>
      </c>
      <c r="F34" s="80">
        <f t="shared" si="2"/>
        <v>7483.3</v>
      </c>
    </row>
    <row r="35" spans="2:12" ht="18" customHeight="1" x14ac:dyDescent="0.25">
      <c r="B35" s="2" t="s">
        <v>23</v>
      </c>
      <c r="C35" s="80">
        <f t="shared" si="1"/>
        <v>311.02500000000003</v>
      </c>
      <c r="D35" s="85">
        <v>0.10365150000000001</v>
      </c>
      <c r="E35" s="81">
        <v>0.122</v>
      </c>
      <c r="F35" s="80">
        <f t="shared" si="2"/>
        <v>6921.2000000000007</v>
      </c>
    </row>
    <row r="36" spans="2:12" ht="18" customHeight="1" x14ac:dyDescent="0.25">
      <c r="B36" s="2" t="s">
        <v>24</v>
      </c>
      <c r="C36" s="80">
        <f t="shared" si="1"/>
        <v>362.5</v>
      </c>
      <c r="D36" s="85">
        <v>8.0350000000000005E-2</v>
      </c>
      <c r="E36" s="81">
        <v>0.12</v>
      </c>
      <c r="F36" s="80">
        <f t="shared" si="2"/>
        <v>6878.3</v>
      </c>
    </row>
    <row r="37" spans="2:12" ht="18" customHeight="1" x14ac:dyDescent="0.25">
      <c r="B37" s="2" t="s">
        <v>25</v>
      </c>
      <c r="C37" s="80">
        <f t="shared" si="1"/>
        <v>395.125</v>
      </c>
      <c r="D37" s="85">
        <v>6.5083500000000002E-2</v>
      </c>
      <c r="E37" s="81">
        <v>0.11700000000000001</v>
      </c>
      <c r="F37" s="80">
        <f t="shared" si="2"/>
        <v>6320.6</v>
      </c>
    </row>
    <row r="38" spans="2:12" ht="18" customHeight="1" x14ac:dyDescent="0.25">
      <c r="B38" s="2" t="s">
        <v>26</v>
      </c>
      <c r="C38" s="80">
        <f t="shared" si="1"/>
        <v>435</v>
      </c>
      <c r="D38" s="85">
        <v>5.3031000000000002E-2</v>
      </c>
      <c r="E38" s="81">
        <v>0.112</v>
      </c>
      <c r="F38" s="80">
        <f t="shared" si="2"/>
        <v>5615.5</v>
      </c>
    </row>
    <row r="39" spans="2:12" ht="18" customHeight="1" x14ac:dyDescent="0.25">
      <c r="B39" s="2" t="s">
        <v>27</v>
      </c>
      <c r="C39" s="93"/>
      <c r="D39" s="94"/>
      <c r="E39" s="95"/>
      <c r="F39" s="95"/>
    </row>
    <row r="40" spans="2:12" ht="18" customHeight="1" x14ac:dyDescent="0.25">
      <c r="B40" s="2" t="s">
        <v>110</v>
      </c>
      <c r="C40" s="80">
        <f>C33</f>
        <v>250.85</v>
      </c>
      <c r="D40" s="85">
        <v>0.1582895</v>
      </c>
      <c r="E40" s="81">
        <v>0.13</v>
      </c>
      <c r="F40" s="80">
        <f t="shared" ref="F40:F45" si="3">F13*1.15</f>
        <v>8467.4499999999989</v>
      </c>
    </row>
    <row r="41" spans="2:12" ht="18" customHeight="1" x14ac:dyDescent="0.25">
      <c r="B41" s="2" t="s">
        <v>111</v>
      </c>
      <c r="C41" s="80">
        <f t="shared" ref="C41:C45" si="4">C34</f>
        <v>278.39999999999998</v>
      </c>
      <c r="D41" s="85">
        <v>0.12936349999999999</v>
      </c>
      <c r="E41" s="81">
        <v>0.126</v>
      </c>
      <c r="F41" s="80">
        <f t="shared" si="3"/>
        <v>7823.45</v>
      </c>
    </row>
    <row r="42" spans="2:12" ht="18" customHeight="1" x14ac:dyDescent="0.25">
      <c r="B42" s="2" t="s">
        <v>112</v>
      </c>
      <c r="C42" s="80">
        <f t="shared" si="4"/>
        <v>311.02500000000003</v>
      </c>
      <c r="D42" s="85">
        <v>0.10365150000000001</v>
      </c>
      <c r="E42" s="81">
        <v>0.122</v>
      </c>
      <c r="F42" s="80">
        <f t="shared" si="3"/>
        <v>7235.7999999999993</v>
      </c>
    </row>
    <row r="43" spans="2:12" ht="18" customHeight="1" x14ac:dyDescent="0.25">
      <c r="B43" s="2" t="s">
        <v>113</v>
      </c>
      <c r="C43" s="80">
        <f t="shared" si="4"/>
        <v>362.5</v>
      </c>
      <c r="D43" s="85">
        <v>8.0350000000000005E-2</v>
      </c>
      <c r="E43" s="81">
        <v>0.12</v>
      </c>
      <c r="F43" s="80">
        <f t="shared" si="3"/>
        <v>7190.95</v>
      </c>
    </row>
    <row r="44" spans="2:12" ht="18" customHeight="1" x14ac:dyDescent="0.25">
      <c r="B44" s="2" t="s">
        <v>114</v>
      </c>
      <c r="C44" s="80">
        <f t="shared" si="4"/>
        <v>395.125</v>
      </c>
      <c r="D44" s="85">
        <v>6.5083500000000002E-2</v>
      </c>
      <c r="E44" s="81">
        <v>0.11700000000000001</v>
      </c>
      <c r="F44" s="80">
        <f t="shared" si="3"/>
        <v>6607.9</v>
      </c>
    </row>
    <row r="45" spans="2:12" ht="18" customHeight="1" x14ac:dyDescent="0.25">
      <c r="B45" s="2" t="s">
        <v>115</v>
      </c>
      <c r="C45" s="80">
        <f t="shared" si="4"/>
        <v>435</v>
      </c>
      <c r="D45" s="85">
        <v>5.3031000000000002E-2</v>
      </c>
      <c r="E45" s="81">
        <v>0.112</v>
      </c>
      <c r="F45" s="80">
        <f t="shared" si="3"/>
        <v>5870.75</v>
      </c>
    </row>
    <row r="46" spans="2:12" ht="18" customHeight="1" x14ac:dyDescent="0.25">
      <c r="B46" s="2" t="s">
        <v>116</v>
      </c>
      <c r="C46" s="93"/>
      <c r="D46" s="94"/>
      <c r="E46" s="95"/>
      <c r="F46" s="95"/>
    </row>
    <row r="47" spans="2:12" ht="18" customHeight="1" x14ac:dyDescent="0.25"/>
    <row r="48" spans="2:12" ht="18" customHeight="1" x14ac:dyDescent="0.25">
      <c r="B48" t="s">
        <v>9</v>
      </c>
      <c r="C48" t="s">
        <v>144</v>
      </c>
      <c r="D48" t="s">
        <v>17</v>
      </c>
      <c r="E48" t="s">
        <v>91</v>
      </c>
      <c r="F48" t="s">
        <v>92</v>
      </c>
      <c r="H48">
        <v>100</v>
      </c>
      <c r="I48">
        <v>84</v>
      </c>
      <c r="J48">
        <v>80</v>
      </c>
      <c r="K48">
        <v>75</v>
      </c>
      <c r="L48">
        <v>60</v>
      </c>
    </row>
    <row r="49" spans="1:22" ht="18" customHeight="1" x14ac:dyDescent="0.25">
      <c r="A49">
        <v>35</v>
      </c>
      <c r="B49" s="2" t="s">
        <v>143</v>
      </c>
      <c r="C49" s="3">
        <f t="shared" ref="C49:F71" si="5">C9</f>
        <v>130.5</v>
      </c>
      <c r="D49">
        <f t="shared" si="5"/>
        <v>0.53834500000000007</v>
      </c>
      <c r="E49" s="152">
        <f t="shared" si="5"/>
        <v>0.157</v>
      </c>
      <c r="F49" s="3">
        <f t="shared" si="5"/>
        <v>11132</v>
      </c>
      <c r="H49">
        <f>($E49)*$H$48/60</f>
        <v>0.26166666666666666</v>
      </c>
      <c r="I49">
        <f>($E49)*$I$48/60</f>
        <v>0.21980000000000002</v>
      </c>
      <c r="J49">
        <f>($E49)*$J$48/60</f>
        <v>0.20933333333333334</v>
      </c>
      <c r="K49">
        <f>($E49)*$K$48/60</f>
        <v>0.19625000000000001</v>
      </c>
      <c r="L49">
        <f>($E49)*$L$48/60</f>
        <v>0.157</v>
      </c>
      <c r="M49">
        <f>$F49*60/$H$48</f>
        <v>6679.2</v>
      </c>
      <c r="N49">
        <f>$F49*60/$I$48</f>
        <v>7951.4285714285716</v>
      </c>
      <c r="O49">
        <f>$F49*60/$J$48</f>
        <v>8349</v>
      </c>
      <c r="P49">
        <f>$F49*60/$K$48</f>
        <v>8905.6</v>
      </c>
      <c r="Q49">
        <f>$F49*60/$L$48</f>
        <v>11132</v>
      </c>
      <c r="R49">
        <f>$D49*(1+(1-(60/$H$48)))</f>
        <v>0.7536830000000001</v>
      </c>
      <c r="S49">
        <f>$D49*(1+(1-(60/$I$48)))</f>
        <v>0.69215785714285716</v>
      </c>
      <c r="T49">
        <f>$D49*(1+(1-(60/$J$48)))</f>
        <v>0.67293125000000009</v>
      </c>
      <c r="U49">
        <f>$D49*(1+(1-(60/$K$48)))</f>
        <v>0.64601400000000009</v>
      </c>
      <c r="V49">
        <f>$D49*(1+(1-(60/$L$48)))</f>
        <v>0.53834500000000007</v>
      </c>
    </row>
    <row r="50" spans="1:22" ht="18" customHeight="1" x14ac:dyDescent="0.25">
      <c r="A50">
        <v>50</v>
      </c>
      <c r="B50" s="2" t="s">
        <v>142</v>
      </c>
      <c r="C50" s="3">
        <f t="shared" si="5"/>
        <v>153.70000000000002</v>
      </c>
      <c r="D50" s="152">
        <f t="shared" si="5"/>
        <v>0.495</v>
      </c>
      <c r="E50" s="152">
        <f t="shared" si="5"/>
        <v>0.14899999999999999</v>
      </c>
      <c r="F50" s="3">
        <f t="shared" si="5"/>
        <v>9958</v>
      </c>
      <c r="H50">
        <f t="shared" ref="H50:H60" si="6">($E50)*$H$48/60</f>
        <v>0.24833333333333332</v>
      </c>
      <c r="I50">
        <f t="shared" ref="I50:I60" si="7">($E50)*$I$48/60</f>
        <v>0.20860000000000001</v>
      </c>
      <c r="J50">
        <f t="shared" ref="J50:J60" si="8">($E50)*$J$48/60</f>
        <v>0.19866666666666666</v>
      </c>
      <c r="K50">
        <f t="shared" ref="K50:K60" si="9">($E50)*$K$48/60</f>
        <v>0.18624999999999997</v>
      </c>
      <c r="L50">
        <f t="shared" ref="L50:L60" si="10">($E50)*$L$48/60</f>
        <v>0.14899999999999999</v>
      </c>
      <c r="M50">
        <f t="shared" ref="M50:M60" si="11">$F50*60/$H$48</f>
        <v>5974.8</v>
      </c>
      <c r="N50">
        <f t="shared" ref="N50:N60" si="12">$F50*60/$I$48</f>
        <v>7112.8571428571431</v>
      </c>
      <c r="O50">
        <f t="shared" ref="O50:O60" si="13">$F50*60/$J$48</f>
        <v>7468.5</v>
      </c>
      <c r="P50">
        <f t="shared" ref="P50:P60" si="14">$F50*60/$K$48</f>
        <v>7966.4</v>
      </c>
      <c r="Q50">
        <f t="shared" ref="Q50:Q60" si="15">$F50*60/$L$48</f>
        <v>9958</v>
      </c>
      <c r="R50">
        <f t="shared" ref="R50:R59" si="16">$D50*(1+(1-(60/$H$48)))</f>
        <v>0.69299999999999995</v>
      </c>
      <c r="S50">
        <f t="shared" ref="S50:S60" si="17">$D50*(1+(1-(60/$I$48)))</f>
        <v>0.63642857142857134</v>
      </c>
      <c r="T50">
        <f t="shared" ref="T50:T60" si="18">$D50*(1+(1-(60/$J$48)))</f>
        <v>0.61875000000000002</v>
      </c>
      <c r="U50">
        <f t="shared" ref="U50:U60" si="19">$D50*(1+(1-(60/$K$48)))</f>
        <v>0.59399999999999997</v>
      </c>
      <c r="V50">
        <f t="shared" ref="V50:V60" si="20">$D50*(1+(1-(60/$L$48)))</f>
        <v>0.495</v>
      </c>
    </row>
    <row r="51" spans="1:22" ht="18" customHeight="1" x14ac:dyDescent="0.25">
      <c r="A51">
        <v>70</v>
      </c>
      <c r="B51" s="2" t="s">
        <v>141</v>
      </c>
      <c r="C51" s="3">
        <f t="shared" si="5"/>
        <v>187.05</v>
      </c>
      <c r="D51" s="152">
        <f t="shared" si="5"/>
        <v>0.34399999999999997</v>
      </c>
      <c r="E51" s="152">
        <f t="shared" si="5"/>
        <v>0.14099999999999999</v>
      </c>
      <c r="F51" s="3">
        <f t="shared" si="5"/>
        <v>8949</v>
      </c>
      <c r="H51">
        <f t="shared" si="6"/>
        <v>0.23499999999999996</v>
      </c>
      <c r="I51">
        <f t="shared" si="7"/>
        <v>0.19739999999999999</v>
      </c>
      <c r="J51">
        <f t="shared" si="8"/>
        <v>0.188</v>
      </c>
      <c r="K51">
        <f t="shared" si="9"/>
        <v>0.17624999999999999</v>
      </c>
      <c r="L51">
        <f t="shared" si="10"/>
        <v>0.14099999999999999</v>
      </c>
      <c r="M51">
        <f t="shared" si="11"/>
        <v>5369.4</v>
      </c>
      <c r="N51">
        <f t="shared" si="12"/>
        <v>6392.1428571428569</v>
      </c>
      <c r="O51">
        <f t="shared" si="13"/>
        <v>6711.75</v>
      </c>
      <c r="P51">
        <f t="shared" si="14"/>
        <v>7159.2</v>
      </c>
      <c r="Q51">
        <f t="shared" si="15"/>
        <v>8949</v>
      </c>
      <c r="R51">
        <f t="shared" si="16"/>
        <v>0.48159999999999992</v>
      </c>
      <c r="S51">
        <f t="shared" si="17"/>
        <v>0.44228571428571423</v>
      </c>
      <c r="T51">
        <f t="shared" si="18"/>
        <v>0.42999999999999994</v>
      </c>
      <c r="U51">
        <f t="shared" si="19"/>
        <v>0.41279999999999994</v>
      </c>
      <c r="V51">
        <f t="shared" si="20"/>
        <v>0.34399999999999997</v>
      </c>
    </row>
    <row r="52" spans="1:22" ht="18" customHeight="1" x14ac:dyDescent="0.25">
      <c r="A52">
        <v>95</v>
      </c>
      <c r="B52" s="2" t="s">
        <v>140</v>
      </c>
      <c r="C52" s="3">
        <f t="shared" si="5"/>
        <v>221.85</v>
      </c>
      <c r="D52" s="152">
        <f t="shared" si="5"/>
        <v>0.248</v>
      </c>
      <c r="E52" s="152">
        <f t="shared" si="5"/>
        <v>0.13500000000000001</v>
      </c>
      <c r="F52" s="3">
        <f t="shared" si="5"/>
        <v>8025</v>
      </c>
      <c r="H52">
        <f t="shared" si="6"/>
        <v>0.22500000000000001</v>
      </c>
      <c r="I52">
        <f t="shared" si="7"/>
        <v>0.189</v>
      </c>
      <c r="J52">
        <f t="shared" si="8"/>
        <v>0.18000000000000002</v>
      </c>
      <c r="K52">
        <f t="shared" si="9"/>
        <v>0.16875000000000001</v>
      </c>
      <c r="L52">
        <f t="shared" si="10"/>
        <v>0.13500000000000004</v>
      </c>
      <c r="M52">
        <f t="shared" si="11"/>
        <v>4815</v>
      </c>
      <c r="N52">
        <f t="shared" si="12"/>
        <v>5732.1428571428569</v>
      </c>
      <c r="O52">
        <f t="shared" si="13"/>
        <v>6018.75</v>
      </c>
      <c r="P52">
        <f t="shared" si="14"/>
        <v>6420</v>
      </c>
      <c r="Q52">
        <f t="shared" si="15"/>
        <v>8025</v>
      </c>
      <c r="R52">
        <f t="shared" si="16"/>
        <v>0.34719999999999995</v>
      </c>
      <c r="S52">
        <f t="shared" si="17"/>
        <v>0.31885714285714284</v>
      </c>
      <c r="T52">
        <f t="shared" si="18"/>
        <v>0.31</v>
      </c>
      <c r="U52">
        <f t="shared" si="19"/>
        <v>0.29759999999999998</v>
      </c>
      <c r="V52">
        <f t="shared" si="20"/>
        <v>0.248</v>
      </c>
    </row>
    <row r="53" spans="1:22" ht="18" customHeight="1" x14ac:dyDescent="0.25">
      <c r="A53">
        <v>120</v>
      </c>
      <c r="B53" s="2" t="s">
        <v>84</v>
      </c>
      <c r="C53" s="3">
        <f t="shared" si="5"/>
        <v>250.85</v>
      </c>
      <c r="D53" s="152">
        <f t="shared" si="5"/>
        <v>0.1582895</v>
      </c>
      <c r="E53" s="152">
        <f t="shared" si="5"/>
        <v>0.13</v>
      </c>
      <c r="F53" s="3">
        <f t="shared" si="5"/>
        <v>7363</v>
      </c>
      <c r="H53">
        <f t="shared" si="6"/>
        <v>0.21666666666666667</v>
      </c>
      <c r="I53">
        <f t="shared" si="7"/>
        <v>0.182</v>
      </c>
      <c r="J53">
        <f t="shared" si="8"/>
        <v>0.17333333333333334</v>
      </c>
      <c r="K53">
        <f t="shared" si="9"/>
        <v>0.16250000000000001</v>
      </c>
      <c r="L53">
        <f t="shared" si="10"/>
        <v>0.13</v>
      </c>
      <c r="M53">
        <f t="shared" si="11"/>
        <v>4417.8</v>
      </c>
      <c r="N53">
        <f t="shared" si="12"/>
        <v>5259.2857142857147</v>
      </c>
      <c r="O53">
        <f t="shared" si="13"/>
        <v>5522.25</v>
      </c>
      <c r="P53">
        <f t="shared" si="14"/>
        <v>5890.4</v>
      </c>
      <c r="Q53">
        <f t="shared" si="15"/>
        <v>7363</v>
      </c>
      <c r="R53">
        <f t="shared" si="16"/>
        <v>0.22160529999999998</v>
      </c>
      <c r="S53">
        <f t="shared" si="17"/>
        <v>0.20351507142857142</v>
      </c>
      <c r="T53">
        <f t="shared" si="18"/>
        <v>0.19786187499999999</v>
      </c>
      <c r="U53">
        <f t="shared" si="19"/>
        <v>0.18994739999999999</v>
      </c>
      <c r="V53">
        <f t="shared" si="20"/>
        <v>0.1582895</v>
      </c>
    </row>
    <row r="54" spans="1:22" ht="18" customHeight="1" x14ac:dyDescent="0.25">
      <c r="A54">
        <v>150</v>
      </c>
      <c r="B54" s="2" t="s">
        <v>85</v>
      </c>
      <c r="C54" s="3">
        <f t="shared" si="5"/>
        <v>278.39999999999998</v>
      </c>
      <c r="D54" s="152">
        <f t="shared" si="5"/>
        <v>0.12936349999999999</v>
      </c>
      <c r="E54" s="152">
        <f t="shared" si="5"/>
        <v>0.126</v>
      </c>
      <c r="F54" s="3">
        <f t="shared" si="5"/>
        <v>6803</v>
      </c>
      <c r="H54">
        <f t="shared" si="6"/>
        <v>0.21</v>
      </c>
      <c r="I54">
        <f t="shared" si="7"/>
        <v>0.1764</v>
      </c>
      <c r="J54">
        <f t="shared" si="8"/>
        <v>0.16800000000000001</v>
      </c>
      <c r="K54">
        <f t="shared" si="9"/>
        <v>0.1575</v>
      </c>
      <c r="L54">
        <f t="shared" si="10"/>
        <v>0.126</v>
      </c>
      <c r="M54">
        <f t="shared" si="11"/>
        <v>4081.8</v>
      </c>
      <c r="N54">
        <f t="shared" si="12"/>
        <v>4859.2857142857147</v>
      </c>
      <c r="O54">
        <f t="shared" si="13"/>
        <v>5102.25</v>
      </c>
      <c r="P54">
        <f t="shared" si="14"/>
        <v>5442.4</v>
      </c>
      <c r="Q54">
        <f t="shared" si="15"/>
        <v>6803</v>
      </c>
      <c r="R54">
        <f t="shared" si="16"/>
        <v>0.18110889999999999</v>
      </c>
      <c r="S54">
        <f t="shared" si="17"/>
        <v>0.16632449999999999</v>
      </c>
      <c r="T54">
        <f t="shared" si="18"/>
        <v>0.16170437499999998</v>
      </c>
      <c r="U54">
        <f t="shared" si="19"/>
        <v>0.15523619999999999</v>
      </c>
      <c r="V54">
        <f t="shared" si="20"/>
        <v>0.12936349999999999</v>
      </c>
    </row>
    <row r="55" spans="1:22" ht="18" customHeight="1" x14ac:dyDescent="0.25">
      <c r="A55">
        <v>185</v>
      </c>
      <c r="B55" s="2" t="s">
        <v>86</v>
      </c>
      <c r="C55" s="3">
        <f t="shared" si="5"/>
        <v>311.02500000000003</v>
      </c>
      <c r="D55" s="152">
        <f t="shared" si="5"/>
        <v>0.10365150000000001</v>
      </c>
      <c r="E55" s="152">
        <f t="shared" si="5"/>
        <v>0.122</v>
      </c>
      <c r="F55" s="3">
        <f t="shared" si="5"/>
        <v>6292</v>
      </c>
      <c r="H55">
        <f t="shared" si="6"/>
        <v>0.20333333333333331</v>
      </c>
      <c r="I55">
        <f t="shared" si="7"/>
        <v>0.17079999999999998</v>
      </c>
      <c r="J55">
        <f t="shared" si="8"/>
        <v>0.16266666666666665</v>
      </c>
      <c r="K55">
        <f t="shared" si="9"/>
        <v>0.1525</v>
      </c>
      <c r="L55">
        <f t="shared" si="10"/>
        <v>0.12200000000000001</v>
      </c>
      <c r="M55">
        <f t="shared" si="11"/>
        <v>3775.2</v>
      </c>
      <c r="N55">
        <f t="shared" si="12"/>
        <v>4494.2857142857147</v>
      </c>
      <c r="O55">
        <f t="shared" si="13"/>
        <v>4719</v>
      </c>
      <c r="P55">
        <f t="shared" si="14"/>
        <v>5033.6000000000004</v>
      </c>
      <c r="Q55">
        <f t="shared" si="15"/>
        <v>6292</v>
      </c>
      <c r="R55">
        <f t="shared" si="16"/>
        <v>0.14511209999999999</v>
      </c>
      <c r="S55">
        <f t="shared" si="17"/>
        <v>0.13326621428571428</v>
      </c>
      <c r="T55">
        <f t="shared" si="18"/>
        <v>0.12956437500000001</v>
      </c>
      <c r="U55">
        <f t="shared" si="19"/>
        <v>0.1243818</v>
      </c>
      <c r="V55">
        <f t="shared" si="20"/>
        <v>0.10365150000000001</v>
      </c>
    </row>
    <row r="56" spans="1:22" ht="18" customHeight="1" x14ac:dyDescent="0.25">
      <c r="A56">
        <v>240</v>
      </c>
      <c r="B56" s="2" t="s">
        <v>87</v>
      </c>
      <c r="C56" s="3">
        <f t="shared" si="5"/>
        <v>362.5</v>
      </c>
      <c r="D56" s="152">
        <f t="shared" si="5"/>
        <v>8.0350000000000005E-2</v>
      </c>
      <c r="E56" s="152">
        <f t="shared" si="5"/>
        <v>0.12</v>
      </c>
      <c r="F56" s="3">
        <f t="shared" si="5"/>
        <v>6253</v>
      </c>
      <c r="H56">
        <f t="shared" si="6"/>
        <v>0.2</v>
      </c>
      <c r="I56">
        <f t="shared" si="7"/>
        <v>0.16800000000000001</v>
      </c>
      <c r="J56">
        <f t="shared" si="8"/>
        <v>0.16</v>
      </c>
      <c r="K56">
        <f t="shared" si="9"/>
        <v>0.15</v>
      </c>
      <c r="L56">
        <f t="shared" si="10"/>
        <v>0.11999999999999998</v>
      </c>
      <c r="M56">
        <f t="shared" si="11"/>
        <v>3751.8</v>
      </c>
      <c r="N56">
        <f t="shared" si="12"/>
        <v>4466.4285714285716</v>
      </c>
      <c r="O56">
        <f t="shared" si="13"/>
        <v>4689.75</v>
      </c>
      <c r="P56">
        <f t="shared" si="14"/>
        <v>5002.3999999999996</v>
      </c>
      <c r="Q56">
        <f t="shared" si="15"/>
        <v>6253</v>
      </c>
      <c r="R56">
        <f t="shared" si="16"/>
        <v>0.11248999999999999</v>
      </c>
      <c r="S56">
        <f t="shared" si="17"/>
        <v>0.10330714285714285</v>
      </c>
      <c r="T56">
        <f t="shared" si="18"/>
        <v>0.10043750000000001</v>
      </c>
      <c r="U56">
        <f t="shared" si="19"/>
        <v>9.6420000000000006E-2</v>
      </c>
      <c r="V56">
        <f t="shared" si="20"/>
        <v>8.0350000000000005E-2</v>
      </c>
    </row>
    <row r="57" spans="1:22" ht="18" customHeight="1" x14ac:dyDescent="0.25">
      <c r="A57">
        <v>300</v>
      </c>
      <c r="B57" s="2" t="s">
        <v>88</v>
      </c>
      <c r="C57" s="3">
        <f t="shared" si="5"/>
        <v>395.125</v>
      </c>
      <c r="D57" s="152">
        <f t="shared" si="5"/>
        <v>6.5083500000000002E-2</v>
      </c>
      <c r="E57" s="152">
        <f t="shared" si="5"/>
        <v>0.11700000000000001</v>
      </c>
      <c r="F57" s="3">
        <f t="shared" si="5"/>
        <v>5746</v>
      </c>
      <c r="H57">
        <f t="shared" si="6"/>
        <v>0.19500000000000001</v>
      </c>
      <c r="I57">
        <f t="shared" si="7"/>
        <v>0.16380000000000003</v>
      </c>
      <c r="J57">
        <f t="shared" si="8"/>
        <v>0.15600000000000003</v>
      </c>
      <c r="K57">
        <f t="shared" si="9"/>
        <v>0.14625000000000002</v>
      </c>
      <c r="L57">
        <f t="shared" si="10"/>
        <v>0.11700000000000001</v>
      </c>
      <c r="M57">
        <f t="shared" si="11"/>
        <v>3447.6</v>
      </c>
      <c r="N57">
        <f t="shared" si="12"/>
        <v>4104.2857142857147</v>
      </c>
      <c r="O57">
        <f t="shared" si="13"/>
        <v>4309.5</v>
      </c>
      <c r="P57">
        <f t="shared" si="14"/>
        <v>4596.8</v>
      </c>
      <c r="Q57">
        <f t="shared" si="15"/>
        <v>5746</v>
      </c>
      <c r="R57">
        <f t="shared" si="16"/>
        <v>9.1116900000000001E-2</v>
      </c>
      <c r="S57">
        <f t="shared" si="17"/>
        <v>8.3678785714285706E-2</v>
      </c>
      <c r="T57">
        <f t="shared" si="18"/>
        <v>8.1354375000000007E-2</v>
      </c>
      <c r="U57">
        <f t="shared" si="19"/>
        <v>7.8100199999999995E-2</v>
      </c>
      <c r="V57">
        <f t="shared" si="20"/>
        <v>6.5083500000000002E-2</v>
      </c>
    </row>
    <row r="58" spans="1:22" ht="18" customHeight="1" x14ac:dyDescent="0.25">
      <c r="A58">
        <v>400</v>
      </c>
      <c r="B58" s="2" t="s">
        <v>89</v>
      </c>
      <c r="C58" s="3">
        <f t="shared" si="5"/>
        <v>435</v>
      </c>
      <c r="D58" s="152">
        <f t="shared" si="5"/>
        <v>5.3031000000000002E-2</v>
      </c>
      <c r="E58" s="152">
        <f t="shared" si="5"/>
        <v>0.112</v>
      </c>
      <c r="F58" s="3">
        <f t="shared" si="5"/>
        <v>5105</v>
      </c>
      <c r="H58">
        <f t="shared" si="6"/>
        <v>0.18666666666666668</v>
      </c>
      <c r="I58">
        <f t="shared" si="7"/>
        <v>0.15679999999999999</v>
      </c>
      <c r="J58">
        <f t="shared" si="8"/>
        <v>0.14933333333333335</v>
      </c>
      <c r="K58">
        <f t="shared" si="9"/>
        <v>0.14000000000000001</v>
      </c>
      <c r="L58">
        <f t="shared" si="10"/>
        <v>0.112</v>
      </c>
      <c r="M58">
        <f t="shared" si="11"/>
        <v>3063</v>
      </c>
      <c r="N58">
        <f t="shared" si="12"/>
        <v>3646.4285714285716</v>
      </c>
      <c r="O58">
        <f t="shared" si="13"/>
        <v>3828.75</v>
      </c>
      <c r="P58">
        <f t="shared" si="14"/>
        <v>4084</v>
      </c>
      <c r="Q58">
        <f t="shared" si="15"/>
        <v>5105</v>
      </c>
      <c r="R58">
        <f t="shared" si="16"/>
        <v>7.4243400000000001E-2</v>
      </c>
      <c r="S58">
        <f t="shared" si="17"/>
        <v>6.8182714285714277E-2</v>
      </c>
      <c r="T58">
        <f t="shared" si="18"/>
        <v>6.6288750000000007E-2</v>
      </c>
      <c r="U58">
        <f t="shared" si="19"/>
        <v>6.3637200000000005E-2</v>
      </c>
      <c r="V58">
        <f t="shared" si="20"/>
        <v>5.3031000000000002E-2</v>
      </c>
    </row>
    <row r="59" spans="1:22" ht="18" customHeight="1" x14ac:dyDescent="0.25">
      <c r="A59">
        <v>500</v>
      </c>
      <c r="B59" s="2" t="s">
        <v>90</v>
      </c>
      <c r="C59" s="3">
        <f t="shared" si="5"/>
        <v>477.77500000000003</v>
      </c>
      <c r="D59" s="152">
        <f t="shared" si="5"/>
        <v>4.7490500000000005E-2</v>
      </c>
      <c r="E59" s="152">
        <f t="shared" si="5"/>
        <v>0.112</v>
      </c>
      <c r="F59" s="3">
        <f t="shared" si="5"/>
        <v>4669</v>
      </c>
      <c r="H59">
        <f t="shared" si="6"/>
        <v>0.18666666666666668</v>
      </c>
      <c r="I59">
        <f t="shared" si="7"/>
        <v>0.15679999999999999</v>
      </c>
      <c r="J59">
        <f t="shared" si="8"/>
        <v>0.14933333333333335</v>
      </c>
      <c r="K59">
        <f t="shared" si="9"/>
        <v>0.14000000000000001</v>
      </c>
      <c r="L59">
        <f t="shared" si="10"/>
        <v>0.112</v>
      </c>
      <c r="M59">
        <f t="shared" si="11"/>
        <v>2801.4</v>
      </c>
      <c r="N59">
        <f t="shared" si="12"/>
        <v>3335</v>
      </c>
      <c r="O59">
        <f t="shared" si="13"/>
        <v>3501.75</v>
      </c>
      <c r="P59">
        <f t="shared" si="14"/>
        <v>3735.2</v>
      </c>
      <c r="Q59">
        <f t="shared" si="15"/>
        <v>4669</v>
      </c>
      <c r="R59">
        <f t="shared" si="16"/>
        <v>6.6486699999999996E-2</v>
      </c>
      <c r="S59">
        <f t="shared" si="17"/>
        <v>6.1059214285714286E-2</v>
      </c>
      <c r="T59">
        <f t="shared" si="18"/>
        <v>5.9363125000000003E-2</v>
      </c>
      <c r="U59">
        <f t="shared" si="19"/>
        <v>5.69886E-2</v>
      </c>
      <c r="V59">
        <f t="shared" si="20"/>
        <v>4.7490500000000005E-2</v>
      </c>
    </row>
    <row r="60" spans="1:22" ht="18" customHeight="1" x14ac:dyDescent="0.25">
      <c r="A60">
        <v>630</v>
      </c>
      <c r="B60" s="2" t="s">
        <v>137</v>
      </c>
      <c r="C60" s="3">
        <f t="shared" si="5"/>
        <v>522.72500000000002</v>
      </c>
      <c r="D60" s="152">
        <f t="shared" si="5"/>
        <v>4.1950000000000001E-2</v>
      </c>
      <c r="E60" s="152">
        <f t="shared" si="5"/>
        <v>0.1137</v>
      </c>
      <c r="F60" s="3">
        <f t="shared" si="5"/>
        <v>4583</v>
      </c>
      <c r="H60">
        <f t="shared" si="6"/>
        <v>0.18949999999999997</v>
      </c>
      <c r="I60">
        <f t="shared" si="7"/>
        <v>0.15917999999999999</v>
      </c>
      <c r="J60">
        <f t="shared" si="8"/>
        <v>0.15160000000000001</v>
      </c>
      <c r="K60">
        <f t="shared" si="9"/>
        <v>0.142125</v>
      </c>
      <c r="L60">
        <f t="shared" si="10"/>
        <v>0.1137</v>
      </c>
      <c r="M60">
        <f t="shared" si="11"/>
        <v>2749.8</v>
      </c>
      <c r="N60">
        <f t="shared" si="12"/>
        <v>3273.5714285714284</v>
      </c>
      <c r="O60">
        <f t="shared" si="13"/>
        <v>3437.25</v>
      </c>
      <c r="P60">
        <f t="shared" si="14"/>
        <v>3666.4</v>
      </c>
      <c r="Q60">
        <f t="shared" si="15"/>
        <v>4583</v>
      </c>
      <c r="R60">
        <f>$D60*(1+(1-(60/$H$48)))</f>
        <v>5.8729999999999997E-2</v>
      </c>
      <c r="S60">
        <f t="shared" si="17"/>
        <v>5.3935714285714281E-2</v>
      </c>
      <c r="T60">
        <f t="shared" si="18"/>
        <v>5.2437499999999998E-2</v>
      </c>
      <c r="U60">
        <f t="shared" si="19"/>
        <v>5.0340000000000003E-2</v>
      </c>
      <c r="V60">
        <f t="shared" si="20"/>
        <v>4.1950000000000001E-2</v>
      </c>
    </row>
    <row r="61" spans="1:22" ht="18" customHeight="1" x14ac:dyDescent="0.25">
      <c r="B61" s="3" t="str">
        <f>B21</f>
        <v>20/35kV EPR 35mm2 Cu</v>
      </c>
      <c r="C61" s="3">
        <f t="shared" si="5"/>
        <v>0</v>
      </c>
      <c r="D61" s="152">
        <f t="shared" si="5"/>
        <v>0</v>
      </c>
      <c r="E61" s="152">
        <f t="shared" si="5"/>
        <v>0</v>
      </c>
      <c r="F61" s="3">
        <f t="shared" si="5"/>
        <v>0</v>
      </c>
    </row>
    <row r="62" spans="1:22" ht="18" customHeight="1" x14ac:dyDescent="0.25">
      <c r="B62" s="3" t="str">
        <f>B22</f>
        <v>20/35kV EPR 50mm2 Cu</v>
      </c>
      <c r="C62" s="3">
        <f t="shared" si="5"/>
        <v>153.70000000000002</v>
      </c>
      <c r="D62" s="152">
        <f t="shared" si="5"/>
        <v>0.495</v>
      </c>
      <c r="E62" s="152">
        <f t="shared" si="5"/>
        <v>0.17899999999999999</v>
      </c>
      <c r="F62" s="3">
        <f t="shared" si="5"/>
        <v>19063</v>
      </c>
    </row>
    <row r="63" spans="1:22" ht="18" customHeight="1" x14ac:dyDescent="0.25">
      <c r="B63" s="3" t="str">
        <f>B23</f>
        <v>20/35kV EPR 70mm2 Cu</v>
      </c>
      <c r="C63" s="3">
        <f t="shared" si="5"/>
        <v>187.05</v>
      </c>
      <c r="D63" s="152">
        <f t="shared" si="5"/>
        <v>0.34399999999999997</v>
      </c>
      <c r="E63" s="152">
        <f t="shared" si="5"/>
        <v>0.16800000000000001</v>
      </c>
      <c r="F63" s="3">
        <f t="shared" si="5"/>
        <v>17244</v>
      </c>
    </row>
    <row r="64" spans="1:22" ht="18" customHeight="1" x14ac:dyDescent="0.25">
      <c r="B64" s="3" t="str">
        <f>B24</f>
        <v>20/35kV EPR 95mm2 Cu</v>
      </c>
      <c r="C64" s="3">
        <f t="shared" si="5"/>
        <v>221.85</v>
      </c>
      <c r="D64" s="152">
        <f t="shared" si="5"/>
        <v>0.248</v>
      </c>
      <c r="E64" s="152">
        <f t="shared" si="5"/>
        <v>0.16</v>
      </c>
      <c r="F64" s="3">
        <f t="shared" si="5"/>
        <v>15680</v>
      </c>
    </row>
    <row r="65" spans="2:6" ht="18" customHeight="1" x14ac:dyDescent="0.25">
      <c r="B65" s="2" t="s">
        <v>10</v>
      </c>
      <c r="C65" s="3">
        <f t="shared" si="5"/>
        <v>250.85</v>
      </c>
      <c r="D65" s="152">
        <f t="shared" si="5"/>
        <v>0.1582895</v>
      </c>
      <c r="E65" s="152">
        <f t="shared" si="5"/>
        <v>0.13</v>
      </c>
      <c r="F65" s="3">
        <f t="shared" si="5"/>
        <v>14663</v>
      </c>
    </row>
    <row r="66" spans="2:6" ht="18" customHeight="1" x14ac:dyDescent="0.25">
      <c r="B66" s="2" t="s">
        <v>11</v>
      </c>
      <c r="C66" s="3">
        <f t="shared" si="5"/>
        <v>278.39999999999998</v>
      </c>
      <c r="D66" s="152">
        <f t="shared" si="5"/>
        <v>0.12936349999999999</v>
      </c>
      <c r="E66" s="152">
        <f t="shared" si="5"/>
        <v>0.126</v>
      </c>
      <c r="F66" s="3">
        <f t="shared" si="5"/>
        <v>13715</v>
      </c>
    </row>
    <row r="67" spans="2:6" ht="18" customHeight="1" x14ac:dyDescent="0.25">
      <c r="B67" s="2" t="s">
        <v>12</v>
      </c>
      <c r="C67" s="3">
        <f t="shared" si="5"/>
        <v>311.02500000000003</v>
      </c>
      <c r="D67" s="152">
        <f t="shared" si="5"/>
        <v>0.10365150000000001</v>
      </c>
      <c r="E67" s="152">
        <f t="shared" si="5"/>
        <v>0.122</v>
      </c>
      <c r="F67" s="3">
        <f t="shared" si="5"/>
        <v>12781</v>
      </c>
    </row>
    <row r="68" spans="2:6" ht="18" customHeight="1" x14ac:dyDescent="0.25">
      <c r="B68" s="2" t="s">
        <v>13</v>
      </c>
      <c r="C68" s="3">
        <f t="shared" si="5"/>
        <v>362.5</v>
      </c>
      <c r="D68" s="152">
        <f t="shared" si="5"/>
        <v>8.0350000000000005E-2</v>
      </c>
      <c r="E68" s="152">
        <f t="shared" si="5"/>
        <v>0.12</v>
      </c>
      <c r="F68" s="3">
        <f t="shared" si="5"/>
        <v>11528</v>
      </c>
    </row>
    <row r="69" spans="2:6" ht="18" customHeight="1" x14ac:dyDescent="0.25">
      <c r="B69" s="2" t="s">
        <v>14</v>
      </c>
      <c r="C69" s="3">
        <f t="shared" si="5"/>
        <v>395.125</v>
      </c>
      <c r="D69" s="152">
        <f t="shared" si="5"/>
        <v>6.5083500000000002E-2</v>
      </c>
      <c r="E69" s="152">
        <f t="shared" si="5"/>
        <v>0.11700000000000001</v>
      </c>
      <c r="F69" s="3">
        <f t="shared" si="5"/>
        <v>10665</v>
      </c>
    </row>
    <row r="70" spans="2:6" ht="18" customHeight="1" x14ac:dyDescent="0.25">
      <c r="B70" s="2" t="s">
        <v>16</v>
      </c>
      <c r="C70" s="3">
        <f t="shared" si="5"/>
        <v>435</v>
      </c>
      <c r="D70" s="152">
        <f t="shared" si="5"/>
        <v>5.3031000000000002E-2</v>
      </c>
      <c r="E70" s="152">
        <f t="shared" si="5"/>
        <v>0.112</v>
      </c>
      <c r="F70" s="3">
        <f t="shared" si="5"/>
        <v>9879</v>
      </c>
    </row>
    <row r="71" spans="2:6" ht="18" customHeight="1" x14ac:dyDescent="0.25">
      <c r="B71" s="2" t="s">
        <v>15</v>
      </c>
      <c r="C71" s="3">
        <f t="shared" si="5"/>
        <v>477.77500000000003</v>
      </c>
      <c r="D71" s="152">
        <f t="shared" si="5"/>
        <v>3.573614130444993E-2</v>
      </c>
      <c r="E71" s="152">
        <f t="shared" si="5"/>
        <v>0.10871469193119648</v>
      </c>
      <c r="F71" s="3">
        <f t="shared" si="5"/>
        <v>9145.1924066778101</v>
      </c>
    </row>
    <row r="72" spans="2:6" ht="18" customHeight="1" x14ac:dyDescent="0.25">
      <c r="B72" s="2" t="s">
        <v>21</v>
      </c>
      <c r="C72" s="3">
        <f t="shared" ref="C72:F85" si="21">C33</f>
        <v>250.85</v>
      </c>
      <c r="D72" s="152">
        <f t="shared" si="21"/>
        <v>0.1582895</v>
      </c>
      <c r="E72" s="152">
        <f t="shared" si="21"/>
        <v>0.13</v>
      </c>
      <c r="F72" s="3">
        <f t="shared" si="21"/>
        <v>8099.3000000000011</v>
      </c>
    </row>
    <row r="73" spans="2:6" ht="18" customHeight="1" x14ac:dyDescent="0.25">
      <c r="B73" s="2" t="s">
        <v>22</v>
      </c>
      <c r="C73" s="3">
        <f t="shared" si="21"/>
        <v>278.39999999999998</v>
      </c>
      <c r="D73" s="152">
        <f t="shared" si="21"/>
        <v>0.12936349999999999</v>
      </c>
      <c r="E73" s="152">
        <f t="shared" si="21"/>
        <v>0.126</v>
      </c>
      <c r="F73" s="3">
        <f t="shared" si="21"/>
        <v>7483.3</v>
      </c>
    </row>
    <row r="74" spans="2:6" ht="18" customHeight="1" x14ac:dyDescent="0.25">
      <c r="B74" s="2" t="s">
        <v>23</v>
      </c>
      <c r="C74" s="3">
        <f t="shared" si="21"/>
        <v>311.02500000000003</v>
      </c>
      <c r="D74" s="152">
        <f t="shared" si="21"/>
        <v>0.10365150000000001</v>
      </c>
      <c r="E74" s="152">
        <f t="shared" si="21"/>
        <v>0.122</v>
      </c>
      <c r="F74" s="3">
        <f t="shared" si="21"/>
        <v>6921.2000000000007</v>
      </c>
    </row>
    <row r="75" spans="2:6" ht="18" customHeight="1" x14ac:dyDescent="0.25">
      <c r="B75" s="2" t="s">
        <v>24</v>
      </c>
      <c r="C75" s="3">
        <f t="shared" si="21"/>
        <v>362.5</v>
      </c>
      <c r="D75" s="152">
        <f t="shared" si="21"/>
        <v>8.0350000000000005E-2</v>
      </c>
      <c r="E75" s="152">
        <f t="shared" si="21"/>
        <v>0.12</v>
      </c>
      <c r="F75" s="3">
        <f t="shared" si="21"/>
        <v>6878.3</v>
      </c>
    </row>
    <row r="76" spans="2:6" ht="17.25" x14ac:dyDescent="0.25">
      <c r="B76" s="2" t="s">
        <v>25</v>
      </c>
      <c r="C76" s="3">
        <f t="shared" si="21"/>
        <v>395.125</v>
      </c>
      <c r="D76" s="152">
        <f t="shared" si="21"/>
        <v>6.5083500000000002E-2</v>
      </c>
      <c r="E76" s="152">
        <f t="shared" si="21"/>
        <v>0.11700000000000001</v>
      </c>
      <c r="F76" s="3">
        <f t="shared" si="21"/>
        <v>6320.6</v>
      </c>
    </row>
    <row r="77" spans="2:6" ht="17.25" x14ac:dyDescent="0.25">
      <c r="B77" s="2" t="s">
        <v>26</v>
      </c>
      <c r="C77" s="3">
        <f t="shared" si="21"/>
        <v>435</v>
      </c>
      <c r="D77" s="152">
        <f t="shared" si="21"/>
        <v>5.3031000000000002E-2</v>
      </c>
      <c r="E77" s="152">
        <f t="shared" si="21"/>
        <v>0.112</v>
      </c>
      <c r="F77" s="3">
        <f t="shared" si="21"/>
        <v>5615.5</v>
      </c>
    </row>
    <row r="78" spans="2:6" ht="17.25" x14ac:dyDescent="0.25">
      <c r="B78" s="2" t="s">
        <v>27</v>
      </c>
      <c r="C78" s="3">
        <f t="shared" si="21"/>
        <v>0</v>
      </c>
      <c r="D78" s="152">
        <f t="shared" si="21"/>
        <v>0</v>
      </c>
      <c r="E78" s="152">
        <f t="shared" si="21"/>
        <v>0</v>
      </c>
      <c r="F78" s="3">
        <f t="shared" si="21"/>
        <v>0</v>
      </c>
    </row>
    <row r="79" spans="2:6" ht="17.25" x14ac:dyDescent="0.25">
      <c r="B79" s="2" t="s">
        <v>110</v>
      </c>
      <c r="C79" s="3">
        <f t="shared" si="21"/>
        <v>250.85</v>
      </c>
      <c r="D79" s="152">
        <f t="shared" si="21"/>
        <v>0.1582895</v>
      </c>
      <c r="E79" s="152">
        <f t="shared" si="21"/>
        <v>0.13</v>
      </c>
      <c r="F79" s="3">
        <f t="shared" si="21"/>
        <v>8467.4499999999989</v>
      </c>
    </row>
    <row r="80" spans="2:6" ht="17.25" x14ac:dyDescent="0.25">
      <c r="B80" s="2" t="s">
        <v>111</v>
      </c>
      <c r="C80" s="3">
        <f t="shared" si="21"/>
        <v>278.39999999999998</v>
      </c>
      <c r="D80" s="152">
        <f t="shared" si="21"/>
        <v>0.12936349999999999</v>
      </c>
      <c r="E80" s="152">
        <f t="shared" si="21"/>
        <v>0.126</v>
      </c>
      <c r="F80" s="3">
        <f t="shared" si="21"/>
        <v>7823.45</v>
      </c>
    </row>
    <row r="81" spans="2:6" ht="17.25" x14ac:dyDescent="0.25">
      <c r="B81" s="2" t="s">
        <v>112</v>
      </c>
      <c r="C81" s="3">
        <f t="shared" si="21"/>
        <v>311.02500000000003</v>
      </c>
      <c r="D81" s="152">
        <f t="shared" si="21"/>
        <v>0.10365150000000001</v>
      </c>
      <c r="E81" s="152">
        <f t="shared" si="21"/>
        <v>0.122</v>
      </c>
      <c r="F81" s="3">
        <f t="shared" si="21"/>
        <v>7235.7999999999993</v>
      </c>
    </row>
    <row r="82" spans="2:6" ht="17.25" x14ac:dyDescent="0.25">
      <c r="B82" s="2" t="s">
        <v>113</v>
      </c>
      <c r="C82" s="3">
        <f t="shared" si="21"/>
        <v>362.5</v>
      </c>
      <c r="D82" s="152">
        <f t="shared" si="21"/>
        <v>8.0350000000000005E-2</v>
      </c>
      <c r="E82" s="152">
        <f t="shared" si="21"/>
        <v>0.12</v>
      </c>
      <c r="F82" s="3">
        <f t="shared" si="21"/>
        <v>7190.95</v>
      </c>
    </row>
    <row r="83" spans="2:6" ht="17.25" x14ac:dyDescent="0.25">
      <c r="B83" s="2" t="s">
        <v>114</v>
      </c>
      <c r="C83" s="3">
        <f t="shared" si="21"/>
        <v>395.125</v>
      </c>
      <c r="D83" s="152">
        <f t="shared" si="21"/>
        <v>6.5083500000000002E-2</v>
      </c>
      <c r="E83" s="152">
        <f t="shared" si="21"/>
        <v>0.11700000000000001</v>
      </c>
      <c r="F83" s="3">
        <f t="shared" si="21"/>
        <v>6607.9</v>
      </c>
    </row>
    <row r="84" spans="2:6" ht="17.25" x14ac:dyDescent="0.25">
      <c r="B84" s="2" t="s">
        <v>115</v>
      </c>
      <c r="C84" s="3">
        <f t="shared" si="21"/>
        <v>435</v>
      </c>
      <c r="D84" s="152">
        <f t="shared" si="21"/>
        <v>5.3031000000000002E-2</v>
      </c>
      <c r="E84" s="152">
        <f t="shared" si="21"/>
        <v>0.112</v>
      </c>
      <c r="F84" s="3">
        <f t="shared" si="21"/>
        <v>5870.75</v>
      </c>
    </row>
    <row r="85" spans="2:6" ht="17.25" x14ac:dyDescent="0.25">
      <c r="B85" s="2" t="s">
        <v>116</v>
      </c>
      <c r="C85" s="3">
        <f t="shared" si="21"/>
        <v>0</v>
      </c>
      <c r="D85" s="152">
        <f t="shared" si="21"/>
        <v>0</v>
      </c>
      <c r="E85" s="152">
        <f t="shared" si="21"/>
        <v>0</v>
      </c>
      <c r="F85" s="3">
        <f t="shared" si="21"/>
        <v>0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P63"/>
  <sheetViews>
    <sheetView view="pageBreakPreview" topLeftCell="A40" zoomScaleNormal="90" zoomScaleSheetLayoutView="100" workbookViewId="0">
      <selection activeCell="G14" sqref="G14"/>
    </sheetView>
  </sheetViews>
  <sheetFormatPr defaultColWidth="5.85546875" defaultRowHeight="15" customHeight="1" x14ac:dyDescent="0.25"/>
  <cols>
    <col min="1" max="1" width="1.7109375" style="9" customWidth="1"/>
    <col min="2" max="8" width="5.85546875" style="9" customWidth="1"/>
    <col min="9" max="9" width="3.85546875" style="71" customWidth="1"/>
    <col min="10" max="16" width="5.85546875" style="71" customWidth="1"/>
    <col min="17" max="18" width="1.7109375" style="15" customWidth="1"/>
    <col min="19" max="23" width="5.7109375" style="9" customWidth="1"/>
    <col min="24" max="24" width="6.7109375" style="9" customWidth="1"/>
    <col min="25" max="25" width="5.85546875" style="9" customWidth="1"/>
    <col min="26" max="26" width="3.85546875" style="71" customWidth="1"/>
    <col min="27" max="31" width="5.7109375" style="71" customWidth="1"/>
    <col min="32" max="32" width="6.7109375" style="71" customWidth="1"/>
    <col min="33" max="33" width="5.85546875" style="71" customWidth="1"/>
    <col min="34" max="35" width="1.7109375" style="15" customWidth="1"/>
    <col min="36" max="38" width="5.7109375" style="15" customWidth="1"/>
    <col min="39" max="39" width="12" style="15" bestFit="1" customWidth="1"/>
    <col min="40" max="50" width="5.7109375" style="15" customWidth="1"/>
    <col min="51" max="52" width="1.7109375" style="15" customWidth="1"/>
    <col min="53" max="67" width="5.7109375" style="15" customWidth="1"/>
    <col min="68" max="68" width="1.7109375" style="15" customWidth="1"/>
    <col min="69" max="256" width="5.85546875" style="9"/>
    <col min="257" max="257" width="1.7109375" style="9" customWidth="1"/>
    <col min="258" max="264" width="5.85546875" style="9" customWidth="1"/>
    <col min="265" max="265" width="3.85546875" style="9" customWidth="1"/>
    <col min="266" max="272" width="5.85546875" style="9" customWidth="1"/>
    <col min="273" max="274" width="1.7109375" style="9" customWidth="1"/>
    <col min="275" max="279" width="5.7109375" style="9" customWidth="1"/>
    <col min="280" max="280" width="6.7109375" style="9" customWidth="1"/>
    <col min="281" max="281" width="5.85546875" style="9" customWidth="1"/>
    <col min="282" max="282" width="3.85546875" style="9" customWidth="1"/>
    <col min="283" max="287" width="5.7109375" style="9" customWidth="1"/>
    <col min="288" max="288" width="6.7109375" style="9" customWidth="1"/>
    <col min="289" max="289" width="5.85546875" style="9" customWidth="1"/>
    <col min="290" max="291" width="1.7109375" style="9" customWidth="1"/>
    <col min="292" max="306" width="5.7109375" style="9" customWidth="1"/>
    <col min="307" max="308" width="1.7109375" style="9" customWidth="1"/>
    <col min="309" max="323" width="5.7109375" style="9" customWidth="1"/>
    <col min="324" max="324" width="1.7109375" style="9" customWidth="1"/>
    <col min="325" max="512" width="5.85546875" style="9"/>
    <col min="513" max="513" width="1.7109375" style="9" customWidth="1"/>
    <col min="514" max="520" width="5.85546875" style="9" customWidth="1"/>
    <col min="521" max="521" width="3.85546875" style="9" customWidth="1"/>
    <col min="522" max="528" width="5.85546875" style="9" customWidth="1"/>
    <col min="529" max="530" width="1.7109375" style="9" customWidth="1"/>
    <col min="531" max="535" width="5.7109375" style="9" customWidth="1"/>
    <col min="536" max="536" width="6.7109375" style="9" customWidth="1"/>
    <col min="537" max="537" width="5.85546875" style="9" customWidth="1"/>
    <col min="538" max="538" width="3.85546875" style="9" customWidth="1"/>
    <col min="539" max="543" width="5.7109375" style="9" customWidth="1"/>
    <col min="544" max="544" width="6.7109375" style="9" customWidth="1"/>
    <col min="545" max="545" width="5.85546875" style="9" customWidth="1"/>
    <col min="546" max="547" width="1.7109375" style="9" customWidth="1"/>
    <col min="548" max="562" width="5.7109375" style="9" customWidth="1"/>
    <col min="563" max="564" width="1.7109375" style="9" customWidth="1"/>
    <col min="565" max="579" width="5.7109375" style="9" customWidth="1"/>
    <col min="580" max="580" width="1.7109375" style="9" customWidth="1"/>
    <col min="581" max="768" width="5.85546875" style="9"/>
    <col min="769" max="769" width="1.7109375" style="9" customWidth="1"/>
    <col min="770" max="776" width="5.85546875" style="9" customWidth="1"/>
    <col min="777" max="777" width="3.85546875" style="9" customWidth="1"/>
    <col min="778" max="784" width="5.85546875" style="9" customWidth="1"/>
    <col min="785" max="786" width="1.7109375" style="9" customWidth="1"/>
    <col min="787" max="791" width="5.7109375" style="9" customWidth="1"/>
    <col min="792" max="792" width="6.7109375" style="9" customWidth="1"/>
    <col min="793" max="793" width="5.85546875" style="9" customWidth="1"/>
    <col min="794" max="794" width="3.85546875" style="9" customWidth="1"/>
    <col min="795" max="799" width="5.7109375" style="9" customWidth="1"/>
    <col min="800" max="800" width="6.7109375" style="9" customWidth="1"/>
    <col min="801" max="801" width="5.85546875" style="9" customWidth="1"/>
    <col min="802" max="803" width="1.7109375" style="9" customWidth="1"/>
    <col min="804" max="818" width="5.7109375" style="9" customWidth="1"/>
    <col min="819" max="820" width="1.7109375" style="9" customWidth="1"/>
    <col min="821" max="835" width="5.7109375" style="9" customWidth="1"/>
    <col min="836" max="836" width="1.7109375" style="9" customWidth="1"/>
    <col min="837" max="1024" width="5.85546875" style="9"/>
    <col min="1025" max="1025" width="1.7109375" style="9" customWidth="1"/>
    <col min="1026" max="1032" width="5.85546875" style="9" customWidth="1"/>
    <col min="1033" max="1033" width="3.85546875" style="9" customWidth="1"/>
    <col min="1034" max="1040" width="5.85546875" style="9" customWidth="1"/>
    <col min="1041" max="1042" width="1.7109375" style="9" customWidth="1"/>
    <col min="1043" max="1047" width="5.7109375" style="9" customWidth="1"/>
    <col min="1048" max="1048" width="6.7109375" style="9" customWidth="1"/>
    <col min="1049" max="1049" width="5.85546875" style="9" customWidth="1"/>
    <col min="1050" max="1050" width="3.85546875" style="9" customWidth="1"/>
    <col min="1051" max="1055" width="5.7109375" style="9" customWidth="1"/>
    <col min="1056" max="1056" width="6.7109375" style="9" customWidth="1"/>
    <col min="1057" max="1057" width="5.85546875" style="9" customWidth="1"/>
    <col min="1058" max="1059" width="1.7109375" style="9" customWidth="1"/>
    <col min="1060" max="1074" width="5.7109375" style="9" customWidth="1"/>
    <col min="1075" max="1076" width="1.7109375" style="9" customWidth="1"/>
    <col min="1077" max="1091" width="5.7109375" style="9" customWidth="1"/>
    <col min="1092" max="1092" width="1.7109375" style="9" customWidth="1"/>
    <col min="1093" max="1280" width="5.85546875" style="9"/>
    <col min="1281" max="1281" width="1.7109375" style="9" customWidth="1"/>
    <col min="1282" max="1288" width="5.85546875" style="9" customWidth="1"/>
    <col min="1289" max="1289" width="3.85546875" style="9" customWidth="1"/>
    <col min="1290" max="1296" width="5.85546875" style="9" customWidth="1"/>
    <col min="1297" max="1298" width="1.7109375" style="9" customWidth="1"/>
    <col min="1299" max="1303" width="5.7109375" style="9" customWidth="1"/>
    <col min="1304" max="1304" width="6.7109375" style="9" customWidth="1"/>
    <col min="1305" max="1305" width="5.85546875" style="9" customWidth="1"/>
    <col min="1306" max="1306" width="3.85546875" style="9" customWidth="1"/>
    <col min="1307" max="1311" width="5.7109375" style="9" customWidth="1"/>
    <col min="1312" max="1312" width="6.7109375" style="9" customWidth="1"/>
    <col min="1313" max="1313" width="5.85546875" style="9" customWidth="1"/>
    <col min="1314" max="1315" width="1.7109375" style="9" customWidth="1"/>
    <col min="1316" max="1330" width="5.7109375" style="9" customWidth="1"/>
    <col min="1331" max="1332" width="1.7109375" style="9" customWidth="1"/>
    <col min="1333" max="1347" width="5.7109375" style="9" customWidth="1"/>
    <col min="1348" max="1348" width="1.7109375" style="9" customWidth="1"/>
    <col min="1349" max="1536" width="5.85546875" style="9"/>
    <col min="1537" max="1537" width="1.7109375" style="9" customWidth="1"/>
    <col min="1538" max="1544" width="5.85546875" style="9" customWidth="1"/>
    <col min="1545" max="1545" width="3.85546875" style="9" customWidth="1"/>
    <col min="1546" max="1552" width="5.85546875" style="9" customWidth="1"/>
    <col min="1553" max="1554" width="1.7109375" style="9" customWidth="1"/>
    <col min="1555" max="1559" width="5.7109375" style="9" customWidth="1"/>
    <col min="1560" max="1560" width="6.7109375" style="9" customWidth="1"/>
    <col min="1561" max="1561" width="5.85546875" style="9" customWidth="1"/>
    <col min="1562" max="1562" width="3.85546875" style="9" customWidth="1"/>
    <col min="1563" max="1567" width="5.7109375" style="9" customWidth="1"/>
    <col min="1568" max="1568" width="6.7109375" style="9" customWidth="1"/>
    <col min="1569" max="1569" width="5.85546875" style="9" customWidth="1"/>
    <col min="1570" max="1571" width="1.7109375" style="9" customWidth="1"/>
    <col min="1572" max="1586" width="5.7109375" style="9" customWidth="1"/>
    <col min="1587" max="1588" width="1.7109375" style="9" customWidth="1"/>
    <col min="1589" max="1603" width="5.7109375" style="9" customWidth="1"/>
    <col min="1604" max="1604" width="1.7109375" style="9" customWidth="1"/>
    <col min="1605" max="1792" width="5.85546875" style="9"/>
    <col min="1793" max="1793" width="1.7109375" style="9" customWidth="1"/>
    <col min="1794" max="1800" width="5.85546875" style="9" customWidth="1"/>
    <col min="1801" max="1801" width="3.85546875" style="9" customWidth="1"/>
    <col min="1802" max="1808" width="5.85546875" style="9" customWidth="1"/>
    <col min="1809" max="1810" width="1.7109375" style="9" customWidth="1"/>
    <col min="1811" max="1815" width="5.7109375" style="9" customWidth="1"/>
    <col min="1816" max="1816" width="6.7109375" style="9" customWidth="1"/>
    <col min="1817" max="1817" width="5.85546875" style="9" customWidth="1"/>
    <col min="1818" max="1818" width="3.85546875" style="9" customWidth="1"/>
    <col min="1819" max="1823" width="5.7109375" style="9" customWidth="1"/>
    <col min="1824" max="1824" width="6.7109375" style="9" customWidth="1"/>
    <col min="1825" max="1825" width="5.85546875" style="9" customWidth="1"/>
    <col min="1826" max="1827" width="1.7109375" style="9" customWidth="1"/>
    <col min="1828" max="1842" width="5.7109375" style="9" customWidth="1"/>
    <col min="1843" max="1844" width="1.7109375" style="9" customWidth="1"/>
    <col min="1845" max="1859" width="5.7109375" style="9" customWidth="1"/>
    <col min="1860" max="1860" width="1.7109375" style="9" customWidth="1"/>
    <col min="1861" max="2048" width="5.85546875" style="9"/>
    <col min="2049" max="2049" width="1.7109375" style="9" customWidth="1"/>
    <col min="2050" max="2056" width="5.85546875" style="9" customWidth="1"/>
    <col min="2057" max="2057" width="3.85546875" style="9" customWidth="1"/>
    <col min="2058" max="2064" width="5.85546875" style="9" customWidth="1"/>
    <col min="2065" max="2066" width="1.7109375" style="9" customWidth="1"/>
    <col min="2067" max="2071" width="5.7109375" style="9" customWidth="1"/>
    <col min="2072" max="2072" width="6.7109375" style="9" customWidth="1"/>
    <col min="2073" max="2073" width="5.85546875" style="9" customWidth="1"/>
    <col min="2074" max="2074" width="3.85546875" style="9" customWidth="1"/>
    <col min="2075" max="2079" width="5.7109375" style="9" customWidth="1"/>
    <col min="2080" max="2080" width="6.7109375" style="9" customWidth="1"/>
    <col min="2081" max="2081" width="5.85546875" style="9" customWidth="1"/>
    <col min="2082" max="2083" width="1.7109375" style="9" customWidth="1"/>
    <col min="2084" max="2098" width="5.7109375" style="9" customWidth="1"/>
    <col min="2099" max="2100" width="1.7109375" style="9" customWidth="1"/>
    <col min="2101" max="2115" width="5.7109375" style="9" customWidth="1"/>
    <col min="2116" max="2116" width="1.7109375" style="9" customWidth="1"/>
    <col min="2117" max="2304" width="5.85546875" style="9"/>
    <col min="2305" max="2305" width="1.7109375" style="9" customWidth="1"/>
    <col min="2306" max="2312" width="5.85546875" style="9" customWidth="1"/>
    <col min="2313" max="2313" width="3.85546875" style="9" customWidth="1"/>
    <col min="2314" max="2320" width="5.85546875" style="9" customWidth="1"/>
    <col min="2321" max="2322" width="1.7109375" style="9" customWidth="1"/>
    <col min="2323" max="2327" width="5.7109375" style="9" customWidth="1"/>
    <col min="2328" max="2328" width="6.7109375" style="9" customWidth="1"/>
    <col min="2329" max="2329" width="5.85546875" style="9" customWidth="1"/>
    <col min="2330" max="2330" width="3.85546875" style="9" customWidth="1"/>
    <col min="2331" max="2335" width="5.7109375" style="9" customWidth="1"/>
    <col min="2336" max="2336" width="6.7109375" style="9" customWidth="1"/>
    <col min="2337" max="2337" width="5.85546875" style="9" customWidth="1"/>
    <col min="2338" max="2339" width="1.7109375" style="9" customWidth="1"/>
    <col min="2340" max="2354" width="5.7109375" style="9" customWidth="1"/>
    <col min="2355" max="2356" width="1.7109375" style="9" customWidth="1"/>
    <col min="2357" max="2371" width="5.7109375" style="9" customWidth="1"/>
    <col min="2372" max="2372" width="1.7109375" style="9" customWidth="1"/>
    <col min="2373" max="2560" width="5.85546875" style="9"/>
    <col min="2561" max="2561" width="1.7109375" style="9" customWidth="1"/>
    <col min="2562" max="2568" width="5.85546875" style="9" customWidth="1"/>
    <col min="2569" max="2569" width="3.85546875" style="9" customWidth="1"/>
    <col min="2570" max="2576" width="5.85546875" style="9" customWidth="1"/>
    <col min="2577" max="2578" width="1.7109375" style="9" customWidth="1"/>
    <col min="2579" max="2583" width="5.7109375" style="9" customWidth="1"/>
    <col min="2584" max="2584" width="6.7109375" style="9" customWidth="1"/>
    <col min="2585" max="2585" width="5.85546875" style="9" customWidth="1"/>
    <col min="2586" max="2586" width="3.85546875" style="9" customWidth="1"/>
    <col min="2587" max="2591" width="5.7109375" style="9" customWidth="1"/>
    <col min="2592" max="2592" width="6.7109375" style="9" customWidth="1"/>
    <col min="2593" max="2593" width="5.85546875" style="9" customWidth="1"/>
    <col min="2594" max="2595" width="1.7109375" style="9" customWidth="1"/>
    <col min="2596" max="2610" width="5.7109375" style="9" customWidth="1"/>
    <col min="2611" max="2612" width="1.7109375" style="9" customWidth="1"/>
    <col min="2613" max="2627" width="5.7109375" style="9" customWidth="1"/>
    <col min="2628" max="2628" width="1.7109375" style="9" customWidth="1"/>
    <col min="2629" max="2816" width="5.85546875" style="9"/>
    <col min="2817" max="2817" width="1.7109375" style="9" customWidth="1"/>
    <col min="2818" max="2824" width="5.85546875" style="9" customWidth="1"/>
    <col min="2825" max="2825" width="3.85546875" style="9" customWidth="1"/>
    <col min="2826" max="2832" width="5.85546875" style="9" customWidth="1"/>
    <col min="2833" max="2834" width="1.7109375" style="9" customWidth="1"/>
    <col min="2835" max="2839" width="5.7109375" style="9" customWidth="1"/>
    <col min="2840" max="2840" width="6.7109375" style="9" customWidth="1"/>
    <col min="2841" max="2841" width="5.85546875" style="9" customWidth="1"/>
    <col min="2842" max="2842" width="3.85546875" style="9" customWidth="1"/>
    <col min="2843" max="2847" width="5.7109375" style="9" customWidth="1"/>
    <col min="2848" max="2848" width="6.7109375" style="9" customWidth="1"/>
    <col min="2849" max="2849" width="5.85546875" style="9" customWidth="1"/>
    <col min="2850" max="2851" width="1.7109375" style="9" customWidth="1"/>
    <col min="2852" max="2866" width="5.7109375" style="9" customWidth="1"/>
    <col min="2867" max="2868" width="1.7109375" style="9" customWidth="1"/>
    <col min="2869" max="2883" width="5.7109375" style="9" customWidth="1"/>
    <col min="2884" max="2884" width="1.7109375" style="9" customWidth="1"/>
    <col min="2885" max="3072" width="5.85546875" style="9"/>
    <col min="3073" max="3073" width="1.7109375" style="9" customWidth="1"/>
    <col min="3074" max="3080" width="5.85546875" style="9" customWidth="1"/>
    <col min="3081" max="3081" width="3.85546875" style="9" customWidth="1"/>
    <col min="3082" max="3088" width="5.85546875" style="9" customWidth="1"/>
    <col min="3089" max="3090" width="1.7109375" style="9" customWidth="1"/>
    <col min="3091" max="3095" width="5.7109375" style="9" customWidth="1"/>
    <col min="3096" max="3096" width="6.7109375" style="9" customWidth="1"/>
    <col min="3097" max="3097" width="5.85546875" style="9" customWidth="1"/>
    <col min="3098" max="3098" width="3.85546875" style="9" customWidth="1"/>
    <col min="3099" max="3103" width="5.7109375" style="9" customWidth="1"/>
    <col min="3104" max="3104" width="6.7109375" style="9" customWidth="1"/>
    <col min="3105" max="3105" width="5.85546875" style="9" customWidth="1"/>
    <col min="3106" max="3107" width="1.7109375" style="9" customWidth="1"/>
    <col min="3108" max="3122" width="5.7109375" style="9" customWidth="1"/>
    <col min="3123" max="3124" width="1.7109375" style="9" customWidth="1"/>
    <col min="3125" max="3139" width="5.7109375" style="9" customWidth="1"/>
    <col min="3140" max="3140" width="1.7109375" style="9" customWidth="1"/>
    <col min="3141" max="3328" width="5.85546875" style="9"/>
    <col min="3329" max="3329" width="1.7109375" style="9" customWidth="1"/>
    <col min="3330" max="3336" width="5.85546875" style="9" customWidth="1"/>
    <col min="3337" max="3337" width="3.85546875" style="9" customWidth="1"/>
    <col min="3338" max="3344" width="5.85546875" style="9" customWidth="1"/>
    <col min="3345" max="3346" width="1.7109375" style="9" customWidth="1"/>
    <col min="3347" max="3351" width="5.7109375" style="9" customWidth="1"/>
    <col min="3352" max="3352" width="6.7109375" style="9" customWidth="1"/>
    <col min="3353" max="3353" width="5.85546875" style="9" customWidth="1"/>
    <col min="3354" max="3354" width="3.85546875" style="9" customWidth="1"/>
    <col min="3355" max="3359" width="5.7109375" style="9" customWidth="1"/>
    <col min="3360" max="3360" width="6.7109375" style="9" customWidth="1"/>
    <col min="3361" max="3361" width="5.85546875" style="9" customWidth="1"/>
    <col min="3362" max="3363" width="1.7109375" style="9" customWidth="1"/>
    <col min="3364" max="3378" width="5.7109375" style="9" customWidth="1"/>
    <col min="3379" max="3380" width="1.7109375" style="9" customWidth="1"/>
    <col min="3381" max="3395" width="5.7109375" style="9" customWidth="1"/>
    <col min="3396" max="3396" width="1.7109375" style="9" customWidth="1"/>
    <col min="3397" max="3584" width="5.85546875" style="9"/>
    <col min="3585" max="3585" width="1.7109375" style="9" customWidth="1"/>
    <col min="3586" max="3592" width="5.85546875" style="9" customWidth="1"/>
    <col min="3593" max="3593" width="3.85546875" style="9" customWidth="1"/>
    <col min="3594" max="3600" width="5.85546875" style="9" customWidth="1"/>
    <col min="3601" max="3602" width="1.7109375" style="9" customWidth="1"/>
    <col min="3603" max="3607" width="5.7109375" style="9" customWidth="1"/>
    <col min="3608" max="3608" width="6.7109375" style="9" customWidth="1"/>
    <col min="3609" max="3609" width="5.85546875" style="9" customWidth="1"/>
    <col min="3610" max="3610" width="3.85546875" style="9" customWidth="1"/>
    <col min="3611" max="3615" width="5.7109375" style="9" customWidth="1"/>
    <col min="3616" max="3616" width="6.7109375" style="9" customWidth="1"/>
    <col min="3617" max="3617" width="5.85546875" style="9" customWidth="1"/>
    <col min="3618" max="3619" width="1.7109375" style="9" customWidth="1"/>
    <col min="3620" max="3634" width="5.7109375" style="9" customWidth="1"/>
    <col min="3635" max="3636" width="1.7109375" style="9" customWidth="1"/>
    <col min="3637" max="3651" width="5.7109375" style="9" customWidth="1"/>
    <col min="3652" max="3652" width="1.7109375" style="9" customWidth="1"/>
    <col min="3653" max="3840" width="5.85546875" style="9"/>
    <col min="3841" max="3841" width="1.7109375" style="9" customWidth="1"/>
    <col min="3842" max="3848" width="5.85546875" style="9" customWidth="1"/>
    <col min="3849" max="3849" width="3.85546875" style="9" customWidth="1"/>
    <col min="3850" max="3856" width="5.85546875" style="9" customWidth="1"/>
    <col min="3857" max="3858" width="1.7109375" style="9" customWidth="1"/>
    <col min="3859" max="3863" width="5.7109375" style="9" customWidth="1"/>
    <col min="3864" max="3864" width="6.7109375" style="9" customWidth="1"/>
    <col min="3865" max="3865" width="5.85546875" style="9" customWidth="1"/>
    <col min="3866" max="3866" width="3.85546875" style="9" customWidth="1"/>
    <col min="3867" max="3871" width="5.7109375" style="9" customWidth="1"/>
    <col min="3872" max="3872" width="6.7109375" style="9" customWidth="1"/>
    <col min="3873" max="3873" width="5.85546875" style="9" customWidth="1"/>
    <col min="3874" max="3875" width="1.7109375" style="9" customWidth="1"/>
    <col min="3876" max="3890" width="5.7109375" style="9" customWidth="1"/>
    <col min="3891" max="3892" width="1.7109375" style="9" customWidth="1"/>
    <col min="3893" max="3907" width="5.7109375" style="9" customWidth="1"/>
    <col min="3908" max="3908" width="1.7109375" style="9" customWidth="1"/>
    <col min="3909" max="4096" width="5.85546875" style="9"/>
    <col min="4097" max="4097" width="1.7109375" style="9" customWidth="1"/>
    <col min="4098" max="4104" width="5.85546875" style="9" customWidth="1"/>
    <col min="4105" max="4105" width="3.85546875" style="9" customWidth="1"/>
    <col min="4106" max="4112" width="5.85546875" style="9" customWidth="1"/>
    <col min="4113" max="4114" width="1.7109375" style="9" customWidth="1"/>
    <col min="4115" max="4119" width="5.7109375" style="9" customWidth="1"/>
    <col min="4120" max="4120" width="6.7109375" style="9" customWidth="1"/>
    <col min="4121" max="4121" width="5.85546875" style="9" customWidth="1"/>
    <col min="4122" max="4122" width="3.85546875" style="9" customWidth="1"/>
    <col min="4123" max="4127" width="5.7109375" style="9" customWidth="1"/>
    <col min="4128" max="4128" width="6.7109375" style="9" customWidth="1"/>
    <col min="4129" max="4129" width="5.85546875" style="9" customWidth="1"/>
    <col min="4130" max="4131" width="1.7109375" style="9" customWidth="1"/>
    <col min="4132" max="4146" width="5.7109375" style="9" customWidth="1"/>
    <col min="4147" max="4148" width="1.7109375" style="9" customWidth="1"/>
    <col min="4149" max="4163" width="5.7109375" style="9" customWidth="1"/>
    <col min="4164" max="4164" width="1.7109375" style="9" customWidth="1"/>
    <col min="4165" max="4352" width="5.85546875" style="9"/>
    <col min="4353" max="4353" width="1.7109375" style="9" customWidth="1"/>
    <col min="4354" max="4360" width="5.85546875" style="9" customWidth="1"/>
    <col min="4361" max="4361" width="3.85546875" style="9" customWidth="1"/>
    <col min="4362" max="4368" width="5.85546875" style="9" customWidth="1"/>
    <col min="4369" max="4370" width="1.7109375" style="9" customWidth="1"/>
    <col min="4371" max="4375" width="5.7109375" style="9" customWidth="1"/>
    <col min="4376" max="4376" width="6.7109375" style="9" customWidth="1"/>
    <col min="4377" max="4377" width="5.85546875" style="9" customWidth="1"/>
    <col min="4378" max="4378" width="3.85546875" style="9" customWidth="1"/>
    <col min="4379" max="4383" width="5.7109375" style="9" customWidth="1"/>
    <col min="4384" max="4384" width="6.7109375" style="9" customWidth="1"/>
    <col min="4385" max="4385" width="5.85546875" style="9" customWidth="1"/>
    <col min="4386" max="4387" width="1.7109375" style="9" customWidth="1"/>
    <col min="4388" max="4402" width="5.7109375" style="9" customWidth="1"/>
    <col min="4403" max="4404" width="1.7109375" style="9" customWidth="1"/>
    <col min="4405" max="4419" width="5.7109375" style="9" customWidth="1"/>
    <col min="4420" max="4420" width="1.7109375" style="9" customWidth="1"/>
    <col min="4421" max="4608" width="5.85546875" style="9"/>
    <col min="4609" max="4609" width="1.7109375" style="9" customWidth="1"/>
    <col min="4610" max="4616" width="5.85546875" style="9" customWidth="1"/>
    <col min="4617" max="4617" width="3.85546875" style="9" customWidth="1"/>
    <col min="4618" max="4624" width="5.85546875" style="9" customWidth="1"/>
    <col min="4625" max="4626" width="1.7109375" style="9" customWidth="1"/>
    <col min="4627" max="4631" width="5.7109375" style="9" customWidth="1"/>
    <col min="4632" max="4632" width="6.7109375" style="9" customWidth="1"/>
    <col min="4633" max="4633" width="5.85546875" style="9" customWidth="1"/>
    <col min="4634" max="4634" width="3.85546875" style="9" customWidth="1"/>
    <col min="4635" max="4639" width="5.7109375" style="9" customWidth="1"/>
    <col min="4640" max="4640" width="6.7109375" style="9" customWidth="1"/>
    <col min="4641" max="4641" width="5.85546875" style="9" customWidth="1"/>
    <col min="4642" max="4643" width="1.7109375" style="9" customWidth="1"/>
    <col min="4644" max="4658" width="5.7109375" style="9" customWidth="1"/>
    <col min="4659" max="4660" width="1.7109375" style="9" customWidth="1"/>
    <col min="4661" max="4675" width="5.7109375" style="9" customWidth="1"/>
    <col min="4676" max="4676" width="1.7109375" style="9" customWidth="1"/>
    <col min="4677" max="4864" width="5.85546875" style="9"/>
    <col min="4865" max="4865" width="1.7109375" style="9" customWidth="1"/>
    <col min="4866" max="4872" width="5.85546875" style="9" customWidth="1"/>
    <col min="4873" max="4873" width="3.85546875" style="9" customWidth="1"/>
    <col min="4874" max="4880" width="5.85546875" style="9" customWidth="1"/>
    <col min="4881" max="4882" width="1.7109375" style="9" customWidth="1"/>
    <col min="4883" max="4887" width="5.7109375" style="9" customWidth="1"/>
    <col min="4888" max="4888" width="6.7109375" style="9" customWidth="1"/>
    <col min="4889" max="4889" width="5.85546875" style="9" customWidth="1"/>
    <col min="4890" max="4890" width="3.85546875" style="9" customWidth="1"/>
    <col min="4891" max="4895" width="5.7109375" style="9" customWidth="1"/>
    <col min="4896" max="4896" width="6.7109375" style="9" customWidth="1"/>
    <col min="4897" max="4897" width="5.85546875" style="9" customWidth="1"/>
    <col min="4898" max="4899" width="1.7109375" style="9" customWidth="1"/>
    <col min="4900" max="4914" width="5.7109375" style="9" customWidth="1"/>
    <col min="4915" max="4916" width="1.7109375" style="9" customWidth="1"/>
    <col min="4917" max="4931" width="5.7109375" style="9" customWidth="1"/>
    <col min="4932" max="4932" width="1.7109375" style="9" customWidth="1"/>
    <col min="4933" max="5120" width="5.85546875" style="9"/>
    <col min="5121" max="5121" width="1.7109375" style="9" customWidth="1"/>
    <col min="5122" max="5128" width="5.85546875" style="9" customWidth="1"/>
    <col min="5129" max="5129" width="3.85546875" style="9" customWidth="1"/>
    <col min="5130" max="5136" width="5.85546875" style="9" customWidth="1"/>
    <col min="5137" max="5138" width="1.7109375" style="9" customWidth="1"/>
    <col min="5139" max="5143" width="5.7109375" style="9" customWidth="1"/>
    <col min="5144" max="5144" width="6.7109375" style="9" customWidth="1"/>
    <col min="5145" max="5145" width="5.85546875" style="9" customWidth="1"/>
    <col min="5146" max="5146" width="3.85546875" style="9" customWidth="1"/>
    <col min="5147" max="5151" width="5.7109375" style="9" customWidth="1"/>
    <col min="5152" max="5152" width="6.7109375" style="9" customWidth="1"/>
    <col min="5153" max="5153" width="5.85546875" style="9" customWidth="1"/>
    <col min="5154" max="5155" width="1.7109375" style="9" customWidth="1"/>
    <col min="5156" max="5170" width="5.7109375" style="9" customWidth="1"/>
    <col min="5171" max="5172" width="1.7109375" style="9" customWidth="1"/>
    <col min="5173" max="5187" width="5.7109375" style="9" customWidth="1"/>
    <col min="5188" max="5188" width="1.7109375" style="9" customWidth="1"/>
    <col min="5189" max="5376" width="5.85546875" style="9"/>
    <col min="5377" max="5377" width="1.7109375" style="9" customWidth="1"/>
    <col min="5378" max="5384" width="5.85546875" style="9" customWidth="1"/>
    <col min="5385" max="5385" width="3.85546875" style="9" customWidth="1"/>
    <col min="5386" max="5392" width="5.85546875" style="9" customWidth="1"/>
    <col min="5393" max="5394" width="1.7109375" style="9" customWidth="1"/>
    <col min="5395" max="5399" width="5.7109375" style="9" customWidth="1"/>
    <col min="5400" max="5400" width="6.7109375" style="9" customWidth="1"/>
    <col min="5401" max="5401" width="5.85546875" style="9" customWidth="1"/>
    <col min="5402" max="5402" width="3.85546875" style="9" customWidth="1"/>
    <col min="5403" max="5407" width="5.7109375" style="9" customWidth="1"/>
    <col min="5408" max="5408" width="6.7109375" style="9" customWidth="1"/>
    <col min="5409" max="5409" width="5.85546875" style="9" customWidth="1"/>
    <col min="5410" max="5411" width="1.7109375" style="9" customWidth="1"/>
    <col min="5412" max="5426" width="5.7109375" style="9" customWidth="1"/>
    <col min="5427" max="5428" width="1.7109375" style="9" customWidth="1"/>
    <col min="5429" max="5443" width="5.7109375" style="9" customWidth="1"/>
    <col min="5444" max="5444" width="1.7109375" style="9" customWidth="1"/>
    <col min="5445" max="5632" width="5.85546875" style="9"/>
    <col min="5633" max="5633" width="1.7109375" style="9" customWidth="1"/>
    <col min="5634" max="5640" width="5.85546875" style="9" customWidth="1"/>
    <col min="5641" max="5641" width="3.85546875" style="9" customWidth="1"/>
    <col min="5642" max="5648" width="5.85546875" style="9" customWidth="1"/>
    <col min="5649" max="5650" width="1.7109375" style="9" customWidth="1"/>
    <col min="5651" max="5655" width="5.7109375" style="9" customWidth="1"/>
    <col min="5656" max="5656" width="6.7109375" style="9" customWidth="1"/>
    <col min="5657" max="5657" width="5.85546875" style="9" customWidth="1"/>
    <col min="5658" max="5658" width="3.85546875" style="9" customWidth="1"/>
    <col min="5659" max="5663" width="5.7109375" style="9" customWidth="1"/>
    <col min="5664" max="5664" width="6.7109375" style="9" customWidth="1"/>
    <col min="5665" max="5665" width="5.85546875" style="9" customWidth="1"/>
    <col min="5666" max="5667" width="1.7109375" style="9" customWidth="1"/>
    <col min="5668" max="5682" width="5.7109375" style="9" customWidth="1"/>
    <col min="5683" max="5684" width="1.7109375" style="9" customWidth="1"/>
    <col min="5685" max="5699" width="5.7109375" style="9" customWidth="1"/>
    <col min="5700" max="5700" width="1.7109375" style="9" customWidth="1"/>
    <col min="5701" max="5888" width="5.85546875" style="9"/>
    <col min="5889" max="5889" width="1.7109375" style="9" customWidth="1"/>
    <col min="5890" max="5896" width="5.85546875" style="9" customWidth="1"/>
    <col min="5897" max="5897" width="3.85546875" style="9" customWidth="1"/>
    <col min="5898" max="5904" width="5.85546875" style="9" customWidth="1"/>
    <col min="5905" max="5906" width="1.7109375" style="9" customWidth="1"/>
    <col min="5907" max="5911" width="5.7109375" style="9" customWidth="1"/>
    <col min="5912" max="5912" width="6.7109375" style="9" customWidth="1"/>
    <col min="5913" max="5913" width="5.85546875" style="9" customWidth="1"/>
    <col min="5914" max="5914" width="3.85546875" style="9" customWidth="1"/>
    <col min="5915" max="5919" width="5.7109375" style="9" customWidth="1"/>
    <col min="5920" max="5920" width="6.7109375" style="9" customWidth="1"/>
    <col min="5921" max="5921" width="5.85546875" style="9" customWidth="1"/>
    <col min="5922" max="5923" width="1.7109375" style="9" customWidth="1"/>
    <col min="5924" max="5938" width="5.7109375" style="9" customWidth="1"/>
    <col min="5939" max="5940" width="1.7109375" style="9" customWidth="1"/>
    <col min="5941" max="5955" width="5.7109375" style="9" customWidth="1"/>
    <col min="5956" max="5956" width="1.7109375" style="9" customWidth="1"/>
    <col min="5957" max="6144" width="5.85546875" style="9"/>
    <col min="6145" max="6145" width="1.7109375" style="9" customWidth="1"/>
    <col min="6146" max="6152" width="5.85546875" style="9" customWidth="1"/>
    <col min="6153" max="6153" width="3.85546875" style="9" customWidth="1"/>
    <col min="6154" max="6160" width="5.85546875" style="9" customWidth="1"/>
    <col min="6161" max="6162" width="1.7109375" style="9" customWidth="1"/>
    <col min="6163" max="6167" width="5.7109375" style="9" customWidth="1"/>
    <col min="6168" max="6168" width="6.7109375" style="9" customWidth="1"/>
    <col min="6169" max="6169" width="5.85546875" style="9" customWidth="1"/>
    <col min="6170" max="6170" width="3.85546875" style="9" customWidth="1"/>
    <col min="6171" max="6175" width="5.7109375" style="9" customWidth="1"/>
    <col min="6176" max="6176" width="6.7109375" style="9" customWidth="1"/>
    <col min="6177" max="6177" width="5.85546875" style="9" customWidth="1"/>
    <col min="6178" max="6179" width="1.7109375" style="9" customWidth="1"/>
    <col min="6180" max="6194" width="5.7109375" style="9" customWidth="1"/>
    <col min="6195" max="6196" width="1.7109375" style="9" customWidth="1"/>
    <col min="6197" max="6211" width="5.7109375" style="9" customWidth="1"/>
    <col min="6212" max="6212" width="1.7109375" style="9" customWidth="1"/>
    <col min="6213" max="6400" width="5.85546875" style="9"/>
    <col min="6401" max="6401" width="1.7109375" style="9" customWidth="1"/>
    <col min="6402" max="6408" width="5.85546875" style="9" customWidth="1"/>
    <col min="6409" max="6409" width="3.85546875" style="9" customWidth="1"/>
    <col min="6410" max="6416" width="5.85546875" style="9" customWidth="1"/>
    <col min="6417" max="6418" width="1.7109375" style="9" customWidth="1"/>
    <col min="6419" max="6423" width="5.7109375" style="9" customWidth="1"/>
    <col min="6424" max="6424" width="6.7109375" style="9" customWidth="1"/>
    <col min="6425" max="6425" width="5.85546875" style="9" customWidth="1"/>
    <col min="6426" max="6426" width="3.85546875" style="9" customWidth="1"/>
    <col min="6427" max="6431" width="5.7109375" style="9" customWidth="1"/>
    <col min="6432" max="6432" width="6.7109375" style="9" customWidth="1"/>
    <col min="6433" max="6433" width="5.85546875" style="9" customWidth="1"/>
    <col min="6434" max="6435" width="1.7109375" style="9" customWidth="1"/>
    <col min="6436" max="6450" width="5.7109375" style="9" customWidth="1"/>
    <col min="6451" max="6452" width="1.7109375" style="9" customWidth="1"/>
    <col min="6453" max="6467" width="5.7109375" style="9" customWidth="1"/>
    <col min="6468" max="6468" width="1.7109375" style="9" customWidth="1"/>
    <col min="6469" max="6656" width="5.85546875" style="9"/>
    <col min="6657" max="6657" width="1.7109375" style="9" customWidth="1"/>
    <col min="6658" max="6664" width="5.85546875" style="9" customWidth="1"/>
    <col min="6665" max="6665" width="3.85546875" style="9" customWidth="1"/>
    <col min="6666" max="6672" width="5.85546875" style="9" customWidth="1"/>
    <col min="6673" max="6674" width="1.7109375" style="9" customWidth="1"/>
    <col min="6675" max="6679" width="5.7109375" style="9" customWidth="1"/>
    <col min="6680" max="6680" width="6.7109375" style="9" customWidth="1"/>
    <col min="6681" max="6681" width="5.85546875" style="9" customWidth="1"/>
    <col min="6682" max="6682" width="3.85546875" style="9" customWidth="1"/>
    <col min="6683" max="6687" width="5.7109375" style="9" customWidth="1"/>
    <col min="6688" max="6688" width="6.7109375" style="9" customWidth="1"/>
    <col min="6689" max="6689" width="5.85546875" style="9" customWidth="1"/>
    <col min="6690" max="6691" width="1.7109375" style="9" customWidth="1"/>
    <col min="6692" max="6706" width="5.7109375" style="9" customWidth="1"/>
    <col min="6707" max="6708" width="1.7109375" style="9" customWidth="1"/>
    <col min="6709" max="6723" width="5.7109375" style="9" customWidth="1"/>
    <col min="6724" max="6724" width="1.7109375" style="9" customWidth="1"/>
    <col min="6725" max="6912" width="5.85546875" style="9"/>
    <col min="6913" max="6913" width="1.7109375" style="9" customWidth="1"/>
    <col min="6914" max="6920" width="5.85546875" style="9" customWidth="1"/>
    <col min="6921" max="6921" width="3.85546875" style="9" customWidth="1"/>
    <col min="6922" max="6928" width="5.85546875" style="9" customWidth="1"/>
    <col min="6929" max="6930" width="1.7109375" style="9" customWidth="1"/>
    <col min="6931" max="6935" width="5.7109375" style="9" customWidth="1"/>
    <col min="6936" max="6936" width="6.7109375" style="9" customWidth="1"/>
    <col min="6937" max="6937" width="5.85546875" style="9" customWidth="1"/>
    <col min="6938" max="6938" width="3.85546875" style="9" customWidth="1"/>
    <col min="6939" max="6943" width="5.7109375" style="9" customWidth="1"/>
    <col min="6944" max="6944" width="6.7109375" style="9" customWidth="1"/>
    <col min="6945" max="6945" width="5.85546875" style="9" customWidth="1"/>
    <col min="6946" max="6947" width="1.7109375" style="9" customWidth="1"/>
    <col min="6948" max="6962" width="5.7109375" style="9" customWidth="1"/>
    <col min="6963" max="6964" width="1.7109375" style="9" customWidth="1"/>
    <col min="6965" max="6979" width="5.7109375" style="9" customWidth="1"/>
    <col min="6980" max="6980" width="1.7109375" style="9" customWidth="1"/>
    <col min="6981" max="7168" width="5.85546875" style="9"/>
    <col min="7169" max="7169" width="1.7109375" style="9" customWidth="1"/>
    <col min="7170" max="7176" width="5.85546875" style="9" customWidth="1"/>
    <col min="7177" max="7177" width="3.85546875" style="9" customWidth="1"/>
    <col min="7178" max="7184" width="5.85546875" style="9" customWidth="1"/>
    <col min="7185" max="7186" width="1.7109375" style="9" customWidth="1"/>
    <col min="7187" max="7191" width="5.7109375" style="9" customWidth="1"/>
    <col min="7192" max="7192" width="6.7109375" style="9" customWidth="1"/>
    <col min="7193" max="7193" width="5.85546875" style="9" customWidth="1"/>
    <col min="7194" max="7194" width="3.85546875" style="9" customWidth="1"/>
    <col min="7195" max="7199" width="5.7109375" style="9" customWidth="1"/>
    <col min="7200" max="7200" width="6.7109375" style="9" customWidth="1"/>
    <col min="7201" max="7201" width="5.85546875" style="9" customWidth="1"/>
    <col min="7202" max="7203" width="1.7109375" style="9" customWidth="1"/>
    <col min="7204" max="7218" width="5.7109375" style="9" customWidth="1"/>
    <col min="7219" max="7220" width="1.7109375" style="9" customWidth="1"/>
    <col min="7221" max="7235" width="5.7109375" style="9" customWidth="1"/>
    <col min="7236" max="7236" width="1.7109375" style="9" customWidth="1"/>
    <col min="7237" max="7424" width="5.85546875" style="9"/>
    <col min="7425" max="7425" width="1.7109375" style="9" customWidth="1"/>
    <col min="7426" max="7432" width="5.85546875" style="9" customWidth="1"/>
    <col min="7433" max="7433" width="3.85546875" style="9" customWidth="1"/>
    <col min="7434" max="7440" width="5.85546875" style="9" customWidth="1"/>
    <col min="7441" max="7442" width="1.7109375" style="9" customWidth="1"/>
    <col min="7443" max="7447" width="5.7109375" style="9" customWidth="1"/>
    <col min="7448" max="7448" width="6.7109375" style="9" customWidth="1"/>
    <col min="7449" max="7449" width="5.85546875" style="9" customWidth="1"/>
    <col min="7450" max="7450" width="3.85546875" style="9" customWidth="1"/>
    <col min="7451" max="7455" width="5.7109375" style="9" customWidth="1"/>
    <col min="7456" max="7456" width="6.7109375" style="9" customWidth="1"/>
    <col min="7457" max="7457" width="5.85546875" style="9" customWidth="1"/>
    <col min="7458" max="7459" width="1.7109375" style="9" customWidth="1"/>
    <col min="7460" max="7474" width="5.7109375" style="9" customWidth="1"/>
    <col min="7475" max="7476" width="1.7109375" style="9" customWidth="1"/>
    <col min="7477" max="7491" width="5.7109375" style="9" customWidth="1"/>
    <col min="7492" max="7492" width="1.7109375" style="9" customWidth="1"/>
    <col min="7493" max="7680" width="5.85546875" style="9"/>
    <col min="7681" max="7681" width="1.7109375" style="9" customWidth="1"/>
    <col min="7682" max="7688" width="5.85546875" style="9" customWidth="1"/>
    <col min="7689" max="7689" width="3.85546875" style="9" customWidth="1"/>
    <col min="7690" max="7696" width="5.85546875" style="9" customWidth="1"/>
    <col min="7697" max="7698" width="1.7109375" style="9" customWidth="1"/>
    <col min="7699" max="7703" width="5.7109375" style="9" customWidth="1"/>
    <col min="7704" max="7704" width="6.7109375" style="9" customWidth="1"/>
    <col min="7705" max="7705" width="5.85546875" style="9" customWidth="1"/>
    <col min="7706" max="7706" width="3.85546875" style="9" customWidth="1"/>
    <col min="7707" max="7711" width="5.7109375" style="9" customWidth="1"/>
    <col min="7712" max="7712" width="6.7109375" style="9" customWidth="1"/>
    <col min="7713" max="7713" width="5.85546875" style="9" customWidth="1"/>
    <col min="7714" max="7715" width="1.7109375" style="9" customWidth="1"/>
    <col min="7716" max="7730" width="5.7109375" style="9" customWidth="1"/>
    <col min="7731" max="7732" width="1.7109375" style="9" customWidth="1"/>
    <col min="7733" max="7747" width="5.7109375" style="9" customWidth="1"/>
    <col min="7748" max="7748" width="1.7109375" style="9" customWidth="1"/>
    <col min="7749" max="7936" width="5.85546875" style="9"/>
    <col min="7937" max="7937" width="1.7109375" style="9" customWidth="1"/>
    <col min="7938" max="7944" width="5.85546875" style="9" customWidth="1"/>
    <col min="7945" max="7945" width="3.85546875" style="9" customWidth="1"/>
    <col min="7946" max="7952" width="5.85546875" style="9" customWidth="1"/>
    <col min="7953" max="7954" width="1.7109375" style="9" customWidth="1"/>
    <col min="7955" max="7959" width="5.7109375" style="9" customWidth="1"/>
    <col min="7960" max="7960" width="6.7109375" style="9" customWidth="1"/>
    <col min="7961" max="7961" width="5.85546875" style="9" customWidth="1"/>
    <col min="7962" max="7962" width="3.85546875" style="9" customWidth="1"/>
    <col min="7963" max="7967" width="5.7109375" style="9" customWidth="1"/>
    <col min="7968" max="7968" width="6.7109375" style="9" customWidth="1"/>
    <col min="7969" max="7969" width="5.85546875" style="9" customWidth="1"/>
    <col min="7970" max="7971" width="1.7109375" style="9" customWidth="1"/>
    <col min="7972" max="7986" width="5.7109375" style="9" customWidth="1"/>
    <col min="7987" max="7988" width="1.7109375" style="9" customWidth="1"/>
    <col min="7989" max="8003" width="5.7109375" style="9" customWidth="1"/>
    <col min="8004" max="8004" width="1.7109375" style="9" customWidth="1"/>
    <col min="8005" max="8192" width="5.85546875" style="9"/>
    <col min="8193" max="8193" width="1.7109375" style="9" customWidth="1"/>
    <col min="8194" max="8200" width="5.85546875" style="9" customWidth="1"/>
    <col min="8201" max="8201" width="3.85546875" style="9" customWidth="1"/>
    <col min="8202" max="8208" width="5.85546875" style="9" customWidth="1"/>
    <col min="8209" max="8210" width="1.7109375" style="9" customWidth="1"/>
    <col min="8211" max="8215" width="5.7109375" style="9" customWidth="1"/>
    <col min="8216" max="8216" width="6.7109375" style="9" customWidth="1"/>
    <col min="8217" max="8217" width="5.85546875" style="9" customWidth="1"/>
    <col min="8218" max="8218" width="3.85546875" style="9" customWidth="1"/>
    <col min="8219" max="8223" width="5.7109375" style="9" customWidth="1"/>
    <col min="8224" max="8224" width="6.7109375" style="9" customWidth="1"/>
    <col min="8225" max="8225" width="5.85546875" style="9" customWidth="1"/>
    <col min="8226" max="8227" width="1.7109375" style="9" customWidth="1"/>
    <col min="8228" max="8242" width="5.7109375" style="9" customWidth="1"/>
    <col min="8243" max="8244" width="1.7109375" style="9" customWidth="1"/>
    <col min="8245" max="8259" width="5.7109375" style="9" customWidth="1"/>
    <col min="8260" max="8260" width="1.7109375" style="9" customWidth="1"/>
    <col min="8261" max="8448" width="5.85546875" style="9"/>
    <col min="8449" max="8449" width="1.7109375" style="9" customWidth="1"/>
    <col min="8450" max="8456" width="5.85546875" style="9" customWidth="1"/>
    <col min="8457" max="8457" width="3.85546875" style="9" customWidth="1"/>
    <col min="8458" max="8464" width="5.85546875" style="9" customWidth="1"/>
    <col min="8465" max="8466" width="1.7109375" style="9" customWidth="1"/>
    <col min="8467" max="8471" width="5.7109375" style="9" customWidth="1"/>
    <col min="8472" max="8472" width="6.7109375" style="9" customWidth="1"/>
    <col min="8473" max="8473" width="5.85546875" style="9" customWidth="1"/>
    <col min="8474" max="8474" width="3.85546875" style="9" customWidth="1"/>
    <col min="8475" max="8479" width="5.7109375" style="9" customWidth="1"/>
    <col min="8480" max="8480" width="6.7109375" style="9" customWidth="1"/>
    <col min="8481" max="8481" width="5.85546875" style="9" customWidth="1"/>
    <col min="8482" max="8483" width="1.7109375" style="9" customWidth="1"/>
    <col min="8484" max="8498" width="5.7109375" style="9" customWidth="1"/>
    <col min="8499" max="8500" width="1.7109375" style="9" customWidth="1"/>
    <col min="8501" max="8515" width="5.7109375" style="9" customWidth="1"/>
    <col min="8516" max="8516" width="1.7109375" style="9" customWidth="1"/>
    <col min="8517" max="8704" width="5.85546875" style="9"/>
    <col min="8705" max="8705" width="1.7109375" style="9" customWidth="1"/>
    <col min="8706" max="8712" width="5.85546875" style="9" customWidth="1"/>
    <col min="8713" max="8713" width="3.85546875" style="9" customWidth="1"/>
    <col min="8714" max="8720" width="5.85546875" style="9" customWidth="1"/>
    <col min="8721" max="8722" width="1.7109375" style="9" customWidth="1"/>
    <col min="8723" max="8727" width="5.7109375" style="9" customWidth="1"/>
    <col min="8728" max="8728" width="6.7109375" style="9" customWidth="1"/>
    <col min="8729" max="8729" width="5.85546875" style="9" customWidth="1"/>
    <col min="8730" max="8730" width="3.85546875" style="9" customWidth="1"/>
    <col min="8731" max="8735" width="5.7109375" style="9" customWidth="1"/>
    <col min="8736" max="8736" width="6.7109375" style="9" customWidth="1"/>
    <col min="8737" max="8737" width="5.85546875" style="9" customWidth="1"/>
    <col min="8738" max="8739" width="1.7109375" style="9" customWidth="1"/>
    <col min="8740" max="8754" width="5.7109375" style="9" customWidth="1"/>
    <col min="8755" max="8756" width="1.7109375" style="9" customWidth="1"/>
    <col min="8757" max="8771" width="5.7109375" style="9" customWidth="1"/>
    <col min="8772" max="8772" width="1.7109375" style="9" customWidth="1"/>
    <col min="8773" max="8960" width="5.85546875" style="9"/>
    <col min="8961" max="8961" width="1.7109375" style="9" customWidth="1"/>
    <col min="8962" max="8968" width="5.85546875" style="9" customWidth="1"/>
    <col min="8969" max="8969" width="3.85546875" style="9" customWidth="1"/>
    <col min="8970" max="8976" width="5.85546875" style="9" customWidth="1"/>
    <col min="8977" max="8978" width="1.7109375" style="9" customWidth="1"/>
    <col min="8979" max="8983" width="5.7109375" style="9" customWidth="1"/>
    <col min="8984" max="8984" width="6.7109375" style="9" customWidth="1"/>
    <col min="8985" max="8985" width="5.85546875" style="9" customWidth="1"/>
    <col min="8986" max="8986" width="3.85546875" style="9" customWidth="1"/>
    <col min="8987" max="8991" width="5.7109375" style="9" customWidth="1"/>
    <col min="8992" max="8992" width="6.7109375" style="9" customWidth="1"/>
    <col min="8993" max="8993" width="5.85546875" style="9" customWidth="1"/>
    <col min="8994" max="8995" width="1.7109375" style="9" customWidth="1"/>
    <col min="8996" max="9010" width="5.7109375" style="9" customWidth="1"/>
    <col min="9011" max="9012" width="1.7109375" style="9" customWidth="1"/>
    <col min="9013" max="9027" width="5.7109375" style="9" customWidth="1"/>
    <col min="9028" max="9028" width="1.7109375" style="9" customWidth="1"/>
    <col min="9029" max="9216" width="5.85546875" style="9"/>
    <col min="9217" max="9217" width="1.7109375" style="9" customWidth="1"/>
    <col min="9218" max="9224" width="5.85546875" style="9" customWidth="1"/>
    <col min="9225" max="9225" width="3.85546875" style="9" customWidth="1"/>
    <col min="9226" max="9232" width="5.85546875" style="9" customWidth="1"/>
    <col min="9233" max="9234" width="1.7109375" style="9" customWidth="1"/>
    <col min="9235" max="9239" width="5.7109375" style="9" customWidth="1"/>
    <col min="9240" max="9240" width="6.7109375" style="9" customWidth="1"/>
    <col min="9241" max="9241" width="5.85546875" style="9" customWidth="1"/>
    <col min="9242" max="9242" width="3.85546875" style="9" customWidth="1"/>
    <col min="9243" max="9247" width="5.7109375" style="9" customWidth="1"/>
    <col min="9248" max="9248" width="6.7109375" style="9" customWidth="1"/>
    <col min="9249" max="9249" width="5.85546875" style="9" customWidth="1"/>
    <col min="9250" max="9251" width="1.7109375" style="9" customWidth="1"/>
    <col min="9252" max="9266" width="5.7109375" style="9" customWidth="1"/>
    <col min="9267" max="9268" width="1.7109375" style="9" customWidth="1"/>
    <col min="9269" max="9283" width="5.7109375" style="9" customWidth="1"/>
    <col min="9284" max="9284" width="1.7109375" style="9" customWidth="1"/>
    <col min="9285" max="9472" width="5.85546875" style="9"/>
    <col min="9473" max="9473" width="1.7109375" style="9" customWidth="1"/>
    <col min="9474" max="9480" width="5.85546875" style="9" customWidth="1"/>
    <col min="9481" max="9481" width="3.85546875" style="9" customWidth="1"/>
    <col min="9482" max="9488" width="5.85546875" style="9" customWidth="1"/>
    <col min="9489" max="9490" width="1.7109375" style="9" customWidth="1"/>
    <col min="9491" max="9495" width="5.7109375" style="9" customWidth="1"/>
    <col min="9496" max="9496" width="6.7109375" style="9" customWidth="1"/>
    <col min="9497" max="9497" width="5.85546875" style="9" customWidth="1"/>
    <col min="9498" max="9498" width="3.85546875" style="9" customWidth="1"/>
    <col min="9499" max="9503" width="5.7109375" style="9" customWidth="1"/>
    <col min="9504" max="9504" width="6.7109375" style="9" customWidth="1"/>
    <col min="9505" max="9505" width="5.85546875" style="9" customWidth="1"/>
    <col min="9506" max="9507" width="1.7109375" style="9" customWidth="1"/>
    <col min="9508" max="9522" width="5.7109375" style="9" customWidth="1"/>
    <col min="9523" max="9524" width="1.7109375" style="9" customWidth="1"/>
    <col min="9525" max="9539" width="5.7109375" style="9" customWidth="1"/>
    <col min="9540" max="9540" width="1.7109375" style="9" customWidth="1"/>
    <col min="9541" max="9728" width="5.85546875" style="9"/>
    <col min="9729" max="9729" width="1.7109375" style="9" customWidth="1"/>
    <col min="9730" max="9736" width="5.85546875" style="9" customWidth="1"/>
    <col min="9737" max="9737" width="3.85546875" style="9" customWidth="1"/>
    <col min="9738" max="9744" width="5.85546875" style="9" customWidth="1"/>
    <col min="9745" max="9746" width="1.7109375" style="9" customWidth="1"/>
    <col min="9747" max="9751" width="5.7109375" style="9" customWidth="1"/>
    <col min="9752" max="9752" width="6.7109375" style="9" customWidth="1"/>
    <col min="9753" max="9753" width="5.85546875" style="9" customWidth="1"/>
    <col min="9754" max="9754" width="3.85546875" style="9" customWidth="1"/>
    <col min="9755" max="9759" width="5.7109375" style="9" customWidth="1"/>
    <col min="9760" max="9760" width="6.7109375" style="9" customWidth="1"/>
    <col min="9761" max="9761" width="5.85546875" style="9" customWidth="1"/>
    <col min="9762" max="9763" width="1.7109375" style="9" customWidth="1"/>
    <col min="9764" max="9778" width="5.7109375" style="9" customWidth="1"/>
    <col min="9779" max="9780" width="1.7109375" style="9" customWidth="1"/>
    <col min="9781" max="9795" width="5.7109375" style="9" customWidth="1"/>
    <col min="9796" max="9796" width="1.7109375" style="9" customWidth="1"/>
    <col min="9797" max="9984" width="5.85546875" style="9"/>
    <col min="9985" max="9985" width="1.7109375" style="9" customWidth="1"/>
    <col min="9986" max="9992" width="5.85546875" style="9" customWidth="1"/>
    <col min="9993" max="9993" width="3.85546875" style="9" customWidth="1"/>
    <col min="9994" max="10000" width="5.85546875" style="9" customWidth="1"/>
    <col min="10001" max="10002" width="1.7109375" style="9" customWidth="1"/>
    <col min="10003" max="10007" width="5.7109375" style="9" customWidth="1"/>
    <col min="10008" max="10008" width="6.7109375" style="9" customWidth="1"/>
    <col min="10009" max="10009" width="5.85546875" style="9" customWidth="1"/>
    <col min="10010" max="10010" width="3.85546875" style="9" customWidth="1"/>
    <col min="10011" max="10015" width="5.7109375" style="9" customWidth="1"/>
    <col min="10016" max="10016" width="6.7109375" style="9" customWidth="1"/>
    <col min="10017" max="10017" width="5.85546875" style="9" customWidth="1"/>
    <col min="10018" max="10019" width="1.7109375" style="9" customWidth="1"/>
    <col min="10020" max="10034" width="5.7109375" style="9" customWidth="1"/>
    <col min="10035" max="10036" width="1.7109375" style="9" customWidth="1"/>
    <col min="10037" max="10051" width="5.7109375" style="9" customWidth="1"/>
    <col min="10052" max="10052" width="1.7109375" style="9" customWidth="1"/>
    <col min="10053" max="10240" width="5.85546875" style="9"/>
    <col min="10241" max="10241" width="1.7109375" style="9" customWidth="1"/>
    <col min="10242" max="10248" width="5.85546875" style="9" customWidth="1"/>
    <col min="10249" max="10249" width="3.85546875" style="9" customWidth="1"/>
    <col min="10250" max="10256" width="5.85546875" style="9" customWidth="1"/>
    <col min="10257" max="10258" width="1.7109375" style="9" customWidth="1"/>
    <col min="10259" max="10263" width="5.7109375" style="9" customWidth="1"/>
    <col min="10264" max="10264" width="6.7109375" style="9" customWidth="1"/>
    <col min="10265" max="10265" width="5.85546875" style="9" customWidth="1"/>
    <col min="10266" max="10266" width="3.85546875" style="9" customWidth="1"/>
    <col min="10267" max="10271" width="5.7109375" style="9" customWidth="1"/>
    <col min="10272" max="10272" width="6.7109375" style="9" customWidth="1"/>
    <col min="10273" max="10273" width="5.85546875" style="9" customWidth="1"/>
    <col min="10274" max="10275" width="1.7109375" style="9" customWidth="1"/>
    <col min="10276" max="10290" width="5.7109375" style="9" customWidth="1"/>
    <col min="10291" max="10292" width="1.7109375" style="9" customWidth="1"/>
    <col min="10293" max="10307" width="5.7109375" style="9" customWidth="1"/>
    <col min="10308" max="10308" width="1.7109375" style="9" customWidth="1"/>
    <col min="10309" max="10496" width="5.85546875" style="9"/>
    <col min="10497" max="10497" width="1.7109375" style="9" customWidth="1"/>
    <col min="10498" max="10504" width="5.85546875" style="9" customWidth="1"/>
    <col min="10505" max="10505" width="3.85546875" style="9" customWidth="1"/>
    <col min="10506" max="10512" width="5.85546875" style="9" customWidth="1"/>
    <col min="10513" max="10514" width="1.7109375" style="9" customWidth="1"/>
    <col min="10515" max="10519" width="5.7109375" style="9" customWidth="1"/>
    <col min="10520" max="10520" width="6.7109375" style="9" customWidth="1"/>
    <col min="10521" max="10521" width="5.85546875" style="9" customWidth="1"/>
    <col min="10522" max="10522" width="3.85546875" style="9" customWidth="1"/>
    <col min="10523" max="10527" width="5.7109375" style="9" customWidth="1"/>
    <col min="10528" max="10528" width="6.7109375" style="9" customWidth="1"/>
    <col min="10529" max="10529" width="5.85546875" style="9" customWidth="1"/>
    <col min="10530" max="10531" width="1.7109375" style="9" customWidth="1"/>
    <col min="10532" max="10546" width="5.7109375" style="9" customWidth="1"/>
    <col min="10547" max="10548" width="1.7109375" style="9" customWidth="1"/>
    <col min="10549" max="10563" width="5.7109375" style="9" customWidth="1"/>
    <col min="10564" max="10564" width="1.7109375" style="9" customWidth="1"/>
    <col min="10565" max="10752" width="5.85546875" style="9"/>
    <col min="10753" max="10753" width="1.7109375" style="9" customWidth="1"/>
    <col min="10754" max="10760" width="5.85546875" style="9" customWidth="1"/>
    <col min="10761" max="10761" width="3.85546875" style="9" customWidth="1"/>
    <col min="10762" max="10768" width="5.85546875" style="9" customWidth="1"/>
    <col min="10769" max="10770" width="1.7109375" style="9" customWidth="1"/>
    <col min="10771" max="10775" width="5.7109375" style="9" customWidth="1"/>
    <col min="10776" max="10776" width="6.7109375" style="9" customWidth="1"/>
    <col min="10777" max="10777" width="5.85546875" style="9" customWidth="1"/>
    <col min="10778" max="10778" width="3.85546875" style="9" customWidth="1"/>
    <col min="10779" max="10783" width="5.7109375" style="9" customWidth="1"/>
    <col min="10784" max="10784" width="6.7109375" style="9" customWidth="1"/>
    <col min="10785" max="10785" width="5.85546875" style="9" customWidth="1"/>
    <col min="10786" max="10787" width="1.7109375" style="9" customWidth="1"/>
    <col min="10788" max="10802" width="5.7109375" style="9" customWidth="1"/>
    <col min="10803" max="10804" width="1.7109375" style="9" customWidth="1"/>
    <col min="10805" max="10819" width="5.7109375" style="9" customWidth="1"/>
    <col min="10820" max="10820" width="1.7109375" style="9" customWidth="1"/>
    <col min="10821" max="11008" width="5.85546875" style="9"/>
    <col min="11009" max="11009" width="1.7109375" style="9" customWidth="1"/>
    <col min="11010" max="11016" width="5.85546875" style="9" customWidth="1"/>
    <col min="11017" max="11017" width="3.85546875" style="9" customWidth="1"/>
    <col min="11018" max="11024" width="5.85546875" style="9" customWidth="1"/>
    <col min="11025" max="11026" width="1.7109375" style="9" customWidth="1"/>
    <col min="11027" max="11031" width="5.7109375" style="9" customWidth="1"/>
    <col min="11032" max="11032" width="6.7109375" style="9" customWidth="1"/>
    <col min="11033" max="11033" width="5.85546875" style="9" customWidth="1"/>
    <col min="11034" max="11034" width="3.85546875" style="9" customWidth="1"/>
    <col min="11035" max="11039" width="5.7109375" style="9" customWidth="1"/>
    <col min="11040" max="11040" width="6.7109375" style="9" customWidth="1"/>
    <col min="11041" max="11041" width="5.85546875" style="9" customWidth="1"/>
    <col min="11042" max="11043" width="1.7109375" style="9" customWidth="1"/>
    <col min="11044" max="11058" width="5.7109375" style="9" customWidth="1"/>
    <col min="11059" max="11060" width="1.7109375" style="9" customWidth="1"/>
    <col min="11061" max="11075" width="5.7109375" style="9" customWidth="1"/>
    <col min="11076" max="11076" width="1.7109375" style="9" customWidth="1"/>
    <col min="11077" max="11264" width="5.85546875" style="9"/>
    <col min="11265" max="11265" width="1.7109375" style="9" customWidth="1"/>
    <col min="11266" max="11272" width="5.85546875" style="9" customWidth="1"/>
    <col min="11273" max="11273" width="3.85546875" style="9" customWidth="1"/>
    <col min="11274" max="11280" width="5.85546875" style="9" customWidth="1"/>
    <col min="11281" max="11282" width="1.7109375" style="9" customWidth="1"/>
    <col min="11283" max="11287" width="5.7109375" style="9" customWidth="1"/>
    <col min="11288" max="11288" width="6.7109375" style="9" customWidth="1"/>
    <col min="11289" max="11289" width="5.85546875" style="9" customWidth="1"/>
    <col min="11290" max="11290" width="3.85546875" style="9" customWidth="1"/>
    <col min="11291" max="11295" width="5.7109375" style="9" customWidth="1"/>
    <col min="11296" max="11296" width="6.7109375" style="9" customWidth="1"/>
    <col min="11297" max="11297" width="5.85546875" style="9" customWidth="1"/>
    <col min="11298" max="11299" width="1.7109375" style="9" customWidth="1"/>
    <col min="11300" max="11314" width="5.7109375" style="9" customWidth="1"/>
    <col min="11315" max="11316" width="1.7109375" style="9" customWidth="1"/>
    <col min="11317" max="11331" width="5.7109375" style="9" customWidth="1"/>
    <col min="11332" max="11332" width="1.7109375" style="9" customWidth="1"/>
    <col min="11333" max="11520" width="5.85546875" style="9"/>
    <col min="11521" max="11521" width="1.7109375" style="9" customWidth="1"/>
    <col min="11522" max="11528" width="5.85546875" style="9" customWidth="1"/>
    <col min="11529" max="11529" width="3.85546875" style="9" customWidth="1"/>
    <col min="11530" max="11536" width="5.85546875" style="9" customWidth="1"/>
    <col min="11537" max="11538" width="1.7109375" style="9" customWidth="1"/>
    <col min="11539" max="11543" width="5.7109375" style="9" customWidth="1"/>
    <col min="11544" max="11544" width="6.7109375" style="9" customWidth="1"/>
    <col min="11545" max="11545" width="5.85546875" style="9" customWidth="1"/>
    <col min="11546" max="11546" width="3.85546875" style="9" customWidth="1"/>
    <col min="11547" max="11551" width="5.7109375" style="9" customWidth="1"/>
    <col min="11552" max="11552" width="6.7109375" style="9" customWidth="1"/>
    <col min="11553" max="11553" width="5.85546875" style="9" customWidth="1"/>
    <col min="11554" max="11555" width="1.7109375" style="9" customWidth="1"/>
    <col min="11556" max="11570" width="5.7109375" style="9" customWidth="1"/>
    <col min="11571" max="11572" width="1.7109375" style="9" customWidth="1"/>
    <col min="11573" max="11587" width="5.7109375" style="9" customWidth="1"/>
    <col min="11588" max="11588" width="1.7109375" style="9" customWidth="1"/>
    <col min="11589" max="11776" width="5.85546875" style="9"/>
    <col min="11777" max="11777" width="1.7109375" style="9" customWidth="1"/>
    <col min="11778" max="11784" width="5.85546875" style="9" customWidth="1"/>
    <col min="11785" max="11785" width="3.85546875" style="9" customWidth="1"/>
    <col min="11786" max="11792" width="5.85546875" style="9" customWidth="1"/>
    <col min="11793" max="11794" width="1.7109375" style="9" customWidth="1"/>
    <col min="11795" max="11799" width="5.7109375" style="9" customWidth="1"/>
    <col min="11800" max="11800" width="6.7109375" style="9" customWidth="1"/>
    <col min="11801" max="11801" width="5.85546875" style="9" customWidth="1"/>
    <col min="11802" max="11802" width="3.85546875" style="9" customWidth="1"/>
    <col min="11803" max="11807" width="5.7109375" style="9" customWidth="1"/>
    <col min="11808" max="11808" width="6.7109375" style="9" customWidth="1"/>
    <col min="11809" max="11809" width="5.85546875" style="9" customWidth="1"/>
    <col min="11810" max="11811" width="1.7109375" style="9" customWidth="1"/>
    <col min="11812" max="11826" width="5.7109375" style="9" customWidth="1"/>
    <col min="11827" max="11828" width="1.7109375" style="9" customWidth="1"/>
    <col min="11829" max="11843" width="5.7109375" style="9" customWidth="1"/>
    <col min="11844" max="11844" width="1.7109375" style="9" customWidth="1"/>
    <col min="11845" max="12032" width="5.85546875" style="9"/>
    <col min="12033" max="12033" width="1.7109375" style="9" customWidth="1"/>
    <col min="12034" max="12040" width="5.85546875" style="9" customWidth="1"/>
    <col min="12041" max="12041" width="3.85546875" style="9" customWidth="1"/>
    <col min="12042" max="12048" width="5.85546875" style="9" customWidth="1"/>
    <col min="12049" max="12050" width="1.7109375" style="9" customWidth="1"/>
    <col min="12051" max="12055" width="5.7109375" style="9" customWidth="1"/>
    <col min="12056" max="12056" width="6.7109375" style="9" customWidth="1"/>
    <col min="12057" max="12057" width="5.85546875" style="9" customWidth="1"/>
    <col min="12058" max="12058" width="3.85546875" style="9" customWidth="1"/>
    <col min="12059" max="12063" width="5.7109375" style="9" customWidth="1"/>
    <col min="12064" max="12064" width="6.7109375" style="9" customWidth="1"/>
    <col min="12065" max="12065" width="5.85546875" style="9" customWidth="1"/>
    <col min="12066" max="12067" width="1.7109375" style="9" customWidth="1"/>
    <col min="12068" max="12082" width="5.7109375" style="9" customWidth="1"/>
    <col min="12083" max="12084" width="1.7109375" style="9" customWidth="1"/>
    <col min="12085" max="12099" width="5.7109375" style="9" customWidth="1"/>
    <col min="12100" max="12100" width="1.7109375" style="9" customWidth="1"/>
    <col min="12101" max="12288" width="5.85546875" style="9"/>
    <col min="12289" max="12289" width="1.7109375" style="9" customWidth="1"/>
    <col min="12290" max="12296" width="5.85546875" style="9" customWidth="1"/>
    <col min="12297" max="12297" width="3.85546875" style="9" customWidth="1"/>
    <col min="12298" max="12304" width="5.85546875" style="9" customWidth="1"/>
    <col min="12305" max="12306" width="1.7109375" style="9" customWidth="1"/>
    <col min="12307" max="12311" width="5.7109375" style="9" customWidth="1"/>
    <col min="12312" max="12312" width="6.7109375" style="9" customWidth="1"/>
    <col min="12313" max="12313" width="5.85546875" style="9" customWidth="1"/>
    <col min="12314" max="12314" width="3.85546875" style="9" customWidth="1"/>
    <col min="12315" max="12319" width="5.7109375" style="9" customWidth="1"/>
    <col min="12320" max="12320" width="6.7109375" style="9" customWidth="1"/>
    <col min="12321" max="12321" width="5.85546875" style="9" customWidth="1"/>
    <col min="12322" max="12323" width="1.7109375" style="9" customWidth="1"/>
    <col min="12324" max="12338" width="5.7109375" style="9" customWidth="1"/>
    <col min="12339" max="12340" width="1.7109375" style="9" customWidth="1"/>
    <col min="12341" max="12355" width="5.7109375" style="9" customWidth="1"/>
    <col min="12356" max="12356" width="1.7109375" style="9" customWidth="1"/>
    <col min="12357" max="12544" width="5.85546875" style="9"/>
    <col min="12545" max="12545" width="1.7109375" style="9" customWidth="1"/>
    <col min="12546" max="12552" width="5.85546875" style="9" customWidth="1"/>
    <col min="12553" max="12553" width="3.85546875" style="9" customWidth="1"/>
    <col min="12554" max="12560" width="5.85546875" style="9" customWidth="1"/>
    <col min="12561" max="12562" width="1.7109375" style="9" customWidth="1"/>
    <col min="12563" max="12567" width="5.7109375" style="9" customWidth="1"/>
    <col min="12568" max="12568" width="6.7109375" style="9" customWidth="1"/>
    <col min="12569" max="12569" width="5.85546875" style="9" customWidth="1"/>
    <col min="12570" max="12570" width="3.85546875" style="9" customWidth="1"/>
    <col min="12571" max="12575" width="5.7109375" style="9" customWidth="1"/>
    <col min="12576" max="12576" width="6.7109375" style="9" customWidth="1"/>
    <col min="12577" max="12577" width="5.85546875" style="9" customWidth="1"/>
    <col min="12578" max="12579" width="1.7109375" style="9" customWidth="1"/>
    <col min="12580" max="12594" width="5.7109375" style="9" customWidth="1"/>
    <col min="12595" max="12596" width="1.7109375" style="9" customWidth="1"/>
    <col min="12597" max="12611" width="5.7109375" style="9" customWidth="1"/>
    <col min="12612" max="12612" width="1.7109375" style="9" customWidth="1"/>
    <col min="12613" max="12800" width="5.85546875" style="9"/>
    <col min="12801" max="12801" width="1.7109375" style="9" customWidth="1"/>
    <col min="12802" max="12808" width="5.85546875" style="9" customWidth="1"/>
    <col min="12809" max="12809" width="3.85546875" style="9" customWidth="1"/>
    <col min="12810" max="12816" width="5.85546875" style="9" customWidth="1"/>
    <col min="12817" max="12818" width="1.7109375" style="9" customWidth="1"/>
    <col min="12819" max="12823" width="5.7109375" style="9" customWidth="1"/>
    <col min="12824" max="12824" width="6.7109375" style="9" customWidth="1"/>
    <col min="12825" max="12825" width="5.85546875" style="9" customWidth="1"/>
    <col min="12826" max="12826" width="3.85546875" style="9" customWidth="1"/>
    <col min="12827" max="12831" width="5.7109375" style="9" customWidth="1"/>
    <col min="12832" max="12832" width="6.7109375" style="9" customWidth="1"/>
    <col min="12833" max="12833" width="5.85546875" style="9" customWidth="1"/>
    <col min="12834" max="12835" width="1.7109375" style="9" customWidth="1"/>
    <col min="12836" max="12850" width="5.7109375" style="9" customWidth="1"/>
    <col min="12851" max="12852" width="1.7109375" style="9" customWidth="1"/>
    <col min="12853" max="12867" width="5.7109375" style="9" customWidth="1"/>
    <col min="12868" max="12868" width="1.7109375" style="9" customWidth="1"/>
    <col min="12869" max="13056" width="5.85546875" style="9"/>
    <col min="13057" max="13057" width="1.7109375" style="9" customWidth="1"/>
    <col min="13058" max="13064" width="5.85546875" style="9" customWidth="1"/>
    <col min="13065" max="13065" width="3.85546875" style="9" customWidth="1"/>
    <col min="13066" max="13072" width="5.85546875" style="9" customWidth="1"/>
    <col min="13073" max="13074" width="1.7109375" style="9" customWidth="1"/>
    <col min="13075" max="13079" width="5.7109375" style="9" customWidth="1"/>
    <col min="13080" max="13080" width="6.7109375" style="9" customWidth="1"/>
    <col min="13081" max="13081" width="5.85546875" style="9" customWidth="1"/>
    <col min="13082" max="13082" width="3.85546875" style="9" customWidth="1"/>
    <col min="13083" max="13087" width="5.7109375" style="9" customWidth="1"/>
    <col min="13088" max="13088" width="6.7109375" style="9" customWidth="1"/>
    <col min="13089" max="13089" width="5.85546875" style="9" customWidth="1"/>
    <col min="13090" max="13091" width="1.7109375" style="9" customWidth="1"/>
    <col min="13092" max="13106" width="5.7109375" style="9" customWidth="1"/>
    <col min="13107" max="13108" width="1.7109375" style="9" customWidth="1"/>
    <col min="13109" max="13123" width="5.7109375" style="9" customWidth="1"/>
    <col min="13124" max="13124" width="1.7109375" style="9" customWidth="1"/>
    <col min="13125" max="13312" width="5.85546875" style="9"/>
    <col min="13313" max="13313" width="1.7109375" style="9" customWidth="1"/>
    <col min="13314" max="13320" width="5.85546875" style="9" customWidth="1"/>
    <col min="13321" max="13321" width="3.85546875" style="9" customWidth="1"/>
    <col min="13322" max="13328" width="5.85546875" style="9" customWidth="1"/>
    <col min="13329" max="13330" width="1.7109375" style="9" customWidth="1"/>
    <col min="13331" max="13335" width="5.7109375" style="9" customWidth="1"/>
    <col min="13336" max="13336" width="6.7109375" style="9" customWidth="1"/>
    <col min="13337" max="13337" width="5.85546875" style="9" customWidth="1"/>
    <col min="13338" max="13338" width="3.85546875" style="9" customWidth="1"/>
    <col min="13339" max="13343" width="5.7109375" style="9" customWidth="1"/>
    <col min="13344" max="13344" width="6.7109375" style="9" customWidth="1"/>
    <col min="13345" max="13345" width="5.85546875" style="9" customWidth="1"/>
    <col min="13346" max="13347" width="1.7109375" style="9" customWidth="1"/>
    <col min="13348" max="13362" width="5.7109375" style="9" customWidth="1"/>
    <col min="13363" max="13364" width="1.7109375" style="9" customWidth="1"/>
    <col min="13365" max="13379" width="5.7109375" style="9" customWidth="1"/>
    <col min="13380" max="13380" width="1.7109375" style="9" customWidth="1"/>
    <col min="13381" max="13568" width="5.85546875" style="9"/>
    <col min="13569" max="13569" width="1.7109375" style="9" customWidth="1"/>
    <col min="13570" max="13576" width="5.85546875" style="9" customWidth="1"/>
    <col min="13577" max="13577" width="3.85546875" style="9" customWidth="1"/>
    <col min="13578" max="13584" width="5.85546875" style="9" customWidth="1"/>
    <col min="13585" max="13586" width="1.7109375" style="9" customWidth="1"/>
    <col min="13587" max="13591" width="5.7109375" style="9" customWidth="1"/>
    <col min="13592" max="13592" width="6.7109375" style="9" customWidth="1"/>
    <col min="13593" max="13593" width="5.85546875" style="9" customWidth="1"/>
    <col min="13594" max="13594" width="3.85546875" style="9" customWidth="1"/>
    <col min="13595" max="13599" width="5.7109375" style="9" customWidth="1"/>
    <col min="13600" max="13600" width="6.7109375" style="9" customWidth="1"/>
    <col min="13601" max="13601" width="5.85546875" style="9" customWidth="1"/>
    <col min="13602" max="13603" width="1.7109375" style="9" customWidth="1"/>
    <col min="13604" max="13618" width="5.7109375" style="9" customWidth="1"/>
    <col min="13619" max="13620" width="1.7109375" style="9" customWidth="1"/>
    <col min="13621" max="13635" width="5.7109375" style="9" customWidth="1"/>
    <col min="13636" max="13636" width="1.7109375" style="9" customWidth="1"/>
    <col min="13637" max="13824" width="5.85546875" style="9"/>
    <col min="13825" max="13825" width="1.7109375" style="9" customWidth="1"/>
    <col min="13826" max="13832" width="5.85546875" style="9" customWidth="1"/>
    <col min="13833" max="13833" width="3.85546875" style="9" customWidth="1"/>
    <col min="13834" max="13840" width="5.85546875" style="9" customWidth="1"/>
    <col min="13841" max="13842" width="1.7109375" style="9" customWidth="1"/>
    <col min="13843" max="13847" width="5.7109375" style="9" customWidth="1"/>
    <col min="13848" max="13848" width="6.7109375" style="9" customWidth="1"/>
    <col min="13849" max="13849" width="5.85546875" style="9" customWidth="1"/>
    <col min="13850" max="13850" width="3.85546875" style="9" customWidth="1"/>
    <col min="13851" max="13855" width="5.7109375" style="9" customWidth="1"/>
    <col min="13856" max="13856" width="6.7109375" style="9" customWidth="1"/>
    <col min="13857" max="13857" width="5.85546875" style="9" customWidth="1"/>
    <col min="13858" max="13859" width="1.7109375" style="9" customWidth="1"/>
    <col min="13860" max="13874" width="5.7109375" style="9" customWidth="1"/>
    <col min="13875" max="13876" width="1.7109375" style="9" customWidth="1"/>
    <col min="13877" max="13891" width="5.7109375" style="9" customWidth="1"/>
    <col min="13892" max="13892" width="1.7109375" style="9" customWidth="1"/>
    <col min="13893" max="14080" width="5.85546875" style="9"/>
    <col min="14081" max="14081" width="1.7109375" style="9" customWidth="1"/>
    <col min="14082" max="14088" width="5.85546875" style="9" customWidth="1"/>
    <col min="14089" max="14089" width="3.85546875" style="9" customWidth="1"/>
    <col min="14090" max="14096" width="5.85546875" style="9" customWidth="1"/>
    <col min="14097" max="14098" width="1.7109375" style="9" customWidth="1"/>
    <col min="14099" max="14103" width="5.7109375" style="9" customWidth="1"/>
    <col min="14104" max="14104" width="6.7109375" style="9" customWidth="1"/>
    <col min="14105" max="14105" width="5.85546875" style="9" customWidth="1"/>
    <col min="14106" max="14106" width="3.85546875" style="9" customWidth="1"/>
    <col min="14107" max="14111" width="5.7109375" style="9" customWidth="1"/>
    <col min="14112" max="14112" width="6.7109375" style="9" customWidth="1"/>
    <col min="14113" max="14113" width="5.85546875" style="9" customWidth="1"/>
    <col min="14114" max="14115" width="1.7109375" style="9" customWidth="1"/>
    <col min="14116" max="14130" width="5.7109375" style="9" customWidth="1"/>
    <col min="14131" max="14132" width="1.7109375" style="9" customWidth="1"/>
    <col min="14133" max="14147" width="5.7109375" style="9" customWidth="1"/>
    <col min="14148" max="14148" width="1.7109375" style="9" customWidth="1"/>
    <col min="14149" max="14336" width="5.85546875" style="9"/>
    <col min="14337" max="14337" width="1.7109375" style="9" customWidth="1"/>
    <col min="14338" max="14344" width="5.85546875" style="9" customWidth="1"/>
    <col min="14345" max="14345" width="3.85546875" style="9" customWidth="1"/>
    <col min="14346" max="14352" width="5.85546875" style="9" customWidth="1"/>
    <col min="14353" max="14354" width="1.7109375" style="9" customWidth="1"/>
    <col min="14355" max="14359" width="5.7109375" style="9" customWidth="1"/>
    <col min="14360" max="14360" width="6.7109375" style="9" customWidth="1"/>
    <col min="14361" max="14361" width="5.85546875" style="9" customWidth="1"/>
    <col min="14362" max="14362" width="3.85546875" style="9" customWidth="1"/>
    <col min="14363" max="14367" width="5.7109375" style="9" customWidth="1"/>
    <col min="14368" max="14368" width="6.7109375" style="9" customWidth="1"/>
    <col min="14369" max="14369" width="5.85546875" style="9" customWidth="1"/>
    <col min="14370" max="14371" width="1.7109375" style="9" customWidth="1"/>
    <col min="14372" max="14386" width="5.7109375" style="9" customWidth="1"/>
    <col min="14387" max="14388" width="1.7109375" style="9" customWidth="1"/>
    <col min="14389" max="14403" width="5.7109375" style="9" customWidth="1"/>
    <col min="14404" max="14404" width="1.7109375" style="9" customWidth="1"/>
    <col min="14405" max="14592" width="5.85546875" style="9"/>
    <col min="14593" max="14593" width="1.7109375" style="9" customWidth="1"/>
    <col min="14594" max="14600" width="5.85546875" style="9" customWidth="1"/>
    <col min="14601" max="14601" width="3.85546875" style="9" customWidth="1"/>
    <col min="14602" max="14608" width="5.85546875" style="9" customWidth="1"/>
    <col min="14609" max="14610" width="1.7109375" style="9" customWidth="1"/>
    <col min="14611" max="14615" width="5.7109375" style="9" customWidth="1"/>
    <col min="14616" max="14616" width="6.7109375" style="9" customWidth="1"/>
    <col min="14617" max="14617" width="5.85546875" style="9" customWidth="1"/>
    <col min="14618" max="14618" width="3.85546875" style="9" customWidth="1"/>
    <col min="14619" max="14623" width="5.7109375" style="9" customWidth="1"/>
    <col min="14624" max="14624" width="6.7109375" style="9" customWidth="1"/>
    <col min="14625" max="14625" width="5.85546875" style="9" customWidth="1"/>
    <col min="14626" max="14627" width="1.7109375" style="9" customWidth="1"/>
    <col min="14628" max="14642" width="5.7109375" style="9" customWidth="1"/>
    <col min="14643" max="14644" width="1.7109375" style="9" customWidth="1"/>
    <col min="14645" max="14659" width="5.7109375" style="9" customWidth="1"/>
    <col min="14660" max="14660" width="1.7109375" style="9" customWidth="1"/>
    <col min="14661" max="14848" width="5.85546875" style="9"/>
    <col min="14849" max="14849" width="1.7109375" style="9" customWidth="1"/>
    <col min="14850" max="14856" width="5.85546875" style="9" customWidth="1"/>
    <col min="14857" max="14857" width="3.85546875" style="9" customWidth="1"/>
    <col min="14858" max="14864" width="5.85546875" style="9" customWidth="1"/>
    <col min="14865" max="14866" width="1.7109375" style="9" customWidth="1"/>
    <col min="14867" max="14871" width="5.7109375" style="9" customWidth="1"/>
    <col min="14872" max="14872" width="6.7109375" style="9" customWidth="1"/>
    <col min="14873" max="14873" width="5.85546875" style="9" customWidth="1"/>
    <col min="14874" max="14874" width="3.85546875" style="9" customWidth="1"/>
    <col min="14875" max="14879" width="5.7109375" style="9" customWidth="1"/>
    <col min="14880" max="14880" width="6.7109375" style="9" customWidth="1"/>
    <col min="14881" max="14881" width="5.85546875" style="9" customWidth="1"/>
    <col min="14882" max="14883" width="1.7109375" style="9" customWidth="1"/>
    <col min="14884" max="14898" width="5.7109375" style="9" customWidth="1"/>
    <col min="14899" max="14900" width="1.7109375" style="9" customWidth="1"/>
    <col min="14901" max="14915" width="5.7109375" style="9" customWidth="1"/>
    <col min="14916" max="14916" width="1.7109375" style="9" customWidth="1"/>
    <col min="14917" max="15104" width="5.85546875" style="9"/>
    <col min="15105" max="15105" width="1.7109375" style="9" customWidth="1"/>
    <col min="15106" max="15112" width="5.85546875" style="9" customWidth="1"/>
    <col min="15113" max="15113" width="3.85546875" style="9" customWidth="1"/>
    <col min="15114" max="15120" width="5.85546875" style="9" customWidth="1"/>
    <col min="15121" max="15122" width="1.7109375" style="9" customWidth="1"/>
    <col min="15123" max="15127" width="5.7109375" style="9" customWidth="1"/>
    <col min="15128" max="15128" width="6.7109375" style="9" customWidth="1"/>
    <col min="15129" max="15129" width="5.85546875" style="9" customWidth="1"/>
    <col min="15130" max="15130" width="3.85546875" style="9" customWidth="1"/>
    <col min="15131" max="15135" width="5.7109375" style="9" customWidth="1"/>
    <col min="15136" max="15136" width="6.7109375" style="9" customWidth="1"/>
    <col min="15137" max="15137" width="5.85546875" style="9" customWidth="1"/>
    <col min="15138" max="15139" width="1.7109375" style="9" customWidth="1"/>
    <col min="15140" max="15154" width="5.7109375" style="9" customWidth="1"/>
    <col min="15155" max="15156" width="1.7109375" style="9" customWidth="1"/>
    <col min="15157" max="15171" width="5.7109375" style="9" customWidth="1"/>
    <col min="15172" max="15172" width="1.7109375" style="9" customWidth="1"/>
    <col min="15173" max="15360" width="5.85546875" style="9"/>
    <col min="15361" max="15361" width="1.7109375" style="9" customWidth="1"/>
    <col min="15362" max="15368" width="5.85546875" style="9" customWidth="1"/>
    <col min="15369" max="15369" width="3.85546875" style="9" customWidth="1"/>
    <col min="15370" max="15376" width="5.85546875" style="9" customWidth="1"/>
    <col min="15377" max="15378" width="1.7109375" style="9" customWidth="1"/>
    <col min="15379" max="15383" width="5.7109375" style="9" customWidth="1"/>
    <col min="15384" max="15384" width="6.7109375" style="9" customWidth="1"/>
    <col min="15385" max="15385" width="5.85546875" style="9" customWidth="1"/>
    <col min="15386" max="15386" width="3.85546875" style="9" customWidth="1"/>
    <col min="15387" max="15391" width="5.7109375" style="9" customWidth="1"/>
    <col min="15392" max="15392" width="6.7109375" style="9" customWidth="1"/>
    <col min="15393" max="15393" width="5.85546875" style="9" customWidth="1"/>
    <col min="15394" max="15395" width="1.7109375" style="9" customWidth="1"/>
    <col min="15396" max="15410" width="5.7109375" style="9" customWidth="1"/>
    <col min="15411" max="15412" width="1.7109375" style="9" customWidth="1"/>
    <col min="15413" max="15427" width="5.7109375" style="9" customWidth="1"/>
    <col min="15428" max="15428" width="1.7109375" style="9" customWidth="1"/>
    <col min="15429" max="15616" width="5.85546875" style="9"/>
    <col min="15617" max="15617" width="1.7109375" style="9" customWidth="1"/>
    <col min="15618" max="15624" width="5.85546875" style="9" customWidth="1"/>
    <col min="15625" max="15625" width="3.85546875" style="9" customWidth="1"/>
    <col min="15626" max="15632" width="5.85546875" style="9" customWidth="1"/>
    <col min="15633" max="15634" width="1.7109375" style="9" customWidth="1"/>
    <col min="15635" max="15639" width="5.7109375" style="9" customWidth="1"/>
    <col min="15640" max="15640" width="6.7109375" style="9" customWidth="1"/>
    <col min="15641" max="15641" width="5.85546875" style="9" customWidth="1"/>
    <col min="15642" max="15642" width="3.85546875" style="9" customWidth="1"/>
    <col min="15643" max="15647" width="5.7109375" style="9" customWidth="1"/>
    <col min="15648" max="15648" width="6.7109375" style="9" customWidth="1"/>
    <col min="15649" max="15649" width="5.85546875" style="9" customWidth="1"/>
    <col min="15650" max="15651" width="1.7109375" style="9" customWidth="1"/>
    <col min="15652" max="15666" width="5.7109375" style="9" customWidth="1"/>
    <col min="15667" max="15668" width="1.7109375" style="9" customWidth="1"/>
    <col min="15669" max="15683" width="5.7109375" style="9" customWidth="1"/>
    <col min="15684" max="15684" width="1.7109375" style="9" customWidth="1"/>
    <col min="15685" max="15872" width="5.85546875" style="9"/>
    <col min="15873" max="15873" width="1.7109375" style="9" customWidth="1"/>
    <col min="15874" max="15880" width="5.85546875" style="9" customWidth="1"/>
    <col min="15881" max="15881" width="3.85546875" style="9" customWidth="1"/>
    <col min="15882" max="15888" width="5.85546875" style="9" customWidth="1"/>
    <col min="15889" max="15890" width="1.7109375" style="9" customWidth="1"/>
    <col min="15891" max="15895" width="5.7109375" style="9" customWidth="1"/>
    <col min="15896" max="15896" width="6.7109375" style="9" customWidth="1"/>
    <col min="15897" max="15897" width="5.85546875" style="9" customWidth="1"/>
    <col min="15898" max="15898" width="3.85546875" style="9" customWidth="1"/>
    <col min="15899" max="15903" width="5.7109375" style="9" customWidth="1"/>
    <col min="15904" max="15904" width="6.7109375" style="9" customWidth="1"/>
    <col min="15905" max="15905" width="5.85546875" style="9" customWidth="1"/>
    <col min="15906" max="15907" width="1.7109375" style="9" customWidth="1"/>
    <col min="15908" max="15922" width="5.7109375" style="9" customWidth="1"/>
    <col min="15923" max="15924" width="1.7109375" style="9" customWidth="1"/>
    <col min="15925" max="15939" width="5.7109375" style="9" customWidth="1"/>
    <col min="15940" max="15940" width="1.7109375" style="9" customWidth="1"/>
    <col min="15941" max="16128" width="5.85546875" style="9"/>
    <col min="16129" max="16129" width="1.7109375" style="9" customWidth="1"/>
    <col min="16130" max="16136" width="5.85546875" style="9" customWidth="1"/>
    <col min="16137" max="16137" width="3.85546875" style="9" customWidth="1"/>
    <col min="16138" max="16144" width="5.85546875" style="9" customWidth="1"/>
    <col min="16145" max="16146" width="1.7109375" style="9" customWidth="1"/>
    <col min="16147" max="16151" width="5.7109375" style="9" customWidth="1"/>
    <col min="16152" max="16152" width="6.7109375" style="9" customWidth="1"/>
    <col min="16153" max="16153" width="5.85546875" style="9" customWidth="1"/>
    <col min="16154" max="16154" width="3.85546875" style="9" customWidth="1"/>
    <col min="16155" max="16159" width="5.7109375" style="9" customWidth="1"/>
    <col min="16160" max="16160" width="6.7109375" style="9" customWidth="1"/>
    <col min="16161" max="16161" width="5.85546875" style="9" customWidth="1"/>
    <col min="16162" max="16163" width="1.7109375" style="9" customWidth="1"/>
    <col min="16164" max="16178" width="5.7109375" style="9" customWidth="1"/>
    <col min="16179" max="16180" width="1.7109375" style="9" customWidth="1"/>
    <col min="16181" max="16195" width="5.7109375" style="9" customWidth="1"/>
    <col min="16196" max="16196" width="1.7109375" style="9" customWidth="1"/>
    <col min="16197" max="16384" width="5.85546875" style="9"/>
  </cols>
  <sheetData>
    <row r="1" spans="1:68" ht="5.0999999999999996" customHeight="1" thickBot="1" x14ac:dyDescent="0.3">
      <c r="A1" s="4"/>
      <c r="B1" s="5"/>
      <c r="C1" s="5"/>
      <c r="D1" s="5"/>
      <c r="E1" s="5"/>
      <c r="F1" s="5"/>
      <c r="G1" s="5"/>
      <c r="H1" s="5"/>
      <c r="I1" s="6"/>
      <c r="J1" s="6"/>
      <c r="K1" s="6"/>
      <c r="L1" s="6"/>
      <c r="M1" s="6"/>
      <c r="N1" s="6"/>
      <c r="O1" s="6"/>
      <c r="P1" s="6"/>
      <c r="Q1" s="6"/>
      <c r="R1" s="7"/>
      <c r="S1" s="5"/>
      <c r="T1" s="5"/>
      <c r="U1" s="5"/>
      <c r="V1" s="5"/>
      <c r="W1" s="5"/>
      <c r="X1" s="5"/>
      <c r="Y1" s="5"/>
      <c r="Z1" s="6"/>
      <c r="AA1" s="6"/>
      <c r="AB1" s="6"/>
      <c r="AC1" s="6"/>
      <c r="AD1" s="6"/>
      <c r="AE1" s="6"/>
      <c r="AF1" s="6"/>
      <c r="AG1" s="6"/>
      <c r="AH1" s="8"/>
      <c r="AI1" s="7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8"/>
      <c r="AZ1" s="7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8"/>
    </row>
    <row r="2" spans="1:68" ht="15" customHeight="1" thickBot="1" x14ac:dyDescent="0.3">
      <c r="A2" s="10"/>
      <c r="B2" s="266" t="s">
        <v>28</v>
      </c>
      <c r="C2" s="267"/>
      <c r="D2" s="267"/>
      <c r="E2" s="267"/>
      <c r="F2" s="267"/>
      <c r="G2" s="267"/>
      <c r="H2" s="267"/>
      <c r="I2" s="267"/>
      <c r="J2" s="267"/>
      <c r="K2" s="267"/>
      <c r="L2" s="267"/>
      <c r="M2" s="267"/>
      <c r="N2" s="267"/>
      <c r="O2" s="267"/>
      <c r="P2" s="268"/>
      <c r="Q2" s="11"/>
      <c r="R2" s="12"/>
      <c r="S2" s="266" t="s">
        <v>29</v>
      </c>
      <c r="T2" s="267"/>
      <c r="U2" s="267"/>
      <c r="V2" s="267"/>
      <c r="W2" s="267"/>
      <c r="X2" s="267"/>
      <c r="Y2" s="267"/>
      <c r="Z2" s="267"/>
      <c r="AA2" s="267"/>
      <c r="AB2" s="267"/>
      <c r="AC2" s="267"/>
      <c r="AD2" s="267"/>
      <c r="AE2" s="267"/>
      <c r="AF2" s="267"/>
      <c r="AG2" s="268"/>
      <c r="AH2" s="13"/>
      <c r="AI2" s="12"/>
      <c r="AJ2" s="257" t="s">
        <v>30</v>
      </c>
      <c r="AK2" s="258"/>
      <c r="AL2" s="258"/>
      <c r="AM2" s="258"/>
      <c r="AN2" s="258"/>
      <c r="AO2" s="258"/>
      <c r="AP2" s="258"/>
      <c r="AQ2" s="258"/>
      <c r="AR2" s="258"/>
      <c r="AS2" s="258"/>
      <c r="AT2" s="258"/>
      <c r="AU2" s="258"/>
      <c r="AV2" s="258"/>
      <c r="AW2" s="258"/>
      <c r="AX2" s="259"/>
      <c r="AY2" s="13"/>
      <c r="AZ2" s="12"/>
      <c r="BA2" s="266" t="s">
        <v>31</v>
      </c>
      <c r="BB2" s="267"/>
      <c r="BC2" s="267"/>
      <c r="BD2" s="267"/>
      <c r="BE2" s="267"/>
      <c r="BF2" s="267"/>
      <c r="BG2" s="267"/>
      <c r="BH2" s="267"/>
      <c r="BI2" s="267"/>
      <c r="BJ2" s="267"/>
      <c r="BK2" s="267"/>
      <c r="BL2" s="267"/>
      <c r="BM2" s="267"/>
      <c r="BN2" s="267"/>
      <c r="BO2" s="268"/>
      <c r="BP2" s="13"/>
    </row>
    <row r="3" spans="1:68" ht="15" customHeight="1" thickBot="1" x14ac:dyDescent="0.3">
      <c r="A3" s="10"/>
      <c r="B3" s="14"/>
      <c r="C3" s="14"/>
      <c r="D3" s="14"/>
      <c r="E3" s="14"/>
      <c r="F3" s="14"/>
      <c r="G3" s="14"/>
      <c r="H3" s="14"/>
      <c r="I3" s="15"/>
      <c r="J3" s="15"/>
      <c r="K3" s="15"/>
      <c r="L3" s="15"/>
      <c r="M3" s="15"/>
      <c r="N3" s="15"/>
      <c r="O3" s="15"/>
      <c r="P3" s="15"/>
      <c r="R3" s="16"/>
      <c r="S3" s="14"/>
      <c r="T3" s="14"/>
      <c r="U3" s="14"/>
      <c r="V3" s="14"/>
      <c r="W3" s="14"/>
      <c r="X3" s="14"/>
      <c r="Y3" s="14"/>
      <c r="Z3" s="15"/>
      <c r="AA3" s="15"/>
      <c r="AB3" s="15"/>
      <c r="AC3" s="15"/>
      <c r="AD3" s="15"/>
      <c r="AE3" s="15"/>
      <c r="AF3" s="15"/>
      <c r="AG3" s="15"/>
      <c r="AH3" s="17"/>
      <c r="AI3" s="16"/>
      <c r="AJ3" s="269"/>
      <c r="AK3" s="270"/>
      <c r="AL3" s="270"/>
      <c r="AM3" s="270"/>
      <c r="AN3" s="270"/>
      <c r="AO3" s="270"/>
      <c r="AP3" s="270"/>
      <c r="AQ3" s="270"/>
      <c r="AR3" s="270"/>
      <c r="AS3" s="270"/>
      <c r="AT3" s="270"/>
      <c r="AU3" s="270"/>
      <c r="AV3" s="270"/>
      <c r="AW3" s="270"/>
      <c r="AX3" s="271"/>
      <c r="AY3" s="17"/>
      <c r="AZ3" s="16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7"/>
    </row>
    <row r="4" spans="1:68" s="23" customFormat="1" ht="15" customHeight="1" thickBot="1" x14ac:dyDescent="0.3">
      <c r="A4" s="19"/>
      <c r="B4" s="272" t="s">
        <v>32</v>
      </c>
      <c r="C4" s="273"/>
      <c r="D4" s="273"/>
      <c r="E4" s="273"/>
      <c r="F4" s="273"/>
      <c r="G4" s="273"/>
      <c r="H4" s="273"/>
      <c r="I4" s="273"/>
      <c r="J4" s="273"/>
      <c r="K4" s="273"/>
      <c r="L4" s="273"/>
      <c r="M4" s="273"/>
      <c r="N4" s="273"/>
      <c r="O4" s="273"/>
      <c r="P4" s="274"/>
      <c r="Q4" s="20"/>
      <c r="R4" s="21"/>
      <c r="S4" s="272" t="s">
        <v>33</v>
      </c>
      <c r="T4" s="281"/>
      <c r="U4" s="281"/>
      <c r="V4" s="281"/>
      <c r="W4" s="281"/>
      <c r="X4" s="281"/>
      <c r="Y4" s="281"/>
      <c r="Z4" s="281"/>
      <c r="AA4" s="281"/>
      <c r="AB4" s="281"/>
      <c r="AC4" s="281"/>
      <c r="AD4" s="281"/>
      <c r="AE4" s="281"/>
      <c r="AF4" s="281"/>
      <c r="AG4" s="282"/>
      <c r="AH4" s="22"/>
      <c r="AI4" s="21"/>
      <c r="AJ4" s="260"/>
      <c r="AK4" s="261"/>
      <c r="AL4" s="261"/>
      <c r="AM4" s="261"/>
      <c r="AN4" s="261"/>
      <c r="AO4" s="261"/>
      <c r="AP4" s="261"/>
      <c r="AQ4" s="261"/>
      <c r="AR4" s="261"/>
      <c r="AS4" s="261"/>
      <c r="AT4" s="261"/>
      <c r="AU4" s="261"/>
      <c r="AV4" s="261"/>
      <c r="AW4" s="261"/>
      <c r="AX4" s="262"/>
      <c r="AY4" s="22"/>
      <c r="AZ4" s="21"/>
      <c r="BA4" s="289" t="s">
        <v>34</v>
      </c>
      <c r="BB4" s="289"/>
      <c r="BC4" s="289"/>
      <c r="BD4" s="289"/>
      <c r="BE4" s="289"/>
      <c r="BF4" s="289"/>
      <c r="BG4" s="289"/>
      <c r="BH4" s="289"/>
      <c r="BI4" s="289"/>
      <c r="BJ4" s="289"/>
      <c r="BK4" s="289"/>
      <c r="BL4" s="289"/>
      <c r="BM4" s="289"/>
      <c r="BN4" s="289"/>
      <c r="BO4" s="289"/>
      <c r="BP4" s="22"/>
    </row>
    <row r="5" spans="1:68" s="23" customFormat="1" ht="15" customHeight="1" thickBot="1" x14ac:dyDescent="0.3">
      <c r="A5" s="19"/>
      <c r="B5" s="275"/>
      <c r="C5" s="276"/>
      <c r="D5" s="276"/>
      <c r="E5" s="276"/>
      <c r="F5" s="276"/>
      <c r="G5" s="276"/>
      <c r="H5" s="276"/>
      <c r="I5" s="276"/>
      <c r="J5" s="276"/>
      <c r="K5" s="276"/>
      <c r="L5" s="276"/>
      <c r="M5" s="276"/>
      <c r="N5" s="276"/>
      <c r="O5" s="276"/>
      <c r="P5" s="277"/>
      <c r="Q5" s="20"/>
      <c r="R5" s="21"/>
      <c r="S5" s="283"/>
      <c r="T5" s="284"/>
      <c r="U5" s="284"/>
      <c r="V5" s="284"/>
      <c r="W5" s="284"/>
      <c r="X5" s="284"/>
      <c r="Y5" s="284"/>
      <c r="Z5" s="284"/>
      <c r="AA5" s="284"/>
      <c r="AB5" s="284"/>
      <c r="AC5" s="284"/>
      <c r="AD5" s="284"/>
      <c r="AE5" s="284"/>
      <c r="AF5" s="284"/>
      <c r="AG5" s="285"/>
      <c r="AH5" s="22"/>
      <c r="AI5" s="21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2"/>
      <c r="AZ5" s="21"/>
      <c r="BA5" s="289" t="s">
        <v>35</v>
      </c>
      <c r="BB5" s="289"/>
      <c r="BC5" s="289" t="s">
        <v>36</v>
      </c>
      <c r="BD5" s="289"/>
      <c r="BE5" s="289"/>
      <c r="BF5" s="289"/>
      <c r="BG5" s="289"/>
      <c r="BH5" s="289"/>
      <c r="BI5" s="289"/>
      <c r="BJ5" s="289"/>
      <c r="BK5" s="289"/>
      <c r="BL5" s="289"/>
      <c r="BM5" s="289"/>
      <c r="BN5" s="289"/>
      <c r="BO5" s="289"/>
      <c r="BP5" s="22"/>
    </row>
    <row r="6" spans="1:68" s="23" customFormat="1" ht="15" customHeight="1" thickBot="1" x14ac:dyDescent="0.3">
      <c r="A6" s="19"/>
      <c r="B6" s="275"/>
      <c r="C6" s="276"/>
      <c r="D6" s="276"/>
      <c r="E6" s="276"/>
      <c r="F6" s="276"/>
      <c r="G6" s="276"/>
      <c r="H6" s="276"/>
      <c r="I6" s="276"/>
      <c r="J6" s="276"/>
      <c r="K6" s="276"/>
      <c r="L6" s="276"/>
      <c r="M6" s="276"/>
      <c r="N6" s="276"/>
      <c r="O6" s="276"/>
      <c r="P6" s="277"/>
      <c r="Q6" s="20"/>
      <c r="R6" s="21"/>
      <c r="S6" s="283"/>
      <c r="T6" s="284"/>
      <c r="U6" s="284"/>
      <c r="V6" s="284"/>
      <c r="W6" s="284"/>
      <c r="X6" s="284"/>
      <c r="Y6" s="284"/>
      <c r="Z6" s="284"/>
      <c r="AA6" s="284"/>
      <c r="AB6" s="284"/>
      <c r="AC6" s="284"/>
      <c r="AD6" s="284"/>
      <c r="AE6" s="284"/>
      <c r="AF6" s="284"/>
      <c r="AG6" s="285"/>
      <c r="AH6" s="22"/>
      <c r="AI6" s="21"/>
      <c r="AJ6" s="245" t="s">
        <v>37</v>
      </c>
      <c r="AK6" s="246"/>
      <c r="AL6" s="246"/>
      <c r="AM6" s="246"/>
      <c r="AN6" s="246"/>
      <c r="AO6" s="247"/>
      <c r="AP6" s="20"/>
      <c r="AQ6" s="20"/>
      <c r="AR6" s="20"/>
      <c r="AS6" s="20"/>
      <c r="AT6" s="20"/>
      <c r="AU6" s="20"/>
      <c r="AV6" s="20"/>
      <c r="AW6" s="20"/>
      <c r="AX6" s="20"/>
      <c r="AY6" s="22"/>
      <c r="AZ6" s="21"/>
      <c r="BA6" s="24"/>
      <c r="BB6" s="24"/>
      <c r="BC6" s="24" t="s">
        <v>38</v>
      </c>
      <c r="BD6" s="24"/>
      <c r="BE6" s="24"/>
      <c r="BF6" s="24"/>
      <c r="BG6" s="20"/>
      <c r="BH6" s="20"/>
      <c r="BI6" s="20"/>
      <c r="BJ6" s="20"/>
      <c r="BK6" s="20"/>
      <c r="BL6" s="20"/>
      <c r="BM6" s="20"/>
      <c r="BN6" s="20"/>
      <c r="BO6" s="20"/>
      <c r="BP6" s="22"/>
    </row>
    <row r="7" spans="1:68" s="23" customFormat="1" ht="15" customHeight="1" thickBot="1" x14ac:dyDescent="0.3">
      <c r="A7" s="19"/>
      <c r="B7" s="278"/>
      <c r="C7" s="279"/>
      <c r="D7" s="279"/>
      <c r="E7" s="279"/>
      <c r="F7" s="279"/>
      <c r="G7" s="279"/>
      <c r="H7" s="279"/>
      <c r="I7" s="279"/>
      <c r="J7" s="279"/>
      <c r="K7" s="279"/>
      <c r="L7" s="279"/>
      <c r="M7" s="279"/>
      <c r="N7" s="279"/>
      <c r="O7" s="279"/>
      <c r="P7" s="280"/>
      <c r="Q7" s="20"/>
      <c r="R7" s="21"/>
      <c r="S7" s="286"/>
      <c r="T7" s="287"/>
      <c r="U7" s="287"/>
      <c r="V7" s="287"/>
      <c r="W7" s="287"/>
      <c r="X7" s="287"/>
      <c r="Y7" s="287"/>
      <c r="Z7" s="287"/>
      <c r="AA7" s="287"/>
      <c r="AB7" s="287"/>
      <c r="AC7" s="287"/>
      <c r="AD7" s="287"/>
      <c r="AE7" s="287"/>
      <c r="AF7" s="287"/>
      <c r="AG7" s="288"/>
      <c r="AH7" s="22"/>
      <c r="AI7" s="21"/>
      <c r="AJ7" s="254" t="s">
        <v>39</v>
      </c>
      <c r="AK7" s="255"/>
      <c r="AL7" s="255"/>
      <c r="AM7" s="255"/>
      <c r="AN7" s="255"/>
      <c r="AO7" s="256"/>
      <c r="AP7" s="20"/>
      <c r="AQ7" s="20"/>
      <c r="AR7" s="20"/>
      <c r="AS7" s="20"/>
      <c r="AT7" s="20"/>
      <c r="AU7" s="20"/>
      <c r="AV7" s="20"/>
      <c r="AW7" s="20"/>
      <c r="AX7" s="20"/>
      <c r="AY7" s="22"/>
      <c r="AZ7" s="21"/>
      <c r="BA7" s="15"/>
      <c r="BB7" s="15"/>
      <c r="BC7" s="24" t="s">
        <v>40</v>
      </c>
      <c r="BD7" s="15"/>
      <c r="BE7" s="15"/>
      <c r="BF7" s="15"/>
      <c r="BG7" s="20"/>
      <c r="BH7" s="20"/>
      <c r="BI7" s="20"/>
      <c r="BJ7" s="20"/>
      <c r="BK7" s="20"/>
      <c r="BL7" s="20"/>
      <c r="BM7" s="20"/>
      <c r="BN7" s="20"/>
      <c r="BO7" s="20"/>
      <c r="BP7" s="22"/>
    </row>
    <row r="8" spans="1:68" s="23" customFormat="1" ht="15" customHeight="1" thickBot="1" x14ac:dyDescent="0.3">
      <c r="A8" s="19"/>
      <c r="B8" s="25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1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2"/>
      <c r="AI8" s="21"/>
      <c r="AJ8" s="224" t="s">
        <v>41</v>
      </c>
      <c r="AK8" s="225"/>
      <c r="AL8" s="225"/>
      <c r="AM8" s="225"/>
      <c r="AN8" s="26">
        <v>1500</v>
      </c>
      <c r="AO8" s="27" t="s">
        <v>42</v>
      </c>
      <c r="AP8" s="20"/>
      <c r="AQ8" s="20"/>
      <c r="AR8" s="20"/>
      <c r="AS8" s="20"/>
      <c r="AT8" s="20"/>
      <c r="AU8" s="20"/>
      <c r="AV8" s="20"/>
      <c r="AW8" s="20"/>
      <c r="AX8" s="20"/>
      <c r="AY8" s="22"/>
      <c r="AZ8" s="21"/>
      <c r="BA8" s="15"/>
      <c r="BB8" s="15"/>
      <c r="BC8" s="15"/>
      <c r="BD8" s="15"/>
      <c r="BE8" s="28"/>
      <c r="BF8" s="29"/>
      <c r="BG8" s="20"/>
      <c r="BH8" s="20"/>
      <c r="BI8" s="20"/>
      <c r="BJ8" s="20"/>
      <c r="BK8" s="20"/>
      <c r="BL8" s="20"/>
      <c r="BM8" s="20"/>
      <c r="BN8" s="20"/>
      <c r="BO8" s="20"/>
      <c r="BP8" s="22"/>
    </row>
    <row r="9" spans="1:68" ht="15" customHeight="1" thickBot="1" x14ac:dyDescent="0.3">
      <c r="A9" s="10"/>
      <c r="B9" s="263" t="s">
        <v>43</v>
      </c>
      <c r="C9" s="264"/>
      <c r="D9" s="264"/>
      <c r="E9" s="264"/>
      <c r="F9" s="264"/>
      <c r="G9" s="264"/>
      <c r="H9" s="265"/>
      <c r="I9" s="11"/>
      <c r="J9" s="245" t="s">
        <v>44</v>
      </c>
      <c r="K9" s="246"/>
      <c r="L9" s="246"/>
      <c r="M9" s="246"/>
      <c r="N9" s="246"/>
      <c r="O9" s="246"/>
      <c r="P9" s="247"/>
      <c r="Q9" s="11"/>
      <c r="R9" s="12"/>
      <c r="S9" s="245" t="s">
        <v>43</v>
      </c>
      <c r="T9" s="246"/>
      <c r="U9" s="246"/>
      <c r="V9" s="246"/>
      <c r="W9" s="246"/>
      <c r="X9" s="246"/>
      <c r="Y9" s="247"/>
      <c r="Z9" s="11"/>
      <c r="AA9" s="245" t="s">
        <v>44</v>
      </c>
      <c r="AB9" s="246"/>
      <c r="AC9" s="246"/>
      <c r="AD9" s="246"/>
      <c r="AE9" s="246"/>
      <c r="AF9" s="246"/>
      <c r="AG9" s="247"/>
      <c r="AH9" s="13"/>
      <c r="AI9" s="12"/>
      <c r="AJ9" s="224" t="s">
        <v>5</v>
      </c>
      <c r="AK9" s="225"/>
      <c r="AL9" s="225"/>
      <c r="AM9" s="225"/>
      <c r="AN9" s="26">
        <v>4600</v>
      </c>
      <c r="AO9" s="27" t="s">
        <v>45</v>
      </c>
      <c r="AP9" s="11"/>
      <c r="AQ9" s="11"/>
      <c r="AR9" s="11"/>
      <c r="AS9" s="11"/>
      <c r="AT9" s="11"/>
      <c r="AU9" s="11"/>
      <c r="AV9" s="11"/>
      <c r="AW9" s="11"/>
      <c r="AX9" s="11"/>
      <c r="AY9" s="13"/>
      <c r="AZ9" s="12"/>
      <c r="BE9" s="28"/>
      <c r="BF9" s="29"/>
      <c r="BG9" s="11"/>
      <c r="BH9" s="11"/>
      <c r="BI9" s="11"/>
      <c r="BJ9" s="11"/>
      <c r="BK9" s="11"/>
      <c r="BL9" s="11"/>
      <c r="BM9" s="11"/>
      <c r="BN9" s="11"/>
      <c r="BO9" s="11"/>
      <c r="BP9" s="13"/>
    </row>
    <row r="10" spans="1:68" ht="15" customHeight="1" x14ac:dyDescent="0.25">
      <c r="A10" s="10"/>
      <c r="B10" s="222" t="s">
        <v>46</v>
      </c>
      <c r="C10" s="223"/>
      <c r="D10" s="223"/>
      <c r="E10" s="223"/>
      <c r="F10" s="223"/>
      <c r="G10" s="30">
        <v>35</v>
      </c>
      <c r="H10" s="31" t="s">
        <v>47</v>
      </c>
      <c r="I10" s="29"/>
      <c r="J10" s="222" t="s">
        <v>46</v>
      </c>
      <c r="K10" s="223"/>
      <c r="L10" s="223"/>
      <c r="M10" s="223"/>
      <c r="N10" s="223"/>
      <c r="O10" s="30">
        <v>50</v>
      </c>
      <c r="P10" s="31" t="s">
        <v>47</v>
      </c>
      <c r="Q10" s="29"/>
      <c r="R10" s="32"/>
      <c r="S10" s="236" t="s">
        <v>46</v>
      </c>
      <c r="T10" s="237"/>
      <c r="U10" s="237"/>
      <c r="V10" s="237"/>
      <c r="W10" s="238"/>
      <c r="X10" s="30">
        <v>35</v>
      </c>
      <c r="Y10" s="31" t="s">
        <v>47</v>
      </c>
      <c r="Z10" s="29"/>
      <c r="AA10" s="236" t="s">
        <v>46</v>
      </c>
      <c r="AB10" s="237"/>
      <c r="AC10" s="237"/>
      <c r="AD10" s="237"/>
      <c r="AE10" s="238"/>
      <c r="AF10" s="30">
        <v>50</v>
      </c>
      <c r="AG10" s="31" t="s">
        <v>47</v>
      </c>
      <c r="AH10" s="33"/>
      <c r="AI10" s="32"/>
      <c r="AJ10" s="224" t="s">
        <v>41</v>
      </c>
      <c r="AK10" s="225"/>
      <c r="AL10" s="225"/>
      <c r="AM10" s="225"/>
      <c r="AN10" s="26">
        <f>AN8*0.7457</f>
        <v>1118.55</v>
      </c>
      <c r="AO10" s="27" t="s">
        <v>48</v>
      </c>
      <c r="AP10" s="29"/>
      <c r="AQ10" s="29"/>
      <c r="AR10" s="29"/>
      <c r="AS10" s="29"/>
      <c r="AT10" s="29"/>
      <c r="AU10" s="29"/>
      <c r="AV10" s="29"/>
      <c r="AW10" s="29"/>
      <c r="AX10" s="29"/>
      <c r="AY10" s="33"/>
      <c r="AZ10" s="32"/>
      <c r="BE10" s="28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33"/>
    </row>
    <row r="11" spans="1:68" ht="15" customHeight="1" x14ac:dyDescent="0.25">
      <c r="A11" s="10"/>
      <c r="B11" s="224" t="s">
        <v>49</v>
      </c>
      <c r="C11" s="225"/>
      <c r="D11" s="225"/>
      <c r="E11" s="225"/>
      <c r="F11" s="225"/>
      <c r="G11" s="34">
        <v>180</v>
      </c>
      <c r="H11" s="27" t="s">
        <v>50</v>
      </c>
      <c r="I11" s="29"/>
      <c r="J11" s="224" t="s">
        <v>49</v>
      </c>
      <c r="K11" s="225"/>
      <c r="L11" s="225"/>
      <c r="M11" s="225"/>
      <c r="N11" s="225"/>
      <c r="O11" s="34">
        <v>212</v>
      </c>
      <c r="P11" s="27" t="s">
        <v>50</v>
      </c>
      <c r="Q11" s="29"/>
      <c r="R11" s="32"/>
      <c r="S11" s="35" t="s">
        <v>51</v>
      </c>
      <c r="T11" s="36"/>
      <c r="U11" s="36"/>
      <c r="V11" s="36"/>
      <c r="W11" s="37"/>
      <c r="X11" s="26">
        <v>11132</v>
      </c>
      <c r="Y11" s="27" t="s">
        <v>52</v>
      </c>
      <c r="Z11" s="29"/>
      <c r="AA11" s="35" t="s">
        <v>51</v>
      </c>
      <c r="AB11" s="36"/>
      <c r="AC11" s="36"/>
      <c r="AD11" s="36"/>
      <c r="AE11" s="37"/>
      <c r="AF11" s="26">
        <v>9958</v>
      </c>
      <c r="AG11" s="27" t="s">
        <v>52</v>
      </c>
      <c r="AH11" s="33"/>
      <c r="AI11" s="32"/>
      <c r="AJ11" s="224" t="s">
        <v>53</v>
      </c>
      <c r="AK11" s="225"/>
      <c r="AL11" s="225"/>
      <c r="AM11" s="225"/>
      <c r="AN11" s="38">
        <v>80</v>
      </c>
      <c r="AO11" s="27" t="s">
        <v>54</v>
      </c>
      <c r="AP11" s="29"/>
      <c r="AQ11" s="29"/>
      <c r="AR11" s="29"/>
      <c r="AS11" s="29"/>
      <c r="AT11" s="29"/>
      <c r="AU11" s="29"/>
      <c r="AV11" s="29"/>
      <c r="AW11" s="29"/>
      <c r="AX11" s="29"/>
      <c r="AY11" s="33"/>
      <c r="AZ11" s="32"/>
      <c r="BE11" s="39"/>
      <c r="BF11" s="29"/>
      <c r="BG11" s="29"/>
      <c r="BH11" s="29"/>
      <c r="BI11" s="29"/>
      <c r="BJ11" s="29"/>
      <c r="BK11" s="29"/>
      <c r="BL11" s="29"/>
      <c r="BM11" s="29"/>
      <c r="BN11" s="29"/>
      <c r="BO11" s="29"/>
      <c r="BP11" s="33"/>
    </row>
    <row r="12" spans="1:68" ht="15" customHeight="1" x14ac:dyDescent="0.25">
      <c r="A12" s="10"/>
      <c r="B12" s="224" t="s">
        <v>55</v>
      </c>
      <c r="C12" s="225"/>
      <c r="D12" s="225"/>
      <c r="E12" s="225"/>
      <c r="F12" s="225"/>
      <c r="G12" s="38">
        <f>G11/1.2</f>
        <v>150</v>
      </c>
      <c r="H12" s="27" t="s">
        <v>50</v>
      </c>
      <c r="I12" s="29"/>
      <c r="J12" s="224" t="s">
        <v>55</v>
      </c>
      <c r="K12" s="225"/>
      <c r="L12" s="225"/>
      <c r="M12" s="225"/>
      <c r="N12" s="225"/>
      <c r="O12" s="38">
        <f>O11/1.2</f>
        <v>176.66666666666669</v>
      </c>
      <c r="P12" s="27" t="s">
        <v>50</v>
      </c>
      <c r="Q12" s="29"/>
      <c r="R12" s="32"/>
      <c r="S12" s="35" t="s">
        <v>56</v>
      </c>
      <c r="T12" s="36"/>
      <c r="U12" s="36"/>
      <c r="V12" s="36"/>
      <c r="W12" s="37"/>
      <c r="X12" s="40">
        <f>0.67*0.8035</f>
        <v>0.53834500000000007</v>
      </c>
      <c r="Y12" s="27" t="s">
        <v>52</v>
      </c>
      <c r="Z12" s="29"/>
      <c r="AA12" s="35" t="s">
        <v>56</v>
      </c>
      <c r="AB12" s="36"/>
      <c r="AC12" s="36"/>
      <c r="AD12" s="36"/>
      <c r="AE12" s="37"/>
      <c r="AF12" s="40">
        <f>0.495*0.8035</f>
        <v>0.39773249999999999</v>
      </c>
      <c r="AG12" s="27" t="s">
        <v>52</v>
      </c>
      <c r="AH12" s="33"/>
      <c r="AI12" s="32"/>
      <c r="AJ12" s="224" t="s">
        <v>57</v>
      </c>
      <c r="AK12" s="225"/>
      <c r="AL12" s="225"/>
      <c r="AM12" s="225"/>
      <c r="AN12" s="38">
        <v>90</v>
      </c>
      <c r="AO12" s="27" t="s">
        <v>54</v>
      </c>
      <c r="AP12" s="29"/>
      <c r="AQ12" s="29"/>
      <c r="AR12" s="29"/>
      <c r="AS12" s="29"/>
      <c r="AT12" s="29"/>
      <c r="AU12" s="29"/>
      <c r="AV12" s="29"/>
      <c r="AW12" s="29"/>
      <c r="AX12" s="29"/>
      <c r="AY12" s="33"/>
      <c r="AZ12" s="32"/>
      <c r="BE12" s="39"/>
      <c r="BF12" s="29"/>
      <c r="BG12" s="29"/>
      <c r="BH12" s="29"/>
      <c r="BI12" s="29"/>
      <c r="BJ12" s="29"/>
      <c r="BK12" s="29"/>
      <c r="BL12" s="29"/>
      <c r="BM12" s="29"/>
      <c r="BN12" s="29"/>
      <c r="BO12" s="29"/>
      <c r="BP12" s="33"/>
    </row>
    <row r="13" spans="1:68" ht="15" customHeight="1" thickBot="1" x14ac:dyDescent="0.3">
      <c r="A13" s="10"/>
      <c r="B13" s="220" t="s">
        <v>58</v>
      </c>
      <c r="C13" s="221"/>
      <c r="D13" s="221"/>
      <c r="E13" s="221"/>
      <c r="F13" s="221"/>
      <c r="G13" s="41">
        <f>G11*0.87</f>
        <v>156.6</v>
      </c>
      <c r="H13" s="42" t="s">
        <v>50</v>
      </c>
      <c r="I13" s="29"/>
      <c r="J13" s="220" t="s">
        <v>58</v>
      </c>
      <c r="K13" s="221"/>
      <c r="L13" s="221"/>
      <c r="M13" s="221"/>
      <c r="N13" s="221"/>
      <c r="O13" s="41">
        <f>O11*0.87</f>
        <v>184.44</v>
      </c>
      <c r="P13" s="42" t="s">
        <v>50</v>
      </c>
      <c r="Q13" s="43"/>
      <c r="R13" s="44"/>
      <c r="S13" s="233" t="s">
        <v>59</v>
      </c>
      <c r="T13" s="234"/>
      <c r="U13" s="234"/>
      <c r="V13" s="234"/>
      <c r="W13" s="235"/>
      <c r="X13" s="45">
        <v>0.157</v>
      </c>
      <c r="Y13" s="46" t="s">
        <v>52</v>
      </c>
      <c r="Z13" s="29"/>
      <c r="AA13" s="233" t="s">
        <v>59</v>
      </c>
      <c r="AB13" s="234"/>
      <c r="AC13" s="234"/>
      <c r="AD13" s="234"/>
      <c r="AE13" s="235"/>
      <c r="AF13" s="45">
        <v>0.14899999999999999</v>
      </c>
      <c r="AG13" s="46" t="s">
        <v>52</v>
      </c>
      <c r="AH13" s="47"/>
      <c r="AI13" s="44"/>
      <c r="AJ13" s="224" t="s">
        <v>60</v>
      </c>
      <c r="AK13" s="225"/>
      <c r="AL13" s="225"/>
      <c r="AM13" s="225"/>
      <c r="AN13" s="26">
        <f>AN10/AN11/AN12*10000</f>
        <v>1553.5416666666665</v>
      </c>
      <c r="AO13" s="27" t="s">
        <v>61</v>
      </c>
      <c r="AP13" s="43"/>
      <c r="AQ13" s="43"/>
      <c r="AR13" s="43"/>
      <c r="AS13" s="43"/>
      <c r="AT13" s="43"/>
      <c r="AU13" s="43"/>
      <c r="AV13" s="43"/>
      <c r="AW13" s="43"/>
      <c r="AX13" s="43"/>
      <c r="AY13" s="47"/>
      <c r="AZ13" s="44"/>
      <c r="BE13" s="28"/>
      <c r="BF13" s="29"/>
      <c r="BG13" s="43"/>
      <c r="BH13" s="43"/>
      <c r="BI13" s="43"/>
      <c r="BJ13" s="43"/>
      <c r="BK13" s="43"/>
      <c r="BL13" s="43"/>
      <c r="BM13" s="43"/>
      <c r="BN13" s="43"/>
      <c r="BO13" s="43"/>
      <c r="BP13" s="47"/>
    </row>
    <row r="14" spans="1:68" ht="15" customHeight="1" x14ac:dyDescent="0.25">
      <c r="A14" s="10"/>
      <c r="B14" s="220" t="s">
        <v>62</v>
      </c>
      <c r="C14" s="221"/>
      <c r="D14" s="221"/>
      <c r="E14" s="221"/>
      <c r="F14" s="221"/>
      <c r="G14" s="41">
        <f>G13/1.2</f>
        <v>130.5</v>
      </c>
      <c r="H14" s="42" t="s">
        <v>50</v>
      </c>
      <c r="I14" s="29"/>
      <c r="J14" s="220" t="s">
        <v>62</v>
      </c>
      <c r="K14" s="221"/>
      <c r="L14" s="221"/>
      <c r="M14" s="221"/>
      <c r="N14" s="221"/>
      <c r="O14" s="41">
        <f>O13/1.2</f>
        <v>153.70000000000002</v>
      </c>
      <c r="P14" s="42" t="s">
        <v>50</v>
      </c>
      <c r="Q14" s="43"/>
      <c r="R14" s="44"/>
      <c r="S14" s="230">
        <v>60</v>
      </c>
      <c r="T14" s="230"/>
      <c r="U14" s="230"/>
      <c r="V14" s="230"/>
      <c r="W14" s="230"/>
      <c r="X14" s="48"/>
      <c r="Y14" s="29"/>
      <c r="Z14" s="29"/>
      <c r="AA14" s="230"/>
      <c r="AB14" s="230"/>
      <c r="AC14" s="230"/>
      <c r="AD14" s="230"/>
      <c r="AE14" s="230"/>
      <c r="AF14" s="48"/>
      <c r="AG14" s="29"/>
      <c r="AH14" s="47"/>
      <c r="AI14" s="44"/>
      <c r="AJ14" s="224" t="s">
        <v>63</v>
      </c>
      <c r="AK14" s="225"/>
      <c r="AL14" s="225"/>
      <c r="AM14" s="225"/>
      <c r="AN14" s="49">
        <f>AN13/SQRT(3)/AN9*1000</f>
        <v>194.98645640158691</v>
      </c>
      <c r="AO14" s="27" t="s">
        <v>50</v>
      </c>
      <c r="AP14" s="43"/>
      <c r="AQ14" s="43"/>
      <c r="AR14" s="43"/>
      <c r="AS14" s="43"/>
      <c r="AT14" s="43"/>
      <c r="AU14" s="43"/>
      <c r="AV14" s="43"/>
      <c r="AW14" s="43"/>
      <c r="AX14" s="43"/>
      <c r="AY14" s="47"/>
      <c r="AZ14" s="44"/>
      <c r="BE14" s="50"/>
      <c r="BF14" s="29"/>
      <c r="BG14" s="43"/>
      <c r="BH14" s="43"/>
      <c r="BI14" s="43"/>
      <c r="BJ14" s="43"/>
      <c r="BK14" s="43"/>
      <c r="BL14" s="43"/>
      <c r="BM14" s="43"/>
      <c r="BN14" s="43"/>
      <c r="BO14" s="43"/>
      <c r="BP14" s="47"/>
    </row>
    <row r="15" spans="1:68" ht="15" customHeight="1" x14ac:dyDescent="0.25">
      <c r="A15" s="10"/>
      <c r="B15" s="231" t="s">
        <v>64</v>
      </c>
      <c r="C15" s="232"/>
      <c r="D15" s="232"/>
      <c r="E15" s="232"/>
      <c r="F15" s="232"/>
      <c r="G15" s="51">
        <f>G11*0.76</f>
        <v>136.80000000000001</v>
      </c>
      <c r="H15" s="52" t="s">
        <v>50</v>
      </c>
      <c r="I15" s="29"/>
      <c r="J15" s="231" t="s">
        <v>64</v>
      </c>
      <c r="K15" s="232"/>
      <c r="L15" s="232"/>
      <c r="M15" s="232"/>
      <c r="N15" s="232"/>
      <c r="O15" s="51">
        <f>O11*0.76</f>
        <v>161.12</v>
      </c>
      <c r="P15" s="52" t="s">
        <v>50</v>
      </c>
      <c r="Q15" s="53"/>
      <c r="R15" s="54"/>
      <c r="S15" s="14"/>
      <c r="T15" s="14"/>
      <c r="U15" s="14" t="s">
        <v>146</v>
      </c>
      <c r="V15" s="14">
        <v>0.5</v>
      </c>
      <c r="W15" s="14"/>
      <c r="X15" s="48"/>
      <c r="Y15" s="29"/>
      <c r="Z15" s="29"/>
      <c r="AA15" s="14"/>
      <c r="AB15" s="14"/>
      <c r="AC15" s="14"/>
      <c r="AD15" s="14"/>
      <c r="AE15" s="14"/>
      <c r="AF15" s="48"/>
      <c r="AG15" s="29"/>
      <c r="AH15" s="55"/>
      <c r="AI15" s="54"/>
      <c r="AJ15" s="224" t="s">
        <v>65</v>
      </c>
      <c r="AK15" s="225"/>
      <c r="AL15" s="225"/>
      <c r="AM15" s="225"/>
      <c r="AN15" s="26">
        <f>AN10/AN12*100</f>
        <v>1242.8333333333333</v>
      </c>
      <c r="AO15" s="27" t="s">
        <v>48</v>
      </c>
      <c r="AP15" s="53"/>
      <c r="AQ15" s="53"/>
      <c r="AR15" s="53"/>
      <c r="AS15" s="53"/>
      <c r="AT15" s="53"/>
      <c r="AU15" s="53"/>
      <c r="AV15" s="53"/>
      <c r="AW15" s="53"/>
      <c r="AX15" s="53"/>
      <c r="AY15" s="55"/>
      <c r="AZ15" s="54"/>
      <c r="BE15" s="28"/>
      <c r="BF15" s="29"/>
      <c r="BG15" s="53"/>
      <c r="BH15" s="53"/>
      <c r="BI15" s="53"/>
      <c r="BJ15" s="53"/>
      <c r="BK15" s="53"/>
      <c r="BL15" s="53"/>
      <c r="BM15" s="53"/>
      <c r="BN15" s="53"/>
      <c r="BO15" s="53"/>
      <c r="BP15" s="55"/>
    </row>
    <row r="16" spans="1:68" ht="15" customHeight="1" thickBot="1" x14ac:dyDescent="0.3">
      <c r="A16" s="10"/>
      <c r="B16" s="218" t="s">
        <v>66</v>
      </c>
      <c r="C16" s="219"/>
      <c r="D16" s="219"/>
      <c r="E16" s="219"/>
      <c r="F16" s="219"/>
      <c r="G16" s="56">
        <f>G15/1.2</f>
        <v>114.00000000000001</v>
      </c>
      <c r="H16" s="57" t="s">
        <v>50</v>
      </c>
      <c r="I16" s="29"/>
      <c r="J16" s="218" t="s">
        <v>66</v>
      </c>
      <c r="K16" s="219"/>
      <c r="L16" s="219"/>
      <c r="M16" s="219"/>
      <c r="N16" s="219"/>
      <c r="O16" s="56">
        <f>O15/1.2</f>
        <v>134.26666666666668</v>
      </c>
      <c r="P16" s="57" t="s">
        <v>50</v>
      </c>
      <c r="Q16" s="53"/>
      <c r="R16" s="54"/>
      <c r="S16" s="14"/>
      <c r="T16" s="14"/>
      <c r="U16" s="14" t="s">
        <v>145</v>
      </c>
      <c r="V16" s="14">
        <f>2*PI()*60*V15</f>
        <v>188.49555921538757</v>
      </c>
      <c r="W16" s="14"/>
      <c r="X16" s="48">
        <f>V16/2/PI()/60</f>
        <v>0.49999999999999994</v>
      </c>
      <c r="Y16" s="29">
        <f>2*PI()*100*X16</f>
        <v>314.15926535897927</v>
      </c>
      <c r="Z16" s="29"/>
      <c r="AA16" s="14"/>
      <c r="AB16" s="14">
        <f>V16*100/60</f>
        <v>314.15926535897933</v>
      </c>
      <c r="AC16" s="14"/>
      <c r="AD16" s="14"/>
      <c r="AE16" s="14"/>
      <c r="AF16" s="48"/>
      <c r="AG16" s="29"/>
      <c r="AH16" s="55"/>
      <c r="AI16" s="54"/>
      <c r="AJ16" s="248" t="s">
        <v>67</v>
      </c>
      <c r="AK16" s="249"/>
      <c r="AL16" s="249"/>
      <c r="AM16" s="249"/>
      <c r="AN16" s="58">
        <f>SQRT(AN13^2-AN15^2)</f>
        <v>932.12499999999989</v>
      </c>
      <c r="AO16" s="46" t="s">
        <v>68</v>
      </c>
      <c r="AP16" s="53"/>
      <c r="AQ16" s="53"/>
      <c r="AR16" s="53"/>
      <c r="AS16" s="53"/>
      <c r="AT16" s="53"/>
      <c r="AU16" s="53"/>
      <c r="AV16" s="53"/>
      <c r="AW16" s="53"/>
      <c r="AX16" s="53"/>
      <c r="AY16" s="55"/>
      <c r="AZ16" s="54"/>
      <c r="BE16" s="59"/>
      <c r="BF16" s="29"/>
      <c r="BG16" s="53"/>
      <c r="BH16" s="53"/>
      <c r="BI16" s="53"/>
      <c r="BJ16" s="53"/>
      <c r="BK16" s="53"/>
      <c r="BL16" s="53"/>
      <c r="BM16" s="53"/>
      <c r="BN16" s="53"/>
      <c r="BO16" s="53"/>
      <c r="BP16" s="55"/>
    </row>
    <row r="17" spans="1:68" ht="15" customHeight="1" thickBot="1" x14ac:dyDescent="0.3">
      <c r="A17" s="10"/>
      <c r="B17" s="216" t="s">
        <v>158</v>
      </c>
      <c r="C17" s="217"/>
      <c r="D17" s="217"/>
      <c r="E17" s="217"/>
      <c r="F17" s="217"/>
      <c r="G17" s="191">
        <f>G11*0.708</f>
        <v>127.44</v>
      </c>
      <c r="H17" s="190" t="s">
        <v>50</v>
      </c>
      <c r="I17" s="29"/>
      <c r="J17" s="216" t="s">
        <v>158</v>
      </c>
      <c r="K17" s="217"/>
      <c r="L17" s="217"/>
      <c r="M17" s="217"/>
      <c r="N17" s="217"/>
      <c r="O17" s="191">
        <f>O11*0.708</f>
        <v>150.096</v>
      </c>
      <c r="P17" s="190" t="s">
        <v>50</v>
      </c>
      <c r="Q17" s="29"/>
      <c r="R17" s="32"/>
      <c r="S17" s="14"/>
      <c r="T17" s="14"/>
      <c r="U17" s="14"/>
      <c r="V17" s="14"/>
      <c r="W17" s="14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33"/>
      <c r="AI17" s="32"/>
      <c r="AJ17" s="29"/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29"/>
      <c r="AX17" s="29"/>
      <c r="AY17" s="33"/>
      <c r="AZ17" s="32"/>
      <c r="BA17" s="29"/>
      <c r="BB17" s="29"/>
      <c r="BC17" s="29"/>
      <c r="BD17" s="29"/>
      <c r="BE17" s="29"/>
      <c r="BF17" s="29"/>
      <c r="BG17" s="29"/>
      <c r="BH17" s="29"/>
      <c r="BI17" s="29"/>
      <c r="BJ17" s="29"/>
      <c r="BK17" s="29"/>
      <c r="BL17" s="29"/>
      <c r="BM17" s="29"/>
      <c r="BN17" s="29"/>
      <c r="BO17" s="29"/>
      <c r="BP17" s="33"/>
    </row>
    <row r="18" spans="1:68" ht="15" customHeight="1" thickBot="1" x14ac:dyDescent="0.3">
      <c r="A18" s="10"/>
      <c r="B18" s="245" t="s">
        <v>69</v>
      </c>
      <c r="C18" s="246"/>
      <c r="D18" s="246"/>
      <c r="E18" s="246"/>
      <c r="F18" s="246"/>
      <c r="G18" s="246"/>
      <c r="H18" s="247"/>
      <c r="I18" s="11"/>
      <c r="J18" s="245" t="s">
        <v>70</v>
      </c>
      <c r="K18" s="246"/>
      <c r="L18" s="246"/>
      <c r="M18" s="246"/>
      <c r="N18" s="246"/>
      <c r="O18" s="246"/>
      <c r="P18" s="247"/>
      <c r="Q18" s="11"/>
      <c r="R18" s="12"/>
      <c r="S18" s="245" t="s">
        <v>69</v>
      </c>
      <c r="T18" s="246"/>
      <c r="U18" s="246"/>
      <c r="V18" s="246"/>
      <c r="W18" s="246"/>
      <c r="X18" s="246"/>
      <c r="Y18" s="247"/>
      <c r="Z18" s="11"/>
      <c r="AA18" s="245" t="s">
        <v>70</v>
      </c>
      <c r="AB18" s="246"/>
      <c r="AC18" s="246"/>
      <c r="AD18" s="246"/>
      <c r="AE18" s="246"/>
      <c r="AF18" s="246"/>
      <c r="AG18" s="247"/>
      <c r="AH18" s="13"/>
      <c r="AI18" s="12"/>
      <c r="AJ18" s="257" t="s">
        <v>71</v>
      </c>
      <c r="AK18" s="258"/>
      <c r="AL18" s="258"/>
      <c r="AM18" s="258"/>
      <c r="AN18" s="258"/>
      <c r="AO18" s="258"/>
      <c r="AP18" s="258"/>
      <c r="AQ18" s="258"/>
      <c r="AR18" s="258"/>
      <c r="AS18" s="258"/>
      <c r="AT18" s="258"/>
      <c r="AU18" s="258"/>
      <c r="AV18" s="258"/>
      <c r="AW18" s="258"/>
      <c r="AX18" s="259"/>
      <c r="AY18" s="13"/>
      <c r="AZ18" s="12"/>
      <c r="BA18" s="18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3"/>
    </row>
    <row r="19" spans="1:68" ht="15" customHeight="1" thickBot="1" x14ac:dyDescent="0.3">
      <c r="A19" s="10"/>
      <c r="B19" s="222" t="s">
        <v>46</v>
      </c>
      <c r="C19" s="223"/>
      <c r="D19" s="223"/>
      <c r="E19" s="223"/>
      <c r="F19" s="223"/>
      <c r="G19" s="30">
        <v>70</v>
      </c>
      <c r="H19" s="31" t="s">
        <v>47</v>
      </c>
      <c r="I19" s="29"/>
      <c r="J19" s="222" t="s">
        <v>46</v>
      </c>
      <c r="K19" s="223"/>
      <c r="L19" s="223"/>
      <c r="M19" s="223"/>
      <c r="N19" s="223"/>
      <c r="O19" s="30">
        <v>95</v>
      </c>
      <c r="P19" s="31" t="s">
        <v>47</v>
      </c>
      <c r="Q19" s="29"/>
      <c r="R19" s="32"/>
      <c r="S19" s="236" t="s">
        <v>46</v>
      </c>
      <c r="T19" s="237"/>
      <c r="U19" s="237"/>
      <c r="V19" s="237"/>
      <c r="W19" s="238"/>
      <c r="X19" s="30">
        <v>70</v>
      </c>
      <c r="Y19" s="31" t="s">
        <v>47</v>
      </c>
      <c r="Z19" s="29"/>
      <c r="AA19" s="236" t="s">
        <v>46</v>
      </c>
      <c r="AB19" s="237"/>
      <c r="AC19" s="237"/>
      <c r="AD19" s="237"/>
      <c r="AE19" s="238"/>
      <c r="AF19" s="30">
        <v>95</v>
      </c>
      <c r="AG19" s="31" t="s">
        <v>47</v>
      </c>
      <c r="AH19" s="33"/>
      <c r="AI19" s="32"/>
      <c r="AJ19" s="260"/>
      <c r="AK19" s="261"/>
      <c r="AL19" s="261"/>
      <c r="AM19" s="261"/>
      <c r="AN19" s="261"/>
      <c r="AO19" s="261"/>
      <c r="AP19" s="261"/>
      <c r="AQ19" s="261"/>
      <c r="AR19" s="261"/>
      <c r="AS19" s="261"/>
      <c r="AT19" s="261"/>
      <c r="AU19" s="261"/>
      <c r="AV19" s="261"/>
      <c r="AW19" s="261"/>
      <c r="AX19" s="262"/>
      <c r="AY19" s="33"/>
      <c r="AZ19" s="32"/>
      <c r="BA19" s="18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33"/>
    </row>
    <row r="20" spans="1:68" ht="15" customHeight="1" thickBot="1" x14ac:dyDescent="0.3">
      <c r="A20" s="10"/>
      <c r="B20" s="224" t="s">
        <v>49</v>
      </c>
      <c r="C20" s="225"/>
      <c r="D20" s="225"/>
      <c r="E20" s="225"/>
      <c r="F20" s="225"/>
      <c r="G20" s="34">
        <v>258</v>
      </c>
      <c r="H20" s="27" t="s">
        <v>50</v>
      </c>
      <c r="I20" s="29"/>
      <c r="J20" s="224" t="s">
        <v>49</v>
      </c>
      <c r="K20" s="225"/>
      <c r="L20" s="225"/>
      <c r="M20" s="225"/>
      <c r="N20" s="225"/>
      <c r="O20" s="34">
        <v>306</v>
      </c>
      <c r="P20" s="27" t="s">
        <v>50</v>
      </c>
      <c r="Q20" s="29"/>
      <c r="R20" s="32"/>
      <c r="S20" s="35" t="s">
        <v>51</v>
      </c>
      <c r="T20" s="36"/>
      <c r="U20" s="36"/>
      <c r="V20" s="36"/>
      <c r="W20" s="37"/>
      <c r="X20" s="26">
        <v>8949</v>
      </c>
      <c r="Y20" s="27" t="s">
        <v>52</v>
      </c>
      <c r="Z20" s="29"/>
      <c r="AA20" s="35" t="s">
        <v>51</v>
      </c>
      <c r="AB20" s="36"/>
      <c r="AC20" s="36"/>
      <c r="AD20" s="36"/>
      <c r="AE20" s="37"/>
      <c r="AF20" s="26">
        <v>8025</v>
      </c>
      <c r="AG20" s="27" t="s">
        <v>52</v>
      </c>
      <c r="AH20" s="33"/>
      <c r="AI20" s="32"/>
      <c r="AJ20" s="20"/>
      <c r="AK20" s="20"/>
      <c r="AL20" s="20"/>
      <c r="AM20" s="20"/>
      <c r="AN20" s="20"/>
      <c r="AO20" s="29"/>
      <c r="AP20" s="29"/>
      <c r="AQ20" s="29"/>
      <c r="AR20" s="29"/>
      <c r="AS20" s="29"/>
      <c r="AT20" s="29"/>
      <c r="AU20" s="29"/>
      <c r="AV20" s="29"/>
      <c r="AW20" s="29"/>
      <c r="AX20" s="29"/>
      <c r="AY20" s="33"/>
      <c r="AZ20" s="32"/>
      <c r="BA20" s="20"/>
      <c r="BB20" s="20"/>
      <c r="BC20" s="20"/>
      <c r="BD20" s="20"/>
      <c r="BE20" s="20"/>
      <c r="BF20" s="29"/>
      <c r="BG20" s="29"/>
      <c r="BH20" s="29"/>
      <c r="BI20" s="29"/>
      <c r="BJ20" s="29"/>
      <c r="BK20" s="29"/>
      <c r="BL20" s="29"/>
      <c r="BM20" s="29"/>
      <c r="BN20" s="29"/>
      <c r="BO20" s="29"/>
      <c r="BP20" s="33"/>
    </row>
    <row r="21" spans="1:68" ht="15" customHeight="1" thickBot="1" x14ac:dyDescent="0.3">
      <c r="A21" s="10"/>
      <c r="B21" s="224" t="s">
        <v>55</v>
      </c>
      <c r="C21" s="225"/>
      <c r="D21" s="225"/>
      <c r="E21" s="225"/>
      <c r="F21" s="225"/>
      <c r="G21" s="38">
        <f>G20/1.2</f>
        <v>215</v>
      </c>
      <c r="H21" s="27" t="s">
        <v>50</v>
      </c>
      <c r="I21" s="29"/>
      <c r="J21" s="224" t="s">
        <v>55</v>
      </c>
      <c r="K21" s="225"/>
      <c r="L21" s="225"/>
      <c r="M21" s="225"/>
      <c r="N21" s="225"/>
      <c r="O21" s="38">
        <f>O20/1.2</f>
        <v>255</v>
      </c>
      <c r="P21" s="27" t="s">
        <v>50</v>
      </c>
      <c r="Q21" s="29"/>
      <c r="R21" s="44"/>
      <c r="S21" s="35" t="s">
        <v>56</v>
      </c>
      <c r="T21" s="36"/>
      <c r="U21" s="36"/>
      <c r="V21" s="36"/>
      <c r="W21" s="37"/>
      <c r="X21" s="40">
        <f>0.343*0.8035</f>
        <v>0.27560050000000003</v>
      </c>
      <c r="Y21" s="27" t="s">
        <v>52</v>
      </c>
      <c r="Z21" s="29"/>
      <c r="AA21" s="35" t="s">
        <v>56</v>
      </c>
      <c r="AB21" s="36"/>
      <c r="AC21" s="36"/>
      <c r="AD21" s="36"/>
      <c r="AE21" s="37"/>
      <c r="AF21" s="40">
        <f>0.248*0.8035</f>
        <v>0.199268</v>
      </c>
      <c r="AG21" s="27" t="s">
        <v>52</v>
      </c>
      <c r="AH21" s="47"/>
      <c r="AI21" s="32"/>
      <c r="AJ21" s="245" t="s">
        <v>72</v>
      </c>
      <c r="AK21" s="246"/>
      <c r="AL21" s="246"/>
      <c r="AM21" s="246"/>
      <c r="AN21" s="247"/>
      <c r="AO21" s="29"/>
      <c r="AP21" s="245" t="s">
        <v>73</v>
      </c>
      <c r="AQ21" s="246"/>
      <c r="AR21" s="246"/>
      <c r="AS21" s="246"/>
      <c r="AT21" s="247"/>
      <c r="AU21" s="29"/>
      <c r="AV21" s="29"/>
      <c r="AW21" s="29"/>
      <c r="AX21" s="29"/>
      <c r="AY21" s="33"/>
      <c r="AZ21" s="32"/>
      <c r="BA21" s="24"/>
      <c r="BB21" s="24"/>
      <c r="BC21" s="24"/>
      <c r="BD21" s="24"/>
      <c r="BE21" s="24"/>
      <c r="BF21" s="29"/>
      <c r="BG21" s="24"/>
      <c r="BH21" s="24"/>
      <c r="BI21" s="24"/>
      <c r="BJ21" s="24"/>
      <c r="BK21" s="24"/>
      <c r="BL21" s="29"/>
      <c r="BM21" s="29"/>
      <c r="BN21" s="29"/>
      <c r="BO21" s="29"/>
      <c r="BP21" s="33"/>
    </row>
    <row r="22" spans="1:68" ht="15" customHeight="1" thickBot="1" x14ac:dyDescent="0.3">
      <c r="A22" s="10"/>
      <c r="B22" s="220" t="s">
        <v>58</v>
      </c>
      <c r="C22" s="221"/>
      <c r="D22" s="221"/>
      <c r="E22" s="221"/>
      <c r="F22" s="221"/>
      <c r="G22" s="41">
        <f>G20*0.87</f>
        <v>224.46</v>
      </c>
      <c r="H22" s="42" t="s">
        <v>50</v>
      </c>
      <c r="I22" s="29"/>
      <c r="J22" s="220" t="s">
        <v>58</v>
      </c>
      <c r="K22" s="221"/>
      <c r="L22" s="221"/>
      <c r="M22" s="221"/>
      <c r="N22" s="221"/>
      <c r="O22" s="41">
        <f>O20*0.87</f>
        <v>266.21999999999997</v>
      </c>
      <c r="P22" s="42" t="s">
        <v>50</v>
      </c>
      <c r="Q22" s="43"/>
      <c r="R22" s="44"/>
      <c r="S22" s="233" t="s">
        <v>59</v>
      </c>
      <c r="T22" s="234"/>
      <c r="U22" s="234"/>
      <c r="V22" s="234"/>
      <c r="W22" s="235"/>
      <c r="X22" s="45">
        <v>0.14099999999999999</v>
      </c>
      <c r="Y22" s="46" t="s">
        <v>52</v>
      </c>
      <c r="Z22" s="29"/>
      <c r="AA22" s="233" t="s">
        <v>59</v>
      </c>
      <c r="AB22" s="234"/>
      <c r="AC22" s="234"/>
      <c r="AD22" s="234"/>
      <c r="AE22" s="235"/>
      <c r="AF22" s="45">
        <v>0.13500000000000001</v>
      </c>
      <c r="AG22" s="46" t="s">
        <v>52</v>
      </c>
      <c r="AH22" s="47"/>
      <c r="AI22" s="44"/>
      <c r="AJ22" s="254" t="s">
        <v>39</v>
      </c>
      <c r="AK22" s="255"/>
      <c r="AL22" s="255"/>
      <c r="AM22" s="255"/>
      <c r="AN22" s="256"/>
      <c r="AO22" s="43"/>
      <c r="AP22" s="254" t="s">
        <v>39</v>
      </c>
      <c r="AQ22" s="255"/>
      <c r="AR22" s="255"/>
      <c r="AS22" s="255"/>
      <c r="AT22" s="256"/>
      <c r="AU22" s="43"/>
      <c r="AV22" s="43"/>
      <c r="AW22" s="43"/>
      <c r="AX22" s="43"/>
      <c r="AY22" s="47"/>
      <c r="AZ22" s="44"/>
      <c r="BF22" s="43"/>
      <c r="BL22" s="43"/>
      <c r="BM22" s="43"/>
      <c r="BN22" s="43"/>
      <c r="BO22" s="43"/>
      <c r="BP22" s="47"/>
    </row>
    <row r="23" spans="1:68" ht="15" customHeight="1" x14ac:dyDescent="0.25">
      <c r="A23" s="10"/>
      <c r="B23" s="220" t="s">
        <v>62</v>
      </c>
      <c r="C23" s="221"/>
      <c r="D23" s="221"/>
      <c r="E23" s="221"/>
      <c r="F23" s="221"/>
      <c r="G23" s="41">
        <f>G22/1.2</f>
        <v>187.05</v>
      </c>
      <c r="H23" s="42" t="s">
        <v>50</v>
      </c>
      <c r="I23" s="29"/>
      <c r="J23" s="220" t="s">
        <v>62</v>
      </c>
      <c r="K23" s="221"/>
      <c r="L23" s="221"/>
      <c r="M23" s="221"/>
      <c r="N23" s="221"/>
      <c r="O23" s="41">
        <f>O22/1.2</f>
        <v>221.85</v>
      </c>
      <c r="P23" s="42" t="s">
        <v>50</v>
      </c>
      <c r="Q23" s="43"/>
      <c r="R23" s="44"/>
      <c r="S23" s="230"/>
      <c r="T23" s="230"/>
      <c r="U23" s="230"/>
      <c r="V23" s="230"/>
      <c r="W23" s="230"/>
      <c r="X23" s="48"/>
      <c r="Y23" s="29"/>
      <c r="Z23" s="29"/>
      <c r="AA23" s="230"/>
      <c r="AB23" s="230"/>
      <c r="AC23" s="230"/>
      <c r="AD23" s="230"/>
      <c r="AE23" s="230"/>
      <c r="AF23" s="48"/>
      <c r="AG23" s="29"/>
      <c r="AH23" s="47"/>
      <c r="AI23" s="44"/>
      <c r="AJ23" s="224" t="s">
        <v>41</v>
      </c>
      <c r="AK23" s="225"/>
      <c r="AL23" s="225"/>
      <c r="AM23" s="26">
        <v>1119</v>
      </c>
      <c r="AN23" s="60" t="s">
        <v>48</v>
      </c>
      <c r="AO23" s="43"/>
      <c r="AP23" s="224" t="s">
        <v>41</v>
      </c>
      <c r="AQ23" s="225"/>
      <c r="AR23" s="225"/>
      <c r="AS23" s="26">
        <v>1740</v>
      </c>
      <c r="AT23" s="60" t="s">
        <v>48</v>
      </c>
      <c r="AU23" s="43"/>
      <c r="AV23" s="43"/>
      <c r="AW23" s="43"/>
      <c r="AX23" s="43"/>
      <c r="AY23" s="47"/>
      <c r="AZ23" s="44"/>
      <c r="BD23" s="28"/>
      <c r="BE23" s="29"/>
      <c r="BF23" s="43"/>
      <c r="BJ23" s="28"/>
      <c r="BK23" s="29"/>
      <c r="BL23" s="43"/>
      <c r="BM23" s="43"/>
      <c r="BN23" s="43"/>
      <c r="BO23" s="43"/>
      <c r="BP23" s="47"/>
    </row>
    <row r="24" spans="1:68" ht="15" customHeight="1" x14ac:dyDescent="0.25">
      <c r="A24" s="10"/>
      <c r="B24" s="231" t="s">
        <v>64</v>
      </c>
      <c r="C24" s="232"/>
      <c r="D24" s="232"/>
      <c r="E24" s="232"/>
      <c r="F24" s="232"/>
      <c r="G24" s="51">
        <f>G20*0.76</f>
        <v>196.08</v>
      </c>
      <c r="H24" s="52" t="s">
        <v>50</v>
      </c>
      <c r="I24" s="29"/>
      <c r="J24" s="231" t="s">
        <v>64</v>
      </c>
      <c r="K24" s="232"/>
      <c r="L24" s="232"/>
      <c r="M24" s="232"/>
      <c r="N24" s="232"/>
      <c r="O24" s="51">
        <f>O20*0.76</f>
        <v>232.56</v>
      </c>
      <c r="P24" s="52" t="s">
        <v>50</v>
      </c>
      <c r="Q24" s="53"/>
      <c r="R24" s="54"/>
      <c r="S24" s="14"/>
      <c r="T24" s="14"/>
      <c r="U24" s="14"/>
      <c r="V24" s="14"/>
      <c r="W24" s="14"/>
      <c r="X24" s="48"/>
      <c r="Y24" s="29"/>
      <c r="Z24" s="29"/>
      <c r="AA24" s="14"/>
      <c r="AB24" s="14"/>
      <c r="AC24" s="14"/>
      <c r="AD24" s="14"/>
      <c r="AE24" s="14"/>
      <c r="AF24" s="48"/>
      <c r="AG24" s="29"/>
      <c r="AH24" s="55"/>
      <c r="AI24" s="54"/>
      <c r="AJ24" s="224" t="s">
        <v>5</v>
      </c>
      <c r="AK24" s="225"/>
      <c r="AL24" s="225"/>
      <c r="AM24" s="26">
        <v>6600</v>
      </c>
      <c r="AN24" s="60" t="s">
        <v>45</v>
      </c>
      <c r="AO24" s="53"/>
      <c r="AP24" s="224" t="s">
        <v>5</v>
      </c>
      <c r="AQ24" s="225"/>
      <c r="AR24" s="225"/>
      <c r="AS24" s="26">
        <v>6600</v>
      </c>
      <c r="AT24" s="60" t="s">
        <v>45</v>
      </c>
      <c r="AU24" s="53"/>
      <c r="AV24" s="53"/>
      <c r="AW24" s="53"/>
      <c r="AX24" s="53"/>
      <c r="AY24" s="55"/>
      <c r="AZ24" s="54"/>
      <c r="BD24" s="28"/>
      <c r="BE24" s="29"/>
      <c r="BF24" s="53"/>
      <c r="BJ24" s="28"/>
      <c r="BK24" s="29"/>
      <c r="BL24" s="53"/>
      <c r="BM24" s="53"/>
      <c r="BN24" s="53"/>
      <c r="BO24" s="53"/>
      <c r="BP24" s="55"/>
    </row>
    <row r="25" spans="1:68" ht="15" customHeight="1" thickBot="1" x14ac:dyDescent="0.3">
      <c r="A25" s="10"/>
      <c r="B25" s="218" t="s">
        <v>66</v>
      </c>
      <c r="C25" s="219"/>
      <c r="D25" s="219"/>
      <c r="E25" s="219"/>
      <c r="F25" s="219"/>
      <c r="G25" s="56">
        <f>G24/1.2</f>
        <v>163.4</v>
      </c>
      <c r="H25" s="57" t="s">
        <v>50</v>
      </c>
      <c r="I25" s="29"/>
      <c r="J25" s="218" t="s">
        <v>66</v>
      </c>
      <c r="K25" s="219"/>
      <c r="L25" s="219"/>
      <c r="M25" s="219"/>
      <c r="N25" s="219"/>
      <c r="O25" s="56">
        <f>O24/1.2</f>
        <v>193.8</v>
      </c>
      <c r="P25" s="57" t="s">
        <v>50</v>
      </c>
      <c r="Q25" s="53"/>
      <c r="R25" s="54"/>
      <c r="S25" s="14"/>
      <c r="T25" s="14"/>
      <c r="U25" s="14"/>
      <c r="V25" s="14"/>
      <c r="W25" s="14"/>
      <c r="X25" s="48"/>
      <c r="Y25" s="29"/>
      <c r="Z25" s="29"/>
      <c r="AA25" s="14"/>
      <c r="AB25" s="14"/>
      <c r="AC25" s="14"/>
      <c r="AD25" s="14"/>
      <c r="AE25" s="14"/>
      <c r="AF25" s="48"/>
      <c r="AG25" s="29"/>
      <c r="AH25" s="55"/>
      <c r="AI25" s="54"/>
      <c r="AJ25" s="224" t="s">
        <v>74</v>
      </c>
      <c r="AK25" s="225"/>
      <c r="AL25" s="225"/>
      <c r="AM25" s="61">
        <v>86</v>
      </c>
      <c r="AN25" s="60" t="s">
        <v>54</v>
      </c>
      <c r="AO25" s="53"/>
      <c r="AP25" s="224" t="s">
        <v>74</v>
      </c>
      <c r="AQ25" s="225"/>
      <c r="AR25" s="225"/>
      <c r="AS25" s="61">
        <v>86</v>
      </c>
      <c r="AT25" s="60" t="s">
        <v>54</v>
      </c>
      <c r="AU25" s="53"/>
      <c r="AV25" s="53"/>
      <c r="AW25" s="53"/>
      <c r="AX25" s="53"/>
      <c r="AY25" s="55"/>
      <c r="AZ25" s="54"/>
      <c r="BD25" s="29"/>
      <c r="BE25" s="29"/>
      <c r="BF25" s="53"/>
      <c r="BJ25" s="29"/>
      <c r="BK25" s="29"/>
      <c r="BL25" s="53"/>
      <c r="BM25" s="53"/>
      <c r="BN25" s="53"/>
      <c r="BO25" s="53"/>
      <c r="BP25" s="55"/>
    </row>
    <row r="26" spans="1:68" ht="15" customHeight="1" thickBot="1" x14ac:dyDescent="0.3">
      <c r="A26" s="10"/>
      <c r="B26" s="216" t="s">
        <v>158</v>
      </c>
      <c r="C26" s="217"/>
      <c r="D26" s="217"/>
      <c r="E26" s="217"/>
      <c r="F26" s="217"/>
      <c r="G26" s="191">
        <f>G20*0.708</f>
        <v>182.66399999999999</v>
      </c>
      <c r="H26" s="190" t="s">
        <v>50</v>
      </c>
      <c r="I26" s="29"/>
      <c r="J26" s="216" t="s">
        <v>158</v>
      </c>
      <c r="K26" s="217"/>
      <c r="L26" s="217"/>
      <c r="M26" s="217"/>
      <c r="N26" s="217"/>
      <c r="O26" s="191">
        <f>O20*0.708</f>
        <v>216.648</v>
      </c>
      <c r="P26" s="190" t="s">
        <v>50</v>
      </c>
      <c r="Q26" s="29"/>
      <c r="R26" s="32"/>
      <c r="S26" s="14">
        <f>O32*3</f>
        <v>835.19999999999993</v>
      </c>
      <c r="T26" s="14">
        <f>G32*3</f>
        <v>752.55</v>
      </c>
      <c r="U26" s="14"/>
      <c r="V26" s="14"/>
      <c r="W26" s="14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33"/>
      <c r="AI26" s="32"/>
      <c r="AJ26" s="250" t="s">
        <v>75</v>
      </c>
      <c r="AK26" s="251"/>
      <c r="AL26" s="252"/>
      <c r="AM26" s="61">
        <f>71/AM25*100</f>
        <v>82.558139534883722</v>
      </c>
      <c r="AN26" s="60" t="s">
        <v>54</v>
      </c>
      <c r="AO26" s="29"/>
      <c r="AP26" s="250" t="s">
        <v>75</v>
      </c>
      <c r="AQ26" s="251"/>
      <c r="AR26" s="252"/>
      <c r="AS26" s="61">
        <f>71/AS25*100</f>
        <v>82.558139534883722</v>
      </c>
      <c r="AT26" s="60" t="s">
        <v>54</v>
      </c>
      <c r="AU26" s="29"/>
      <c r="AV26" s="29"/>
      <c r="AW26" s="29"/>
      <c r="AX26" s="29"/>
      <c r="AY26" s="33"/>
      <c r="AZ26" s="32"/>
      <c r="BD26" s="29"/>
      <c r="BE26" s="29"/>
      <c r="BF26" s="29"/>
      <c r="BJ26" s="29"/>
      <c r="BK26" s="29"/>
      <c r="BL26" s="29"/>
      <c r="BM26" s="29"/>
      <c r="BN26" s="29"/>
      <c r="BO26" s="29"/>
      <c r="BP26" s="33"/>
    </row>
    <row r="27" spans="1:68" ht="15" customHeight="1" thickBot="1" x14ac:dyDescent="0.3">
      <c r="A27" s="10"/>
      <c r="B27" s="245" t="s">
        <v>76</v>
      </c>
      <c r="C27" s="246"/>
      <c r="D27" s="246"/>
      <c r="E27" s="246"/>
      <c r="F27" s="246"/>
      <c r="G27" s="246"/>
      <c r="H27" s="247"/>
      <c r="I27" s="11"/>
      <c r="J27" s="245" t="s">
        <v>77</v>
      </c>
      <c r="K27" s="246"/>
      <c r="L27" s="246"/>
      <c r="M27" s="246"/>
      <c r="N27" s="246"/>
      <c r="O27" s="246"/>
      <c r="P27" s="247"/>
      <c r="Q27" s="11"/>
      <c r="R27" s="12"/>
      <c r="S27" s="245" t="s">
        <v>76</v>
      </c>
      <c r="T27" s="246"/>
      <c r="U27" s="246"/>
      <c r="V27" s="246"/>
      <c r="W27" s="246"/>
      <c r="X27" s="246"/>
      <c r="Y27" s="247"/>
      <c r="Z27" s="11"/>
      <c r="AA27" s="245" t="s">
        <v>77</v>
      </c>
      <c r="AB27" s="246"/>
      <c r="AC27" s="246"/>
      <c r="AD27" s="246"/>
      <c r="AE27" s="246"/>
      <c r="AF27" s="246"/>
      <c r="AG27" s="247"/>
      <c r="AH27" s="13"/>
      <c r="AI27" s="12"/>
      <c r="AJ27" s="224" t="s">
        <v>60</v>
      </c>
      <c r="AK27" s="225"/>
      <c r="AL27" s="225"/>
      <c r="AM27" s="26">
        <f>AM23/AM25/AM26*10000</f>
        <v>1576.056338028169</v>
      </c>
      <c r="AN27" s="60" t="s">
        <v>61</v>
      </c>
      <c r="AO27" s="11"/>
      <c r="AP27" s="224" t="s">
        <v>60</v>
      </c>
      <c r="AQ27" s="225"/>
      <c r="AR27" s="225"/>
      <c r="AS27" s="26">
        <f>AS23/AS25/AS26*10000</f>
        <v>2450.7042253521126</v>
      </c>
      <c r="AT27" s="60" t="s">
        <v>61</v>
      </c>
      <c r="AU27" s="11"/>
      <c r="AV27" s="11"/>
      <c r="AW27" s="11"/>
      <c r="AX27" s="11"/>
      <c r="AY27" s="13"/>
      <c r="AZ27" s="12"/>
      <c r="BD27" s="28"/>
      <c r="BE27" s="29"/>
      <c r="BF27" s="11"/>
      <c r="BJ27" s="28"/>
      <c r="BK27" s="29"/>
      <c r="BL27" s="11"/>
      <c r="BM27" s="11"/>
      <c r="BN27" s="11"/>
      <c r="BO27" s="11"/>
      <c r="BP27" s="13"/>
    </row>
    <row r="28" spans="1:68" ht="15" customHeight="1" x14ac:dyDescent="0.25">
      <c r="A28" s="10"/>
      <c r="B28" s="222" t="s">
        <v>46</v>
      </c>
      <c r="C28" s="223"/>
      <c r="D28" s="223"/>
      <c r="E28" s="223"/>
      <c r="F28" s="223"/>
      <c r="G28" s="30">
        <v>120</v>
      </c>
      <c r="H28" s="31" t="s">
        <v>47</v>
      </c>
      <c r="I28" s="29"/>
      <c r="J28" s="222" t="s">
        <v>46</v>
      </c>
      <c r="K28" s="223"/>
      <c r="L28" s="223"/>
      <c r="M28" s="223"/>
      <c r="N28" s="223"/>
      <c r="O28" s="30">
        <v>150</v>
      </c>
      <c r="P28" s="31" t="s">
        <v>47</v>
      </c>
      <c r="Q28" s="29"/>
      <c r="R28" s="32"/>
      <c r="S28" s="236" t="s">
        <v>46</v>
      </c>
      <c r="T28" s="237"/>
      <c r="U28" s="237"/>
      <c r="V28" s="237"/>
      <c r="W28" s="238"/>
      <c r="X28" s="30">
        <v>120</v>
      </c>
      <c r="Y28" s="31" t="s">
        <v>47</v>
      </c>
      <c r="Z28" s="29"/>
      <c r="AA28" s="236" t="s">
        <v>46</v>
      </c>
      <c r="AB28" s="237"/>
      <c r="AC28" s="237"/>
      <c r="AD28" s="237"/>
      <c r="AE28" s="238"/>
      <c r="AF28" s="30">
        <v>150</v>
      </c>
      <c r="AG28" s="31" t="s">
        <v>47</v>
      </c>
      <c r="AH28" s="33"/>
      <c r="AI28" s="32"/>
      <c r="AJ28" s="224" t="s">
        <v>19</v>
      </c>
      <c r="AK28" s="225"/>
      <c r="AL28" s="225"/>
      <c r="AM28" s="62">
        <f>AM27/SQRT(3)/AM24*1000</f>
        <v>137.86917439675443</v>
      </c>
      <c r="AN28" s="60" t="s">
        <v>50</v>
      </c>
      <c r="AO28" s="29"/>
      <c r="AP28" s="224" t="s">
        <v>19</v>
      </c>
      <c r="AQ28" s="225"/>
      <c r="AR28" s="225"/>
      <c r="AS28" s="62">
        <f>AS27/SQRT(3)/AS24*1000</f>
        <v>214.38102185018113</v>
      </c>
      <c r="AT28" s="60" t="s">
        <v>50</v>
      </c>
      <c r="AU28" s="29"/>
      <c r="AV28" s="29"/>
      <c r="AW28" s="29"/>
      <c r="AX28" s="29"/>
      <c r="AY28" s="33"/>
      <c r="AZ28" s="32"/>
      <c r="BD28" s="63"/>
      <c r="BE28" s="29"/>
      <c r="BF28" s="29"/>
      <c r="BJ28" s="63"/>
      <c r="BK28" s="29"/>
      <c r="BL28" s="29"/>
      <c r="BM28" s="29"/>
      <c r="BN28" s="29"/>
      <c r="BO28" s="29"/>
      <c r="BP28" s="33"/>
    </row>
    <row r="29" spans="1:68" ht="15" customHeight="1" x14ac:dyDescent="0.25">
      <c r="A29" s="10"/>
      <c r="B29" s="224" t="s">
        <v>49</v>
      </c>
      <c r="C29" s="225"/>
      <c r="D29" s="225"/>
      <c r="E29" s="225"/>
      <c r="F29" s="225"/>
      <c r="G29" s="34">
        <v>346</v>
      </c>
      <c r="H29" s="27" t="s">
        <v>50</v>
      </c>
      <c r="I29" s="29"/>
      <c r="J29" s="224" t="s">
        <v>49</v>
      </c>
      <c r="K29" s="225"/>
      <c r="L29" s="225"/>
      <c r="M29" s="225"/>
      <c r="N29" s="225"/>
      <c r="O29" s="34">
        <v>384</v>
      </c>
      <c r="P29" s="27" t="s">
        <v>50</v>
      </c>
      <c r="Q29" s="29"/>
      <c r="R29" s="32"/>
      <c r="S29" s="35" t="s">
        <v>51</v>
      </c>
      <c r="T29" s="36"/>
      <c r="U29" s="36"/>
      <c r="V29" s="36"/>
      <c r="W29" s="37"/>
      <c r="X29" s="26">
        <v>7363</v>
      </c>
      <c r="Y29" s="27" t="s">
        <v>52</v>
      </c>
      <c r="Z29" s="29"/>
      <c r="AA29" s="35" t="s">
        <v>51</v>
      </c>
      <c r="AB29" s="36"/>
      <c r="AC29" s="36"/>
      <c r="AD29" s="36"/>
      <c r="AE29" s="37"/>
      <c r="AF29" s="26">
        <v>6803</v>
      </c>
      <c r="AG29" s="27" t="s">
        <v>52</v>
      </c>
      <c r="AH29" s="33"/>
      <c r="AI29" s="32"/>
      <c r="AJ29" s="224" t="s">
        <v>65</v>
      </c>
      <c r="AK29" s="225"/>
      <c r="AL29" s="225"/>
      <c r="AM29" s="64">
        <f>AM23/AM26*100</f>
        <v>1355.4084507042253</v>
      </c>
      <c r="AN29" s="60" t="s">
        <v>48</v>
      </c>
      <c r="AO29" s="29"/>
      <c r="AP29" s="224" t="s">
        <v>65</v>
      </c>
      <c r="AQ29" s="225"/>
      <c r="AR29" s="225"/>
      <c r="AS29" s="64">
        <f>AS23/AS26*100</f>
        <v>2107.605633802817</v>
      </c>
      <c r="AT29" s="60" t="s">
        <v>48</v>
      </c>
      <c r="AU29" s="29"/>
      <c r="AV29" s="29"/>
      <c r="AW29" s="29"/>
      <c r="AX29" s="29"/>
      <c r="AY29" s="33"/>
      <c r="AZ29" s="32"/>
      <c r="BD29" s="28"/>
      <c r="BE29" s="29"/>
      <c r="BF29" s="29"/>
      <c r="BJ29" s="28"/>
      <c r="BK29" s="29"/>
      <c r="BL29" s="29"/>
      <c r="BM29" s="29"/>
      <c r="BN29" s="29"/>
      <c r="BO29" s="29"/>
      <c r="BP29" s="33"/>
    </row>
    <row r="30" spans="1:68" ht="15" customHeight="1" thickBot="1" x14ac:dyDescent="0.3">
      <c r="A30" s="10"/>
      <c r="B30" s="224" t="s">
        <v>55</v>
      </c>
      <c r="C30" s="225"/>
      <c r="D30" s="225"/>
      <c r="E30" s="225"/>
      <c r="F30" s="225"/>
      <c r="G30" s="38">
        <f>G29/1.2</f>
        <v>288.33333333333337</v>
      </c>
      <c r="H30" s="27" t="s">
        <v>50</v>
      </c>
      <c r="I30" s="29"/>
      <c r="J30" s="224" t="s">
        <v>55</v>
      </c>
      <c r="K30" s="225"/>
      <c r="L30" s="225"/>
      <c r="M30" s="225"/>
      <c r="N30" s="225"/>
      <c r="O30" s="38">
        <f>O29/1.2</f>
        <v>320</v>
      </c>
      <c r="P30" s="27" t="s">
        <v>50</v>
      </c>
      <c r="Q30" s="29"/>
      <c r="R30" s="44"/>
      <c r="S30" s="35" t="s">
        <v>56</v>
      </c>
      <c r="T30" s="36"/>
      <c r="U30" s="36"/>
      <c r="V30" s="36"/>
      <c r="W30" s="37"/>
      <c r="X30" s="40">
        <f>0.197*0.8035</f>
        <v>0.1582895</v>
      </c>
      <c r="Y30" s="27" t="s">
        <v>52</v>
      </c>
      <c r="Z30" s="29"/>
      <c r="AA30" s="35" t="s">
        <v>56</v>
      </c>
      <c r="AB30" s="36"/>
      <c r="AC30" s="36"/>
      <c r="AD30" s="36"/>
      <c r="AE30" s="37"/>
      <c r="AF30" s="40">
        <f>0.161*0.8035</f>
        <v>0.12936349999999999</v>
      </c>
      <c r="AG30" s="27" t="s">
        <v>52</v>
      </c>
      <c r="AH30" s="47"/>
      <c r="AI30" s="32"/>
      <c r="AJ30" s="248" t="s">
        <v>67</v>
      </c>
      <c r="AK30" s="249"/>
      <c r="AL30" s="249"/>
      <c r="AM30" s="65">
        <f>SQRT(AM27^2-AM29^2)</f>
        <v>804.25214478938983</v>
      </c>
      <c r="AN30" s="66" t="s">
        <v>68</v>
      </c>
      <c r="AO30" s="29"/>
      <c r="AP30" s="248" t="s">
        <v>67</v>
      </c>
      <c r="AQ30" s="249"/>
      <c r="AR30" s="249"/>
      <c r="AS30" s="65">
        <f>SQRT(AS27^2-AS29^2)</f>
        <v>1250.5797425679518</v>
      </c>
      <c r="AT30" s="66" t="s">
        <v>68</v>
      </c>
      <c r="AU30" s="29"/>
      <c r="AV30" s="29"/>
      <c r="AW30" s="29"/>
      <c r="AX30" s="29"/>
      <c r="AY30" s="33"/>
      <c r="AZ30" s="32"/>
      <c r="BD30" s="28"/>
      <c r="BE30" s="29"/>
      <c r="BF30" s="29"/>
      <c r="BJ30" s="28"/>
      <c r="BK30" s="29"/>
      <c r="BL30" s="29"/>
      <c r="BM30" s="29"/>
      <c r="BN30" s="29"/>
      <c r="BO30" s="29"/>
      <c r="BP30" s="33"/>
    </row>
    <row r="31" spans="1:68" ht="15" customHeight="1" thickBot="1" x14ac:dyDescent="0.3">
      <c r="A31" s="10"/>
      <c r="B31" s="220" t="s">
        <v>58</v>
      </c>
      <c r="C31" s="221"/>
      <c r="D31" s="221"/>
      <c r="E31" s="221"/>
      <c r="F31" s="221"/>
      <c r="G31" s="41">
        <f>G29*0.87</f>
        <v>301.02</v>
      </c>
      <c r="H31" s="42" t="s">
        <v>50</v>
      </c>
      <c r="I31" s="29"/>
      <c r="J31" s="220" t="s">
        <v>58</v>
      </c>
      <c r="K31" s="221"/>
      <c r="L31" s="221"/>
      <c r="M31" s="221"/>
      <c r="N31" s="221"/>
      <c r="O31" s="41">
        <f>O29*0.87</f>
        <v>334.08</v>
      </c>
      <c r="P31" s="42" t="s">
        <v>50</v>
      </c>
      <c r="Q31" s="43"/>
      <c r="R31" s="44"/>
      <c r="S31" s="233" t="s">
        <v>59</v>
      </c>
      <c r="T31" s="234"/>
      <c r="U31" s="234"/>
      <c r="V31" s="234"/>
      <c r="W31" s="235"/>
      <c r="X31" s="45">
        <v>0.13</v>
      </c>
      <c r="Y31" s="46" t="s">
        <v>52</v>
      </c>
      <c r="Z31" s="29"/>
      <c r="AA31" s="233" t="s">
        <v>59</v>
      </c>
      <c r="AB31" s="234"/>
      <c r="AC31" s="234"/>
      <c r="AD31" s="234"/>
      <c r="AE31" s="235"/>
      <c r="AF31" s="45">
        <v>0.126</v>
      </c>
      <c r="AG31" s="46" t="s">
        <v>52</v>
      </c>
      <c r="AH31" s="47"/>
      <c r="AI31" s="44"/>
      <c r="AJ31" s="29"/>
      <c r="AK31" s="29"/>
      <c r="AL31" s="29"/>
      <c r="AM31" s="29"/>
      <c r="AN31" s="29"/>
      <c r="AO31" s="43"/>
      <c r="AP31" s="43"/>
      <c r="AQ31" s="43"/>
      <c r="AR31" s="43"/>
      <c r="AS31" s="43"/>
      <c r="AT31" s="43"/>
      <c r="AU31" s="43"/>
      <c r="AV31" s="43"/>
      <c r="AW31" s="43"/>
      <c r="AX31" s="43"/>
      <c r="AY31" s="47"/>
      <c r="AZ31" s="44"/>
      <c r="BA31" s="29"/>
      <c r="BB31" s="29"/>
      <c r="BC31" s="29"/>
      <c r="BD31" s="29"/>
      <c r="BE31" s="29"/>
      <c r="BF31" s="43"/>
      <c r="BG31" s="43"/>
      <c r="BH31" s="43"/>
      <c r="BI31" s="43"/>
      <c r="BJ31" s="43"/>
      <c r="BK31" s="43"/>
      <c r="BL31" s="43"/>
      <c r="BM31" s="43"/>
      <c r="BN31" s="43"/>
      <c r="BO31" s="43"/>
      <c r="BP31" s="47"/>
    </row>
    <row r="32" spans="1:68" ht="15" customHeight="1" thickBot="1" x14ac:dyDescent="0.3">
      <c r="A32" s="10"/>
      <c r="B32" s="220" t="s">
        <v>62</v>
      </c>
      <c r="C32" s="221"/>
      <c r="D32" s="221"/>
      <c r="E32" s="221"/>
      <c r="F32" s="221"/>
      <c r="G32" s="41">
        <f>G31/1.2</f>
        <v>250.85</v>
      </c>
      <c r="H32" s="42" t="s">
        <v>50</v>
      </c>
      <c r="I32" s="29"/>
      <c r="J32" s="220" t="s">
        <v>62</v>
      </c>
      <c r="K32" s="221"/>
      <c r="L32" s="221"/>
      <c r="M32" s="221"/>
      <c r="N32" s="221"/>
      <c r="O32" s="41">
        <f>O31/1.2</f>
        <v>278.39999999999998</v>
      </c>
      <c r="P32" s="42" t="s">
        <v>50</v>
      </c>
      <c r="Q32" s="43"/>
      <c r="R32" s="44"/>
      <c r="S32" s="230"/>
      <c r="T32" s="230"/>
      <c r="U32" s="230"/>
      <c r="V32" s="230"/>
      <c r="W32" s="230"/>
      <c r="X32" s="48"/>
      <c r="Y32" s="29"/>
      <c r="Z32" s="29"/>
      <c r="AA32" s="230"/>
      <c r="AB32" s="230"/>
      <c r="AC32" s="230"/>
      <c r="AD32" s="230"/>
      <c r="AE32" s="230"/>
      <c r="AF32" s="48"/>
      <c r="AG32" s="29"/>
      <c r="AH32" s="47"/>
      <c r="AI32" s="44"/>
      <c r="AJ32" s="43"/>
      <c r="AK32" s="43"/>
      <c r="AL32" s="43"/>
      <c r="AM32" s="43"/>
      <c r="AN32" s="43"/>
      <c r="AO32" s="43"/>
      <c r="AP32" s="245" t="s">
        <v>78</v>
      </c>
      <c r="AQ32" s="246"/>
      <c r="AR32" s="246"/>
      <c r="AS32" s="246"/>
      <c r="AT32" s="247"/>
      <c r="AU32" s="43"/>
      <c r="AV32" s="43"/>
      <c r="AW32" s="43"/>
      <c r="AX32" s="43"/>
      <c r="AY32" s="47"/>
      <c r="AZ32" s="44"/>
      <c r="BA32" s="43"/>
      <c r="BB32" s="43"/>
      <c r="BC32" s="43"/>
      <c r="BD32" s="43"/>
      <c r="BE32" s="43"/>
      <c r="BF32" s="43"/>
      <c r="BG32" s="24"/>
      <c r="BH32" s="24"/>
      <c r="BI32" s="24"/>
      <c r="BJ32" s="24"/>
      <c r="BK32" s="24"/>
      <c r="BL32" s="43"/>
      <c r="BM32" s="43"/>
      <c r="BN32" s="43"/>
      <c r="BO32" s="43"/>
      <c r="BP32" s="47"/>
    </row>
    <row r="33" spans="1:68" ht="15" customHeight="1" x14ac:dyDescent="0.25">
      <c r="A33" s="10"/>
      <c r="B33" s="231" t="s">
        <v>64</v>
      </c>
      <c r="C33" s="232"/>
      <c r="D33" s="232"/>
      <c r="E33" s="232"/>
      <c r="F33" s="232"/>
      <c r="G33" s="51">
        <f>G29*0.76</f>
        <v>262.95999999999998</v>
      </c>
      <c r="H33" s="52" t="s">
        <v>50</v>
      </c>
      <c r="I33" s="29"/>
      <c r="J33" s="231" t="s">
        <v>64</v>
      </c>
      <c r="K33" s="232"/>
      <c r="L33" s="232"/>
      <c r="M33" s="232"/>
      <c r="N33" s="232"/>
      <c r="O33" s="51">
        <f>O29*0.76</f>
        <v>291.84000000000003</v>
      </c>
      <c r="P33" s="52" t="s">
        <v>50</v>
      </c>
      <c r="Q33" s="53"/>
      <c r="R33" s="54"/>
      <c r="S33" s="14"/>
      <c r="T33" s="14"/>
      <c r="U33" s="14"/>
      <c r="V33" s="14"/>
      <c r="W33" s="14"/>
      <c r="X33" s="48"/>
      <c r="Y33" s="29"/>
      <c r="Z33" s="29"/>
      <c r="AA33" s="14"/>
      <c r="AB33" s="14"/>
      <c r="AC33" s="14"/>
      <c r="AD33" s="14"/>
      <c r="AE33" s="14"/>
      <c r="AF33" s="48"/>
      <c r="AG33" s="29"/>
      <c r="AH33" s="55"/>
      <c r="AI33" s="54"/>
      <c r="AJ33" s="43"/>
      <c r="AK33" s="43"/>
      <c r="AL33" s="43"/>
      <c r="AM33" s="253"/>
      <c r="AN33" s="253"/>
      <c r="AO33" s="53"/>
      <c r="AP33" s="254" t="s">
        <v>39</v>
      </c>
      <c r="AQ33" s="255"/>
      <c r="AR33" s="255"/>
      <c r="AS33" s="255"/>
      <c r="AT33" s="256"/>
      <c r="AU33" s="53"/>
      <c r="AV33" s="53"/>
      <c r="AW33" s="53"/>
      <c r="AX33" s="53"/>
      <c r="AY33" s="55"/>
      <c r="AZ33" s="54"/>
      <c r="BA33" s="43"/>
      <c r="BB33" s="43"/>
      <c r="BC33" s="43"/>
      <c r="BD33" s="67"/>
      <c r="BE33" s="67"/>
      <c r="BF33" s="53"/>
      <c r="BL33" s="53"/>
      <c r="BM33" s="53"/>
      <c r="BN33" s="53"/>
      <c r="BO33" s="53"/>
      <c r="BP33" s="55"/>
    </row>
    <row r="34" spans="1:68" ht="15" customHeight="1" thickBot="1" x14ac:dyDescent="0.3">
      <c r="A34" s="10"/>
      <c r="B34" s="218" t="s">
        <v>66</v>
      </c>
      <c r="C34" s="219"/>
      <c r="D34" s="219"/>
      <c r="E34" s="219"/>
      <c r="F34" s="219"/>
      <c r="G34" s="56">
        <f>G33/1.2</f>
        <v>219.13333333333333</v>
      </c>
      <c r="H34" s="57" t="s">
        <v>50</v>
      </c>
      <c r="I34" s="29"/>
      <c r="J34" s="218" t="s">
        <v>66</v>
      </c>
      <c r="K34" s="219"/>
      <c r="L34" s="219"/>
      <c r="M34" s="219"/>
      <c r="N34" s="219"/>
      <c r="O34" s="56">
        <f>O33/1.2</f>
        <v>243.20000000000005</v>
      </c>
      <c r="P34" s="57" t="s">
        <v>50</v>
      </c>
      <c r="Q34" s="53"/>
      <c r="R34" s="54"/>
      <c r="S34" s="14"/>
      <c r="T34" s="14"/>
      <c r="U34" s="14"/>
      <c r="V34" s="14"/>
      <c r="W34" s="14"/>
      <c r="X34" s="48"/>
      <c r="Y34" s="29"/>
      <c r="Z34" s="29"/>
      <c r="AA34" s="14"/>
      <c r="AB34" s="14"/>
      <c r="AC34" s="14"/>
      <c r="AD34" s="14"/>
      <c r="AE34" s="14"/>
      <c r="AF34" s="48"/>
      <c r="AG34" s="29"/>
      <c r="AH34" s="55"/>
      <c r="AI34" s="54"/>
      <c r="AJ34" s="53"/>
      <c r="AK34" s="53"/>
      <c r="AL34" s="53"/>
      <c r="AM34" s="53"/>
      <c r="AN34" s="53"/>
      <c r="AO34" s="53"/>
      <c r="AP34" s="224" t="s">
        <v>41</v>
      </c>
      <c r="AQ34" s="225"/>
      <c r="AR34" s="225"/>
      <c r="AS34" s="26">
        <v>2630</v>
      </c>
      <c r="AT34" s="60" t="s">
        <v>48</v>
      </c>
      <c r="AU34" s="53"/>
      <c r="AV34" s="53"/>
      <c r="AW34" s="53"/>
      <c r="AX34" s="53"/>
      <c r="AY34" s="55"/>
      <c r="AZ34" s="54"/>
      <c r="BA34" s="53"/>
      <c r="BB34" s="53"/>
      <c r="BC34" s="53"/>
      <c r="BD34" s="53"/>
      <c r="BE34" s="53"/>
      <c r="BF34" s="53"/>
      <c r="BJ34" s="28"/>
      <c r="BK34" s="29"/>
      <c r="BL34" s="53"/>
      <c r="BM34" s="53"/>
      <c r="BN34" s="53"/>
      <c r="BO34" s="53"/>
      <c r="BP34" s="55"/>
    </row>
    <row r="35" spans="1:68" ht="15" customHeight="1" thickBot="1" x14ac:dyDescent="0.3">
      <c r="A35" s="10"/>
      <c r="B35" s="216" t="s">
        <v>158</v>
      </c>
      <c r="C35" s="217"/>
      <c r="D35" s="217"/>
      <c r="E35" s="217"/>
      <c r="F35" s="217"/>
      <c r="G35" s="191">
        <f>G29*0.708</f>
        <v>244.96799999999999</v>
      </c>
      <c r="H35" s="190" t="s">
        <v>50</v>
      </c>
      <c r="I35" s="29"/>
      <c r="J35" s="216" t="s">
        <v>158</v>
      </c>
      <c r="K35" s="217"/>
      <c r="L35" s="217"/>
      <c r="M35" s="217"/>
      <c r="N35" s="217"/>
      <c r="O35" s="191">
        <f>O29*0.708</f>
        <v>271.87199999999996</v>
      </c>
      <c r="P35" s="190" t="s">
        <v>50</v>
      </c>
      <c r="Q35" s="29"/>
      <c r="R35" s="32"/>
      <c r="S35" s="14"/>
      <c r="T35" s="14"/>
      <c r="U35" s="14"/>
      <c r="V35" s="14"/>
      <c r="W35" s="14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33"/>
      <c r="AI35" s="32"/>
      <c r="AJ35" s="53"/>
      <c r="AK35" s="53"/>
      <c r="AL35" s="53"/>
      <c r="AM35" s="53"/>
      <c r="AN35" s="53"/>
      <c r="AO35" s="29"/>
      <c r="AP35" s="224" t="s">
        <v>5</v>
      </c>
      <c r="AQ35" s="225"/>
      <c r="AR35" s="225"/>
      <c r="AS35" s="26">
        <v>6600</v>
      </c>
      <c r="AT35" s="60" t="s">
        <v>45</v>
      </c>
      <c r="AU35" s="29"/>
      <c r="AV35" s="29"/>
      <c r="AW35" s="29"/>
      <c r="AX35" s="29"/>
      <c r="AY35" s="33"/>
      <c r="AZ35" s="32"/>
      <c r="BA35" s="53"/>
      <c r="BB35" s="53"/>
      <c r="BC35" s="53"/>
      <c r="BD35" s="53"/>
      <c r="BE35" s="53"/>
      <c r="BF35" s="29"/>
      <c r="BJ35" s="28"/>
      <c r="BK35" s="29"/>
      <c r="BL35" s="29"/>
      <c r="BM35" s="29"/>
      <c r="BN35" s="29"/>
      <c r="BO35" s="29"/>
      <c r="BP35" s="33"/>
    </row>
    <row r="36" spans="1:68" ht="15" customHeight="1" thickBot="1" x14ac:dyDescent="0.3">
      <c r="A36" s="10"/>
      <c r="B36" s="245" t="s">
        <v>79</v>
      </c>
      <c r="C36" s="246"/>
      <c r="D36" s="246"/>
      <c r="E36" s="246"/>
      <c r="F36" s="246"/>
      <c r="G36" s="246"/>
      <c r="H36" s="247"/>
      <c r="I36" s="11"/>
      <c r="J36" s="245" t="s">
        <v>80</v>
      </c>
      <c r="K36" s="246"/>
      <c r="L36" s="246"/>
      <c r="M36" s="246"/>
      <c r="N36" s="246"/>
      <c r="O36" s="246"/>
      <c r="P36" s="247"/>
      <c r="Q36" s="11"/>
      <c r="R36" s="12"/>
      <c r="S36" s="245" t="s">
        <v>79</v>
      </c>
      <c r="T36" s="246"/>
      <c r="U36" s="246"/>
      <c r="V36" s="246"/>
      <c r="W36" s="246"/>
      <c r="X36" s="246"/>
      <c r="Y36" s="247"/>
      <c r="Z36" s="11"/>
      <c r="AA36" s="245" t="s">
        <v>80</v>
      </c>
      <c r="AB36" s="246"/>
      <c r="AC36" s="246"/>
      <c r="AD36" s="246"/>
      <c r="AE36" s="246"/>
      <c r="AF36" s="246"/>
      <c r="AG36" s="247"/>
      <c r="AH36" s="13"/>
      <c r="AI36" s="12"/>
      <c r="AJ36" s="29"/>
      <c r="AK36" s="29"/>
      <c r="AL36" s="29"/>
      <c r="AM36" s="29"/>
      <c r="AN36" s="29"/>
      <c r="AO36" s="11"/>
      <c r="AP36" s="224" t="s">
        <v>74</v>
      </c>
      <c r="AQ36" s="225"/>
      <c r="AR36" s="225"/>
      <c r="AS36" s="61">
        <v>86</v>
      </c>
      <c r="AT36" s="60" t="s">
        <v>54</v>
      </c>
      <c r="AU36" s="11"/>
      <c r="AV36" s="11"/>
      <c r="AW36" s="11"/>
      <c r="AX36" s="11"/>
      <c r="AY36" s="13"/>
      <c r="AZ36" s="12"/>
      <c r="BA36" s="29"/>
      <c r="BB36" s="29"/>
      <c r="BC36" s="29"/>
      <c r="BD36" s="29"/>
      <c r="BE36" s="29"/>
      <c r="BF36" s="11"/>
      <c r="BJ36" s="29"/>
      <c r="BK36" s="29"/>
      <c r="BL36" s="11"/>
      <c r="BM36" s="11"/>
      <c r="BN36" s="11"/>
      <c r="BO36" s="11"/>
      <c r="BP36" s="13"/>
    </row>
    <row r="37" spans="1:68" ht="15" customHeight="1" x14ac:dyDescent="0.25">
      <c r="A37" s="10"/>
      <c r="B37" s="222" t="s">
        <v>46</v>
      </c>
      <c r="C37" s="223"/>
      <c r="D37" s="223"/>
      <c r="E37" s="223"/>
      <c r="F37" s="223"/>
      <c r="G37" s="30">
        <v>185</v>
      </c>
      <c r="H37" s="31" t="s">
        <v>47</v>
      </c>
      <c r="I37" s="29"/>
      <c r="J37" s="222" t="s">
        <v>46</v>
      </c>
      <c r="K37" s="223"/>
      <c r="L37" s="223"/>
      <c r="M37" s="223"/>
      <c r="N37" s="223"/>
      <c r="O37" s="30">
        <v>240</v>
      </c>
      <c r="P37" s="31" t="s">
        <v>47</v>
      </c>
      <c r="Q37" s="29"/>
      <c r="R37" s="32"/>
      <c r="S37" s="236" t="s">
        <v>46</v>
      </c>
      <c r="T37" s="237"/>
      <c r="U37" s="237"/>
      <c r="V37" s="237"/>
      <c r="W37" s="238"/>
      <c r="X37" s="30">
        <v>185</v>
      </c>
      <c r="Y37" s="31" t="s">
        <v>47</v>
      </c>
      <c r="Z37" s="29"/>
      <c r="AA37" s="236" t="s">
        <v>46</v>
      </c>
      <c r="AB37" s="237"/>
      <c r="AC37" s="237"/>
      <c r="AD37" s="237"/>
      <c r="AE37" s="238"/>
      <c r="AF37" s="30">
        <v>240</v>
      </c>
      <c r="AG37" s="31" t="s">
        <v>47</v>
      </c>
      <c r="AH37" s="33"/>
      <c r="AI37" s="32"/>
      <c r="AJ37" s="11"/>
      <c r="AK37" s="11"/>
      <c r="AL37" s="11"/>
      <c r="AM37" s="11"/>
      <c r="AN37" s="11"/>
      <c r="AO37" s="29"/>
      <c r="AP37" s="250" t="s">
        <v>75</v>
      </c>
      <c r="AQ37" s="251"/>
      <c r="AR37" s="252"/>
      <c r="AS37" s="61">
        <f>71/AS36*100</f>
        <v>82.558139534883722</v>
      </c>
      <c r="AT37" s="60" t="s">
        <v>54</v>
      </c>
      <c r="AU37" s="29"/>
      <c r="AV37" s="29"/>
      <c r="AW37" s="29"/>
      <c r="AX37" s="29"/>
      <c r="AY37" s="33"/>
      <c r="AZ37" s="32"/>
      <c r="BA37" s="11"/>
      <c r="BB37" s="11"/>
      <c r="BC37" s="11"/>
      <c r="BD37" s="11"/>
      <c r="BE37" s="11"/>
      <c r="BF37" s="29"/>
      <c r="BJ37" s="29"/>
      <c r="BK37" s="29"/>
      <c r="BL37" s="29"/>
      <c r="BM37" s="29"/>
      <c r="BN37" s="29"/>
      <c r="BO37" s="29"/>
      <c r="BP37" s="33"/>
    </row>
    <row r="38" spans="1:68" ht="15" customHeight="1" x14ac:dyDescent="0.25">
      <c r="A38" s="10"/>
      <c r="B38" s="224" t="s">
        <v>49</v>
      </c>
      <c r="C38" s="225"/>
      <c r="D38" s="225"/>
      <c r="E38" s="225"/>
      <c r="F38" s="225"/>
      <c r="G38" s="34">
        <v>429</v>
      </c>
      <c r="H38" s="27" t="s">
        <v>50</v>
      </c>
      <c r="I38" s="29"/>
      <c r="J38" s="224" t="s">
        <v>49</v>
      </c>
      <c r="K38" s="225"/>
      <c r="L38" s="225"/>
      <c r="M38" s="225"/>
      <c r="N38" s="225"/>
      <c r="O38" s="34">
        <v>500</v>
      </c>
      <c r="P38" s="27" t="s">
        <v>50</v>
      </c>
      <c r="Q38" s="29"/>
      <c r="R38" s="32"/>
      <c r="S38" s="35" t="s">
        <v>51</v>
      </c>
      <c r="T38" s="36"/>
      <c r="U38" s="36"/>
      <c r="V38" s="36"/>
      <c r="W38" s="37"/>
      <c r="X38" s="26">
        <v>6292</v>
      </c>
      <c r="Y38" s="27" t="s">
        <v>52</v>
      </c>
      <c r="Z38" s="29"/>
      <c r="AA38" s="35" t="s">
        <v>51</v>
      </c>
      <c r="AB38" s="36"/>
      <c r="AC38" s="36"/>
      <c r="AD38" s="36"/>
      <c r="AE38" s="37"/>
      <c r="AF38" s="26">
        <v>6253</v>
      </c>
      <c r="AG38" s="27" t="s">
        <v>52</v>
      </c>
      <c r="AH38" s="33"/>
      <c r="AI38" s="32"/>
      <c r="AJ38" s="29"/>
      <c r="AK38" s="29"/>
      <c r="AL38" s="29"/>
      <c r="AM38" s="29"/>
      <c r="AN38" s="29"/>
      <c r="AO38" s="29"/>
      <c r="AP38" s="224" t="s">
        <v>60</v>
      </c>
      <c r="AQ38" s="225"/>
      <c r="AR38" s="225"/>
      <c r="AS38" s="26">
        <f>AS34/AS36/AS37*10000</f>
        <v>3704.2253521126763</v>
      </c>
      <c r="AT38" s="60" t="s">
        <v>61</v>
      </c>
      <c r="AU38" s="29"/>
      <c r="AV38" s="29"/>
      <c r="AW38" s="29"/>
      <c r="AX38" s="29"/>
      <c r="AY38" s="33"/>
      <c r="AZ38" s="32"/>
      <c r="BA38" s="29"/>
      <c r="BB38" s="29"/>
      <c r="BC38" s="29"/>
      <c r="BD38" s="29"/>
      <c r="BE38" s="29"/>
      <c r="BF38" s="29"/>
      <c r="BJ38" s="28"/>
      <c r="BK38" s="29"/>
      <c r="BL38" s="29"/>
      <c r="BM38" s="29"/>
      <c r="BN38" s="29"/>
      <c r="BO38" s="29"/>
      <c r="BP38" s="33"/>
    </row>
    <row r="39" spans="1:68" ht="15" customHeight="1" x14ac:dyDescent="0.25">
      <c r="A39" s="10"/>
      <c r="B39" s="224" t="s">
        <v>55</v>
      </c>
      <c r="C39" s="225"/>
      <c r="D39" s="225"/>
      <c r="E39" s="225"/>
      <c r="F39" s="225"/>
      <c r="G39" s="38">
        <f>G38/1.2</f>
        <v>357.5</v>
      </c>
      <c r="H39" s="27" t="s">
        <v>50</v>
      </c>
      <c r="I39" s="29"/>
      <c r="J39" s="224" t="s">
        <v>55</v>
      </c>
      <c r="K39" s="225"/>
      <c r="L39" s="225"/>
      <c r="M39" s="225"/>
      <c r="N39" s="225"/>
      <c r="O39" s="38">
        <f>O38/1.2</f>
        <v>416.66666666666669</v>
      </c>
      <c r="P39" s="27" t="s">
        <v>50</v>
      </c>
      <c r="Q39" s="29"/>
      <c r="R39" s="44"/>
      <c r="S39" s="35" t="s">
        <v>56</v>
      </c>
      <c r="T39" s="36"/>
      <c r="U39" s="36"/>
      <c r="V39" s="36"/>
      <c r="W39" s="37"/>
      <c r="X39" s="40">
        <f>0.129*0.8035</f>
        <v>0.10365150000000001</v>
      </c>
      <c r="Y39" s="27" t="s">
        <v>52</v>
      </c>
      <c r="Z39" s="29"/>
      <c r="AA39" s="35" t="s">
        <v>56</v>
      </c>
      <c r="AB39" s="36"/>
      <c r="AC39" s="36"/>
      <c r="AD39" s="36"/>
      <c r="AE39" s="37"/>
      <c r="AF39" s="40">
        <f>0.1*0.8035</f>
        <v>8.0350000000000005E-2</v>
      </c>
      <c r="AG39" s="27" t="s">
        <v>52</v>
      </c>
      <c r="AH39" s="47"/>
      <c r="AI39" s="32"/>
      <c r="AJ39" s="29"/>
      <c r="AK39" s="29"/>
      <c r="AL39" s="29"/>
      <c r="AM39" s="29"/>
      <c r="AN39" s="29"/>
      <c r="AO39" s="29"/>
      <c r="AP39" s="224" t="s">
        <v>19</v>
      </c>
      <c r="AQ39" s="225"/>
      <c r="AR39" s="225"/>
      <c r="AS39" s="62">
        <f>AS38/SQRT(3)/AS35*1000</f>
        <v>324.03568245171061</v>
      </c>
      <c r="AT39" s="60" t="s">
        <v>50</v>
      </c>
      <c r="AU39" s="29"/>
      <c r="AV39" s="29"/>
      <c r="AW39" s="29"/>
      <c r="AX39" s="29"/>
      <c r="AY39" s="33"/>
      <c r="AZ39" s="32"/>
      <c r="BA39" s="29"/>
      <c r="BB39" s="29"/>
      <c r="BC39" s="29"/>
      <c r="BD39" s="29"/>
      <c r="BE39" s="29"/>
      <c r="BF39" s="29"/>
      <c r="BJ39" s="63"/>
      <c r="BK39" s="29"/>
      <c r="BL39" s="29"/>
      <c r="BM39" s="29"/>
      <c r="BN39" s="29"/>
      <c r="BO39" s="29"/>
      <c r="BP39" s="33"/>
    </row>
    <row r="40" spans="1:68" ht="15" customHeight="1" thickBot="1" x14ac:dyDescent="0.3">
      <c r="A40" s="10"/>
      <c r="B40" s="220" t="s">
        <v>58</v>
      </c>
      <c r="C40" s="221"/>
      <c r="D40" s="221"/>
      <c r="E40" s="221"/>
      <c r="F40" s="221"/>
      <c r="G40" s="41">
        <f>G38*0.87</f>
        <v>373.23</v>
      </c>
      <c r="H40" s="42" t="s">
        <v>50</v>
      </c>
      <c r="I40" s="29"/>
      <c r="J40" s="220" t="s">
        <v>58</v>
      </c>
      <c r="K40" s="221"/>
      <c r="L40" s="221"/>
      <c r="M40" s="221"/>
      <c r="N40" s="221"/>
      <c r="O40" s="41">
        <f>O38*0.87</f>
        <v>435</v>
      </c>
      <c r="P40" s="42" t="s">
        <v>50</v>
      </c>
      <c r="Q40" s="43"/>
      <c r="R40" s="44"/>
      <c r="S40" s="233" t="s">
        <v>59</v>
      </c>
      <c r="T40" s="234"/>
      <c r="U40" s="234"/>
      <c r="V40" s="234"/>
      <c r="W40" s="235"/>
      <c r="X40" s="45">
        <v>0.122</v>
      </c>
      <c r="Y40" s="46" t="s">
        <v>52</v>
      </c>
      <c r="Z40" s="29"/>
      <c r="AA40" s="233" t="s">
        <v>59</v>
      </c>
      <c r="AB40" s="234"/>
      <c r="AC40" s="234"/>
      <c r="AD40" s="234"/>
      <c r="AE40" s="235"/>
      <c r="AF40" s="45">
        <v>0.12</v>
      </c>
      <c r="AG40" s="46" t="s">
        <v>52</v>
      </c>
      <c r="AH40" s="47"/>
      <c r="AI40" s="44"/>
      <c r="AJ40" s="29"/>
      <c r="AK40" s="29"/>
      <c r="AL40" s="29"/>
      <c r="AM40" s="29"/>
      <c r="AN40" s="29"/>
      <c r="AO40" s="43"/>
      <c r="AP40" s="224" t="s">
        <v>65</v>
      </c>
      <c r="AQ40" s="225"/>
      <c r="AR40" s="225"/>
      <c r="AS40" s="64">
        <f>AS34/AS37*100</f>
        <v>3185.6338028169012</v>
      </c>
      <c r="AT40" s="60" t="s">
        <v>48</v>
      </c>
      <c r="AU40" s="43"/>
      <c r="AV40" s="43"/>
      <c r="AW40" s="43"/>
      <c r="AX40" s="43"/>
      <c r="AY40" s="47"/>
      <c r="AZ40" s="44"/>
      <c r="BA40" s="29"/>
      <c r="BB40" s="29"/>
      <c r="BC40" s="29"/>
      <c r="BD40" s="29"/>
      <c r="BE40" s="29"/>
      <c r="BF40" s="43"/>
      <c r="BJ40" s="28"/>
      <c r="BK40" s="29"/>
      <c r="BL40" s="43"/>
      <c r="BM40" s="43"/>
      <c r="BN40" s="43"/>
      <c r="BO40" s="43"/>
      <c r="BP40" s="47"/>
    </row>
    <row r="41" spans="1:68" ht="15" customHeight="1" thickBot="1" x14ac:dyDescent="0.3">
      <c r="A41" s="10"/>
      <c r="B41" s="220" t="s">
        <v>62</v>
      </c>
      <c r="C41" s="221"/>
      <c r="D41" s="221"/>
      <c r="E41" s="221"/>
      <c r="F41" s="221"/>
      <c r="G41" s="41">
        <f>G40/1.2</f>
        <v>311.02500000000003</v>
      </c>
      <c r="H41" s="42" t="s">
        <v>50</v>
      </c>
      <c r="I41" s="29"/>
      <c r="J41" s="220" t="s">
        <v>62</v>
      </c>
      <c r="K41" s="221"/>
      <c r="L41" s="221"/>
      <c r="M41" s="221"/>
      <c r="N41" s="221"/>
      <c r="O41" s="41">
        <f>O40/1.2</f>
        <v>362.5</v>
      </c>
      <c r="P41" s="42" t="s">
        <v>50</v>
      </c>
      <c r="Q41" s="43"/>
      <c r="R41" s="44"/>
      <c r="S41" s="230"/>
      <c r="T41" s="230"/>
      <c r="U41" s="230"/>
      <c r="V41" s="230"/>
      <c r="W41" s="230"/>
      <c r="X41" s="48"/>
      <c r="Y41" s="29"/>
      <c r="Z41" s="29"/>
      <c r="AA41" s="230"/>
      <c r="AB41" s="230"/>
      <c r="AC41" s="230"/>
      <c r="AD41" s="230"/>
      <c r="AE41" s="230"/>
      <c r="AF41" s="48"/>
      <c r="AG41" s="29"/>
      <c r="AH41" s="47"/>
      <c r="AI41" s="44"/>
      <c r="AJ41" s="43"/>
      <c r="AK41" s="43"/>
      <c r="AL41" s="43"/>
      <c r="AM41" s="43"/>
      <c r="AN41" s="43"/>
      <c r="AO41" s="43"/>
      <c r="AP41" s="248" t="s">
        <v>67</v>
      </c>
      <c r="AQ41" s="249"/>
      <c r="AR41" s="249"/>
      <c r="AS41" s="65">
        <f>SQRT(AS38^2-AS40^2)</f>
        <v>1890.2440936515604</v>
      </c>
      <c r="AT41" s="66" t="s">
        <v>68</v>
      </c>
      <c r="AU41" s="43"/>
      <c r="AV41" s="43"/>
      <c r="AW41" s="43"/>
      <c r="AX41" s="43"/>
      <c r="AY41" s="47"/>
      <c r="AZ41" s="44"/>
      <c r="BA41" s="43"/>
      <c r="BB41" s="43"/>
      <c r="BC41" s="43"/>
      <c r="BD41" s="43"/>
      <c r="BE41" s="43"/>
      <c r="BF41" s="43"/>
      <c r="BJ41" s="28"/>
      <c r="BK41" s="29"/>
      <c r="BL41" s="43"/>
      <c r="BM41" s="43"/>
      <c r="BN41" s="43"/>
      <c r="BO41" s="43"/>
      <c r="BP41" s="47"/>
    </row>
    <row r="42" spans="1:68" ht="15" customHeight="1" thickBot="1" x14ac:dyDescent="0.3">
      <c r="A42" s="10"/>
      <c r="B42" s="231" t="s">
        <v>64</v>
      </c>
      <c r="C42" s="232"/>
      <c r="D42" s="232"/>
      <c r="E42" s="232"/>
      <c r="F42" s="232"/>
      <c r="G42" s="51">
        <f>G38*0.76</f>
        <v>326.04000000000002</v>
      </c>
      <c r="H42" s="52" t="s">
        <v>50</v>
      </c>
      <c r="I42" s="29"/>
      <c r="J42" s="231" t="s">
        <v>64</v>
      </c>
      <c r="K42" s="232"/>
      <c r="L42" s="232"/>
      <c r="M42" s="232"/>
      <c r="N42" s="232"/>
      <c r="O42" s="51">
        <f>O38*0.76</f>
        <v>380</v>
      </c>
      <c r="P42" s="52" t="s">
        <v>50</v>
      </c>
      <c r="Q42" s="53"/>
      <c r="R42" s="54"/>
      <c r="S42" s="14"/>
      <c r="T42" s="14"/>
      <c r="U42" s="14"/>
      <c r="V42" s="14"/>
      <c r="W42" s="14"/>
      <c r="X42" s="48"/>
      <c r="Y42" s="29"/>
      <c r="Z42" s="29"/>
      <c r="AA42" s="14"/>
      <c r="AB42" s="14"/>
      <c r="AC42" s="14"/>
      <c r="AD42" s="14"/>
      <c r="AE42" s="14"/>
      <c r="AF42" s="48"/>
      <c r="AG42" s="29"/>
      <c r="AH42" s="55"/>
      <c r="AI42" s="54"/>
      <c r="AJ42" s="43"/>
      <c r="AK42" s="43"/>
      <c r="AL42" s="43"/>
      <c r="AM42" s="43"/>
      <c r="AN42" s="43"/>
      <c r="AO42" s="53"/>
      <c r="AP42" s="53"/>
      <c r="AQ42" s="53"/>
      <c r="AR42" s="53"/>
      <c r="AS42" s="53"/>
      <c r="AT42" s="53"/>
      <c r="AU42" s="53"/>
      <c r="AV42" s="53"/>
      <c r="AW42" s="53"/>
      <c r="AX42" s="53"/>
      <c r="AY42" s="55"/>
      <c r="AZ42" s="54"/>
      <c r="BA42" s="43"/>
      <c r="BB42" s="43"/>
      <c r="BC42" s="43"/>
      <c r="BD42" s="43"/>
      <c r="BE42" s="43"/>
      <c r="BF42" s="53"/>
      <c r="BG42" s="53"/>
      <c r="BH42" s="53"/>
      <c r="BI42" s="53"/>
      <c r="BJ42" s="53"/>
      <c r="BK42" s="53"/>
      <c r="BL42" s="53"/>
      <c r="BM42" s="53"/>
      <c r="BN42" s="53"/>
      <c r="BO42" s="53"/>
      <c r="BP42" s="55"/>
    </row>
    <row r="43" spans="1:68" ht="15" customHeight="1" thickBot="1" x14ac:dyDescent="0.3">
      <c r="A43" s="10"/>
      <c r="B43" s="218" t="s">
        <v>66</v>
      </c>
      <c r="C43" s="219"/>
      <c r="D43" s="219"/>
      <c r="E43" s="219"/>
      <c r="F43" s="219"/>
      <c r="G43" s="56">
        <f>G42/1.2</f>
        <v>271.70000000000005</v>
      </c>
      <c r="H43" s="57" t="s">
        <v>50</v>
      </c>
      <c r="I43" s="29"/>
      <c r="J43" s="218" t="s">
        <v>66</v>
      </c>
      <c r="K43" s="219"/>
      <c r="L43" s="219"/>
      <c r="M43" s="219"/>
      <c r="N43" s="219"/>
      <c r="O43" s="56">
        <f>O42/1.2</f>
        <v>316.66666666666669</v>
      </c>
      <c r="P43" s="57" t="s">
        <v>50</v>
      </c>
      <c r="Q43" s="53"/>
      <c r="R43" s="54"/>
      <c r="S43" s="14"/>
      <c r="T43" s="14"/>
      <c r="U43" s="14"/>
      <c r="V43" s="14"/>
      <c r="W43" s="14"/>
      <c r="X43" s="48"/>
      <c r="Y43" s="29"/>
      <c r="Z43" s="29"/>
      <c r="AA43" s="14"/>
      <c r="AB43" s="14"/>
      <c r="AC43" s="14"/>
      <c r="AD43" s="14"/>
      <c r="AE43" s="14"/>
      <c r="AF43" s="48"/>
      <c r="AG43" s="29"/>
      <c r="AH43" s="55"/>
      <c r="AI43" s="54"/>
      <c r="AJ43" s="239" t="s">
        <v>81</v>
      </c>
      <c r="AK43" s="240"/>
      <c r="AL43" s="240"/>
      <c r="AM43" s="240"/>
      <c r="AN43" s="240"/>
      <c r="AO43" s="240"/>
      <c r="AP43" s="240"/>
      <c r="AQ43" s="240"/>
      <c r="AR43" s="240"/>
      <c r="AS43" s="240"/>
      <c r="AT43" s="240"/>
      <c r="AU43" s="240"/>
      <c r="AV43" s="240"/>
      <c r="AW43" s="240"/>
      <c r="AX43" s="241"/>
      <c r="AY43" s="55"/>
      <c r="AZ43" s="54"/>
      <c r="BA43" s="18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55"/>
    </row>
    <row r="44" spans="1:68" ht="15" customHeight="1" thickBot="1" x14ac:dyDescent="0.3">
      <c r="A44" s="10"/>
      <c r="B44" s="216" t="s">
        <v>158</v>
      </c>
      <c r="C44" s="217"/>
      <c r="D44" s="217"/>
      <c r="E44" s="217"/>
      <c r="F44" s="217"/>
      <c r="G44" s="191">
        <f>G38*0.708</f>
        <v>303.73199999999997</v>
      </c>
      <c r="H44" s="190" t="s">
        <v>50</v>
      </c>
      <c r="I44" s="29"/>
      <c r="J44" s="216" t="s">
        <v>158</v>
      </c>
      <c r="K44" s="217"/>
      <c r="L44" s="217"/>
      <c r="M44" s="217"/>
      <c r="N44" s="217"/>
      <c r="O44" s="191">
        <f>O38*0.708</f>
        <v>354</v>
      </c>
      <c r="P44" s="190" t="s">
        <v>50</v>
      </c>
      <c r="Q44" s="29"/>
      <c r="R44" s="32"/>
      <c r="S44" s="14"/>
      <c r="T44" s="14"/>
      <c r="U44" s="14"/>
      <c r="V44" s="14"/>
      <c r="W44" s="14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33"/>
      <c r="AI44" s="32"/>
      <c r="AJ44" s="242"/>
      <c r="AK44" s="243"/>
      <c r="AL44" s="243"/>
      <c r="AM44" s="243"/>
      <c r="AN44" s="243"/>
      <c r="AO44" s="243"/>
      <c r="AP44" s="243"/>
      <c r="AQ44" s="243"/>
      <c r="AR44" s="243"/>
      <c r="AS44" s="243"/>
      <c r="AT44" s="243"/>
      <c r="AU44" s="243"/>
      <c r="AV44" s="243"/>
      <c r="AW44" s="243"/>
      <c r="AX44" s="244"/>
      <c r="AY44" s="33"/>
      <c r="AZ44" s="32"/>
      <c r="BA44" s="18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33"/>
    </row>
    <row r="45" spans="1:68" ht="15" customHeight="1" thickBot="1" x14ac:dyDescent="0.3">
      <c r="A45" s="10"/>
      <c r="B45" s="245" t="s">
        <v>82</v>
      </c>
      <c r="C45" s="246"/>
      <c r="D45" s="246"/>
      <c r="E45" s="246"/>
      <c r="F45" s="246"/>
      <c r="G45" s="246"/>
      <c r="H45" s="247"/>
      <c r="I45" s="11"/>
      <c r="J45" s="245" t="s">
        <v>83</v>
      </c>
      <c r="K45" s="246"/>
      <c r="L45" s="246"/>
      <c r="M45" s="246"/>
      <c r="N45" s="246"/>
      <c r="O45" s="246"/>
      <c r="P45" s="247"/>
      <c r="Q45" s="11"/>
      <c r="R45" s="12"/>
      <c r="S45" s="245" t="s">
        <v>82</v>
      </c>
      <c r="T45" s="246"/>
      <c r="U45" s="246"/>
      <c r="V45" s="246"/>
      <c r="W45" s="246"/>
      <c r="X45" s="246"/>
      <c r="Y45" s="247"/>
      <c r="Z45" s="11"/>
      <c r="AA45" s="245" t="s">
        <v>83</v>
      </c>
      <c r="AB45" s="246"/>
      <c r="AC45" s="246"/>
      <c r="AD45" s="246"/>
      <c r="AE45" s="246"/>
      <c r="AF45" s="246"/>
      <c r="AG45" s="247"/>
      <c r="AH45" s="13"/>
      <c r="AI45" s="12"/>
      <c r="AJ45" s="29"/>
      <c r="AK45" s="29"/>
      <c r="AL45" s="29"/>
      <c r="AM45" s="29"/>
      <c r="AN45" s="29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3"/>
      <c r="AZ45" s="12"/>
      <c r="BA45" s="29"/>
      <c r="BB45" s="29"/>
      <c r="BC45" s="29"/>
      <c r="BD45" s="29"/>
      <c r="BE45" s="29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3"/>
    </row>
    <row r="46" spans="1:68" ht="15" customHeight="1" x14ac:dyDescent="0.25">
      <c r="A46" s="10"/>
      <c r="B46" s="222" t="s">
        <v>46</v>
      </c>
      <c r="C46" s="223"/>
      <c r="D46" s="223"/>
      <c r="E46" s="223"/>
      <c r="F46" s="223"/>
      <c r="G46" s="30">
        <v>300</v>
      </c>
      <c r="H46" s="31" t="s">
        <v>47</v>
      </c>
      <c r="I46" s="29"/>
      <c r="J46" s="222" t="s">
        <v>46</v>
      </c>
      <c r="K46" s="223"/>
      <c r="L46" s="223"/>
      <c r="M46" s="223"/>
      <c r="N46" s="223"/>
      <c r="O46" s="30">
        <v>400</v>
      </c>
      <c r="P46" s="31" t="s">
        <v>47</v>
      </c>
      <c r="Q46" s="29"/>
      <c r="R46" s="32"/>
      <c r="S46" s="236" t="s">
        <v>46</v>
      </c>
      <c r="T46" s="237"/>
      <c r="U46" s="237"/>
      <c r="V46" s="237"/>
      <c r="W46" s="238"/>
      <c r="X46" s="30">
        <v>300</v>
      </c>
      <c r="Y46" s="31" t="s">
        <v>47</v>
      </c>
      <c r="Z46" s="29"/>
      <c r="AA46" s="236" t="s">
        <v>46</v>
      </c>
      <c r="AB46" s="237"/>
      <c r="AC46" s="237"/>
      <c r="AD46" s="237"/>
      <c r="AE46" s="238"/>
      <c r="AF46" s="30">
        <v>400</v>
      </c>
      <c r="AG46" s="31" t="s">
        <v>47</v>
      </c>
      <c r="AH46" s="33"/>
      <c r="AI46" s="32"/>
      <c r="AJ46" s="11"/>
      <c r="AK46" s="11"/>
      <c r="AL46" s="11"/>
      <c r="AM46" s="11"/>
      <c r="AN46" s="11"/>
      <c r="AO46" s="29"/>
      <c r="AP46" s="29"/>
      <c r="AQ46" s="29"/>
      <c r="AR46" s="29"/>
      <c r="AS46" s="29"/>
      <c r="AT46" s="29"/>
      <c r="AU46" s="29"/>
      <c r="AV46" s="29"/>
      <c r="AW46" s="29"/>
      <c r="AX46" s="29"/>
      <c r="AY46" s="33"/>
      <c r="AZ46" s="32"/>
      <c r="BA46" s="11"/>
      <c r="BB46" s="11"/>
      <c r="BC46" s="11"/>
      <c r="BD46" s="11"/>
      <c r="BE46" s="11"/>
      <c r="BF46" s="29"/>
      <c r="BG46" s="29"/>
      <c r="BH46" s="29"/>
      <c r="BI46" s="29"/>
      <c r="BJ46" s="29"/>
      <c r="BK46" s="29"/>
      <c r="BL46" s="29"/>
      <c r="BM46" s="29"/>
      <c r="BN46" s="29"/>
      <c r="BO46" s="29"/>
      <c r="BP46" s="33"/>
    </row>
    <row r="47" spans="1:68" ht="15" customHeight="1" x14ac:dyDescent="0.25">
      <c r="A47" s="10"/>
      <c r="B47" s="224" t="s">
        <v>49</v>
      </c>
      <c r="C47" s="225"/>
      <c r="D47" s="225"/>
      <c r="E47" s="225"/>
      <c r="F47" s="225"/>
      <c r="G47" s="34">
        <v>545</v>
      </c>
      <c r="H47" s="27" t="s">
        <v>50</v>
      </c>
      <c r="I47" s="29"/>
      <c r="J47" s="224" t="s">
        <v>49</v>
      </c>
      <c r="K47" s="225"/>
      <c r="L47" s="225"/>
      <c r="M47" s="225"/>
      <c r="N47" s="225"/>
      <c r="O47" s="34">
        <v>600</v>
      </c>
      <c r="P47" s="27" t="s">
        <v>50</v>
      </c>
      <c r="Q47" s="29"/>
      <c r="R47" s="32"/>
      <c r="S47" s="35" t="s">
        <v>51</v>
      </c>
      <c r="T47" s="36"/>
      <c r="U47" s="36"/>
      <c r="V47" s="36"/>
      <c r="W47" s="37"/>
      <c r="X47" s="26">
        <v>5746</v>
      </c>
      <c r="Y47" s="27" t="s">
        <v>52</v>
      </c>
      <c r="Z47" s="29"/>
      <c r="AA47" s="35" t="s">
        <v>51</v>
      </c>
      <c r="AB47" s="36"/>
      <c r="AC47" s="36"/>
      <c r="AD47" s="36"/>
      <c r="AE47" s="37"/>
      <c r="AF47" s="26">
        <v>5105</v>
      </c>
      <c r="AG47" s="27" t="s">
        <v>52</v>
      </c>
      <c r="AH47" s="33"/>
      <c r="AI47" s="32"/>
      <c r="AJ47" s="29"/>
      <c r="AK47" s="29"/>
      <c r="AL47" s="29"/>
      <c r="AM47" s="29"/>
      <c r="AN47" s="29"/>
      <c r="AO47" s="29"/>
      <c r="AP47" s="29"/>
      <c r="AQ47" s="29"/>
      <c r="AR47" s="29"/>
      <c r="AS47" s="29"/>
      <c r="AT47" s="29"/>
      <c r="AU47" s="29"/>
      <c r="AV47" s="29"/>
      <c r="AW47" s="29"/>
      <c r="AX47" s="29"/>
      <c r="AY47" s="33"/>
      <c r="AZ47" s="32"/>
      <c r="BA47" s="29"/>
      <c r="BB47" s="29"/>
      <c r="BC47" s="29"/>
      <c r="BD47" s="29"/>
      <c r="BE47" s="29"/>
      <c r="BF47" s="29"/>
      <c r="BG47" s="29"/>
      <c r="BH47" s="29"/>
      <c r="BI47" s="29"/>
      <c r="BJ47" s="29"/>
      <c r="BK47" s="29"/>
      <c r="BL47" s="29"/>
      <c r="BM47" s="29"/>
      <c r="BN47" s="29"/>
      <c r="BO47" s="29"/>
      <c r="BP47" s="33"/>
    </row>
    <row r="48" spans="1:68" ht="15" customHeight="1" x14ac:dyDescent="0.25">
      <c r="A48" s="10"/>
      <c r="B48" s="224" t="s">
        <v>55</v>
      </c>
      <c r="C48" s="225"/>
      <c r="D48" s="225"/>
      <c r="E48" s="225"/>
      <c r="F48" s="225"/>
      <c r="G48" s="38">
        <f>G47/1.2</f>
        <v>454.16666666666669</v>
      </c>
      <c r="H48" s="27" t="s">
        <v>50</v>
      </c>
      <c r="I48" s="29"/>
      <c r="J48" s="224" t="s">
        <v>55</v>
      </c>
      <c r="K48" s="225"/>
      <c r="L48" s="225"/>
      <c r="M48" s="225"/>
      <c r="N48" s="225"/>
      <c r="O48" s="38">
        <f>O47/1.2</f>
        <v>500</v>
      </c>
      <c r="P48" s="27" t="s">
        <v>50</v>
      </c>
      <c r="Q48" s="29"/>
      <c r="R48" s="44"/>
      <c r="S48" s="35" t="s">
        <v>56</v>
      </c>
      <c r="T48" s="36"/>
      <c r="U48" s="36"/>
      <c r="V48" s="36"/>
      <c r="W48" s="37"/>
      <c r="X48" s="40">
        <f>0.081*0.8035</f>
        <v>6.5083500000000002E-2</v>
      </c>
      <c r="Y48" s="27" t="s">
        <v>52</v>
      </c>
      <c r="Z48" s="29"/>
      <c r="AA48" s="35" t="s">
        <v>56</v>
      </c>
      <c r="AB48" s="36"/>
      <c r="AC48" s="36"/>
      <c r="AD48" s="36"/>
      <c r="AE48" s="37"/>
      <c r="AF48" s="40">
        <f>0.066*0.8035</f>
        <v>5.3031000000000002E-2</v>
      </c>
      <c r="AG48" s="27" t="s">
        <v>52</v>
      </c>
      <c r="AH48" s="47"/>
      <c r="AI48" s="32"/>
      <c r="AJ48" s="29"/>
      <c r="AK48" s="29"/>
      <c r="AL48" s="29"/>
      <c r="AM48" s="29"/>
      <c r="AN48" s="29"/>
      <c r="AO48" s="29"/>
      <c r="AP48" s="29"/>
      <c r="AQ48" s="29"/>
      <c r="AR48" s="29"/>
      <c r="AS48" s="29"/>
      <c r="AT48" s="29"/>
      <c r="AU48" s="29"/>
      <c r="AV48" s="29"/>
      <c r="AW48" s="29"/>
      <c r="AX48" s="29"/>
      <c r="AY48" s="33"/>
      <c r="AZ48" s="32"/>
      <c r="BA48" s="29"/>
      <c r="BB48" s="29"/>
      <c r="BC48" s="29"/>
      <c r="BD48" s="29"/>
      <c r="BE48" s="29"/>
      <c r="BF48" s="29"/>
      <c r="BG48" s="29"/>
      <c r="BH48" s="29"/>
      <c r="BI48" s="29"/>
      <c r="BJ48" s="29"/>
      <c r="BK48" s="29"/>
      <c r="BL48" s="29"/>
      <c r="BM48" s="29"/>
      <c r="BN48" s="29"/>
      <c r="BO48" s="29"/>
      <c r="BP48" s="33"/>
    </row>
    <row r="49" spans="1:68" ht="15" customHeight="1" thickBot="1" x14ac:dyDescent="0.3">
      <c r="A49" s="10"/>
      <c r="B49" s="220" t="s">
        <v>58</v>
      </c>
      <c r="C49" s="221"/>
      <c r="D49" s="221"/>
      <c r="E49" s="221"/>
      <c r="F49" s="221"/>
      <c r="G49" s="41">
        <f>G47*0.87</f>
        <v>474.15</v>
      </c>
      <c r="H49" s="42" t="s">
        <v>50</v>
      </c>
      <c r="I49" s="29"/>
      <c r="J49" s="220" t="s">
        <v>58</v>
      </c>
      <c r="K49" s="221"/>
      <c r="L49" s="221"/>
      <c r="M49" s="221"/>
      <c r="N49" s="221"/>
      <c r="O49" s="41">
        <f>O47*0.87</f>
        <v>522</v>
      </c>
      <c r="P49" s="42" t="s">
        <v>50</v>
      </c>
      <c r="Q49" s="43"/>
      <c r="R49" s="44"/>
      <c r="S49" s="233" t="s">
        <v>59</v>
      </c>
      <c r="T49" s="234"/>
      <c r="U49" s="234"/>
      <c r="V49" s="234"/>
      <c r="W49" s="235"/>
      <c r="X49" s="45">
        <v>0.11700000000000001</v>
      </c>
      <c r="Y49" s="46" t="s">
        <v>52</v>
      </c>
      <c r="Z49" s="29"/>
      <c r="AA49" s="233" t="s">
        <v>59</v>
      </c>
      <c r="AB49" s="234"/>
      <c r="AC49" s="234"/>
      <c r="AD49" s="234"/>
      <c r="AE49" s="235"/>
      <c r="AF49" s="45">
        <v>0.112</v>
      </c>
      <c r="AG49" s="46" t="s">
        <v>52</v>
      </c>
      <c r="AH49" s="47"/>
      <c r="AI49" s="44"/>
      <c r="AJ49" s="29"/>
      <c r="AK49" s="29"/>
      <c r="AL49" s="29"/>
      <c r="AM49" s="29"/>
      <c r="AN49" s="29"/>
      <c r="AO49" s="43"/>
      <c r="AP49" s="43"/>
      <c r="AQ49" s="43"/>
      <c r="AR49" s="43"/>
      <c r="AS49" s="43"/>
      <c r="AT49" s="43"/>
      <c r="AU49" s="43"/>
      <c r="AV49" s="43"/>
      <c r="AW49" s="43"/>
      <c r="AX49" s="43"/>
      <c r="AY49" s="47"/>
      <c r="AZ49" s="44"/>
      <c r="BA49" s="29"/>
      <c r="BB49" s="29"/>
      <c r="BC49" s="29"/>
      <c r="BD49" s="29"/>
      <c r="BE49" s="29"/>
      <c r="BF49" s="43"/>
      <c r="BG49" s="43"/>
      <c r="BH49" s="43"/>
      <c r="BI49" s="43"/>
      <c r="BJ49" s="43"/>
      <c r="BK49" s="43"/>
      <c r="BL49" s="43"/>
      <c r="BM49" s="43"/>
      <c r="BN49" s="43"/>
      <c r="BO49" s="43"/>
      <c r="BP49" s="47"/>
    </row>
    <row r="50" spans="1:68" ht="15" customHeight="1" x14ac:dyDescent="0.25">
      <c r="A50" s="10"/>
      <c r="B50" s="220" t="s">
        <v>62</v>
      </c>
      <c r="C50" s="221"/>
      <c r="D50" s="221"/>
      <c r="E50" s="221"/>
      <c r="F50" s="221"/>
      <c r="G50" s="41">
        <f>G49/1.2</f>
        <v>395.125</v>
      </c>
      <c r="H50" s="42" t="s">
        <v>50</v>
      </c>
      <c r="I50" s="29"/>
      <c r="J50" s="220" t="s">
        <v>62</v>
      </c>
      <c r="K50" s="221"/>
      <c r="L50" s="221"/>
      <c r="M50" s="221"/>
      <c r="N50" s="221"/>
      <c r="O50" s="41">
        <f>O49/1.2</f>
        <v>435</v>
      </c>
      <c r="P50" s="42" t="s">
        <v>50</v>
      </c>
      <c r="Q50" s="43"/>
      <c r="R50" s="44"/>
      <c r="S50" s="230"/>
      <c r="T50" s="230"/>
      <c r="U50" s="230"/>
      <c r="V50" s="230"/>
      <c r="W50" s="230"/>
      <c r="X50" s="48"/>
      <c r="Y50" s="29"/>
      <c r="Z50" s="29"/>
      <c r="AA50" s="230"/>
      <c r="AB50" s="230"/>
      <c r="AC50" s="230"/>
      <c r="AD50" s="230"/>
      <c r="AE50" s="230"/>
      <c r="AF50" s="48"/>
      <c r="AG50" s="29"/>
      <c r="AH50" s="47"/>
      <c r="AI50" s="44"/>
      <c r="AJ50" s="43"/>
      <c r="AK50" s="43"/>
      <c r="AL50" s="43"/>
      <c r="AM50" s="43"/>
      <c r="AN50" s="43"/>
      <c r="AO50" s="43"/>
      <c r="AP50" s="43"/>
      <c r="AQ50" s="43"/>
      <c r="AR50" s="43"/>
      <c r="AS50" s="43"/>
      <c r="AT50" s="43"/>
      <c r="AU50" s="43"/>
      <c r="AV50" s="43"/>
      <c r="AW50" s="43"/>
      <c r="AX50" s="43"/>
      <c r="AY50" s="47"/>
      <c r="AZ50" s="44"/>
      <c r="BA50" s="43"/>
      <c r="BB50" s="43"/>
      <c r="BC50" s="43"/>
      <c r="BD50" s="43"/>
      <c r="BE50" s="43"/>
      <c r="BF50" s="43"/>
      <c r="BG50" s="43"/>
      <c r="BH50" s="43"/>
      <c r="BI50" s="43"/>
      <c r="BJ50" s="43"/>
      <c r="BK50" s="43"/>
      <c r="BL50" s="43"/>
      <c r="BM50" s="43"/>
      <c r="BN50" s="43"/>
      <c r="BO50" s="43"/>
      <c r="BP50" s="47"/>
    </row>
    <row r="51" spans="1:68" ht="15" customHeight="1" x14ac:dyDescent="0.25">
      <c r="A51" s="10"/>
      <c r="B51" s="231" t="s">
        <v>64</v>
      </c>
      <c r="C51" s="232"/>
      <c r="D51" s="232"/>
      <c r="E51" s="232"/>
      <c r="F51" s="232"/>
      <c r="G51" s="51">
        <f>G47*0.76</f>
        <v>414.2</v>
      </c>
      <c r="H51" s="52" t="s">
        <v>50</v>
      </c>
      <c r="I51" s="29"/>
      <c r="J51" s="231" t="s">
        <v>64</v>
      </c>
      <c r="K51" s="232"/>
      <c r="L51" s="232"/>
      <c r="M51" s="232"/>
      <c r="N51" s="232"/>
      <c r="O51" s="51">
        <f>O47*0.76</f>
        <v>456</v>
      </c>
      <c r="P51" s="52" t="s">
        <v>50</v>
      </c>
      <c r="Q51" s="53"/>
      <c r="R51" s="54"/>
      <c r="S51" s="14"/>
      <c r="T51" s="14"/>
      <c r="U51" s="14"/>
      <c r="V51" s="14"/>
      <c r="W51" s="14"/>
      <c r="X51" s="48"/>
      <c r="Y51" s="29"/>
      <c r="Z51" s="29"/>
      <c r="AA51" s="14"/>
      <c r="AB51" s="14"/>
      <c r="AC51" s="14"/>
      <c r="AD51" s="14"/>
      <c r="AE51" s="14"/>
      <c r="AF51" s="48"/>
      <c r="AG51" s="29"/>
      <c r="AH51" s="55"/>
      <c r="AI51" s="54"/>
      <c r="AJ51" s="43"/>
      <c r="AK51" s="43"/>
      <c r="AL51" s="43"/>
      <c r="AM51" s="43"/>
      <c r="AN51" s="43"/>
      <c r="AO51" s="53"/>
      <c r="AP51" s="53"/>
      <c r="AQ51" s="53"/>
      <c r="AR51" s="53"/>
      <c r="AS51" s="53"/>
      <c r="AT51" s="53"/>
      <c r="AU51" s="53"/>
      <c r="AV51" s="53"/>
      <c r="AW51" s="53"/>
      <c r="AX51" s="53"/>
      <c r="AY51" s="55"/>
      <c r="AZ51" s="54"/>
      <c r="BA51" s="43"/>
      <c r="BB51" s="43"/>
      <c r="BC51" s="43"/>
      <c r="BD51" s="43"/>
      <c r="BE51" s="43"/>
      <c r="BF51" s="53"/>
      <c r="BG51" s="53"/>
      <c r="BH51" s="53"/>
      <c r="BI51" s="53"/>
      <c r="BJ51" s="53"/>
      <c r="BK51" s="53"/>
      <c r="BL51" s="53"/>
      <c r="BM51" s="53"/>
      <c r="BN51" s="53"/>
      <c r="BO51" s="53"/>
      <c r="BP51" s="55"/>
    </row>
    <row r="52" spans="1:68" ht="15" customHeight="1" thickBot="1" x14ac:dyDescent="0.3">
      <c r="A52" s="68"/>
      <c r="B52" s="218" t="s">
        <v>66</v>
      </c>
      <c r="C52" s="219"/>
      <c r="D52" s="219"/>
      <c r="E52" s="219"/>
      <c r="F52" s="219"/>
      <c r="G52" s="56">
        <f>G51/1.2</f>
        <v>345.16666666666669</v>
      </c>
      <c r="H52" s="57" t="s">
        <v>50</v>
      </c>
      <c r="I52" s="69"/>
      <c r="J52" s="218" t="s">
        <v>66</v>
      </c>
      <c r="K52" s="219"/>
      <c r="L52" s="219"/>
      <c r="M52" s="219"/>
      <c r="N52" s="219"/>
      <c r="O52" s="56">
        <f>O51/1.2</f>
        <v>380</v>
      </c>
      <c r="P52" s="57" t="s">
        <v>50</v>
      </c>
      <c r="Q52" s="70"/>
      <c r="R52" s="54"/>
      <c r="S52" s="14"/>
      <c r="T52" s="14"/>
      <c r="U52" s="14"/>
      <c r="V52" s="14"/>
      <c r="W52" s="14"/>
      <c r="X52" s="48"/>
      <c r="Y52" s="29"/>
      <c r="Z52" s="29"/>
      <c r="AA52" s="14"/>
      <c r="AB52" s="14"/>
      <c r="AC52" s="14"/>
      <c r="AD52" s="14"/>
      <c r="AE52" s="14"/>
      <c r="AF52" s="48"/>
      <c r="AG52" s="29"/>
      <c r="AH52" s="55"/>
      <c r="AI52" s="54"/>
      <c r="AJ52" s="53"/>
      <c r="AK52" s="53"/>
      <c r="AL52" s="53"/>
      <c r="AM52" s="53"/>
      <c r="AN52" s="53"/>
      <c r="AO52" s="53"/>
      <c r="AP52" s="53"/>
      <c r="AQ52" s="53"/>
      <c r="AR52" s="53"/>
      <c r="AS52" s="53"/>
      <c r="AT52" s="53"/>
      <c r="AU52" s="53"/>
      <c r="AV52" s="53"/>
      <c r="AW52" s="53"/>
      <c r="AX52" s="53"/>
      <c r="AY52" s="55"/>
      <c r="AZ52" s="54"/>
      <c r="BA52" s="53"/>
      <c r="BB52" s="53"/>
      <c r="BC52" s="53"/>
      <c r="BD52" s="53"/>
      <c r="BE52" s="53"/>
      <c r="BF52" s="53"/>
      <c r="BG52" s="53"/>
      <c r="BH52" s="53"/>
      <c r="BI52" s="53"/>
      <c r="BJ52" s="53"/>
      <c r="BK52" s="53"/>
      <c r="BL52" s="53"/>
      <c r="BM52" s="53"/>
      <c r="BN52" s="53"/>
      <c r="BO52" s="53"/>
      <c r="BP52" s="55"/>
    </row>
    <row r="53" spans="1:68" ht="14.25" customHeight="1" thickBot="1" x14ac:dyDescent="0.3">
      <c r="B53" s="216" t="s">
        <v>158</v>
      </c>
      <c r="C53" s="217"/>
      <c r="D53" s="217"/>
      <c r="E53" s="217"/>
      <c r="F53" s="217"/>
      <c r="G53" s="191">
        <f>G47*0.708</f>
        <v>385.85999999999996</v>
      </c>
      <c r="H53" s="190" t="s">
        <v>50</v>
      </c>
      <c r="J53" s="216" t="s">
        <v>158</v>
      </c>
      <c r="K53" s="217"/>
      <c r="L53" s="217"/>
      <c r="M53" s="217"/>
      <c r="N53" s="217"/>
      <c r="O53" s="191">
        <f>O47*0.708</f>
        <v>424.79999999999995</v>
      </c>
      <c r="P53" s="190" t="s">
        <v>50</v>
      </c>
      <c r="R53" s="72"/>
      <c r="S53" s="73"/>
      <c r="T53" s="73"/>
      <c r="U53" s="73"/>
      <c r="V53" s="73"/>
      <c r="W53" s="73"/>
      <c r="X53" s="73"/>
      <c r="Y53" s="73"/>
      <c r="Z53" s="74"/>
      <c r="AA53" s="74"/>
      <c r="AB53" s="74"/>
      <c r="AC53" s="74"/>
      <c r="AD53" s="74"/>
      <c r="AE53" s="74"/>
      <c r="AF53" s="74"/>
      <c r="AG53" s="74"/>
      <c r="AH53" s="75"/>
      <c r="AI53" s="72"/>
      <c r="AJ53" s="74"/>
      <c r="AK53" s="74"/>
      <c r="AL53" s="74"/>
      <c r="AM53" s="74"/>
      <c r="AN53" s="74"/>
      <c r="AO53" s="74"/>
      <c r="AP53" s="74"/>
      <c r="AQ53" s="74"/>
      <c r="AR53" s="74"/>
      <c r="AS53" s="74"/>
      <c r="AT53" s="74"/>
      <c r="AU53" s="74"/>
      <c r="AV53" s="74"/>
      <c r="AW53" s="74"/>
      <c r="AX53" s="74"/>
      <c r="AY53" s="75"/>
      <c r="AZ53" s="72"/>
      <c r="BA53" s="74"/>
      <c r="BB53" s="74"/>
      <c r="BC53" s="74"/>
      <c r="BD53" s="74"/>
      <c r="BE53" s="74"/>
      <c r="BF53" s="74"/>
      <c r="BG53" s="74"/>
      <c r="BH53" s="74"/>
      <c r="BI53" s="74"/>
      <c r="BJ53" s="74"/>
      <c r="BK53" s="74"/>
      <c r="BL53" s="74"/>
      <c r="BM53" s="74"/>
      <c r="BN53" s="74"/>
      <c r="BO53" s="74"/>
      <c r="BP53" s="75"/>
    </row>
    <row r="54" spans="1:68" ht="15" customHeight="1" thickBot="1" x14ac:dyDescent="0.3">
      <c r="AK54" s="15">
        <f t="shared" ref="AK54:AK59" si="0">(3*13.8*AL54*SQRT(3)/1000)*0.92</f>
        <v>53.426962993012602</v>
      </c>
      <c r="AL54" s="15">
        <f t="shared" ref="AL54:AL55" si="1">$AL$57*AM54</f>
        <v>809.86324999999988</v>
      </c>
      <c r="AM54" s="15">
        <f t="shared" ref="AM54:AM56" si="2">-0.00009*AN54^2 - 0.0017*AN54 + 1.134</f>
        <v>1.1232499999999999</v>
      </c>
      <c r="AN54" s="15">
        <v>5</v>
      </c>
    </row>
    <row r="55" spans="1:68" ht="15" customHeight="1" thickBot="1" x14ac:dyDescent="0.3">
      <c r="B55" s="292" t="s">
        <v>138</v>
      </c>
      <c r="C55" s="293"/>
      <c r="D55" s="293"/>
      <c r="E55" s="293"/>
      <c r="F55" s="293"/>
      <c r="G55" s="293"/>
      <c r="H55" s="294"/>
      <c r="J55" s="245" t="s">
        <v>139</v>
      </c>
      <c r="K55" s="246"/>
      <c r="L55" s="246"/>
      <c r="M55" s="246"/>
      <c r="N55" s="246"/>
      <c r="O55" s="246"/>
      <c r="P55" s="247"/>
      <c r="S55" s="292" t="s">
        <v>138</v>
      </c>
      <c r="T55" s="293"/>
      <c r="U55" s="293"/>
      <c r="V55" s="293"/>
      <c r="W55" s="293"/>
      <c r="X55" s="293"/>
      <c r="Y55" s="294"/>
      <c r="AA55" s="245" t="s">
        <v>139</v>
      </c>
      <c r="AB55" s="246"/>
      <c r="AC55" s="246"/>
      <c r="AD55" s="246"/>
      <c r="AE55" s="246"/>
      <c r="AF55" s="246"/>
      <c r="AG55" s="247"/>
      <c r="AK55" s="15">
        <f t="shared" si="0"/>
        <v>52.701602489435089</v>
      </c>
      <c r="AL55" s="15">
        <f t="shared" si="1"/>
        <v>798.86799999999994</v>
      </c>
      <c r="AM55" s="15">
        <f t="shared" si="2"/>
        <v>1.1079999999999999</v>
      </c>
      <c r="AN55" s="15">
        <v>10</v>
      </c>
    </row>
    <row r="56" spans="1:68" ht="15" customHeight="1" x14ac:dyDescent="0.25">
      <c r="B56" s="301" t="s">
        <v>46</v>
      </c>
      <c r="C56" s="302"/>
      <c r="D56" s="302"/>
      <c r="E56" s="302"/>
      <c r="F56" s="302"/>
      <c r="G56" s="134">
        <v>400</v>
      </c>
      <c r="H56" s="135" t="s">
        <v>47</v>
      </c>
      <c r="J56" s="222" t="s">
        <v>46</v>
      </c>
      <c r="K56" s="223"/>
      <c r="L56" s="223"/>
      <c r="M56" s="223"/>
      <c r="N56" s="223"/>
      <c r="O56" s="30">
        <v>630</v>
      </c>
      <c r="P56" s="31" t="s">
        <v>47</v>
      </c>
      <c r="S56" s="295" t="s">
        <v>46</v>
      </c>
      <c r="T56" s="296"/>
      <c r="U56" s="296"/>
      <c r="V56" s="296"/>
      <c r="W56" s="297"/>
      <c r="X56" s="134">
        <v>500</v>
      </c>
      <c r="Y56" s="135" t="s">
        <v>47</v>
      </c>
      <c r="AA56" s="236" t="s">
        <v>46</v>
      </c>
      <c r="AB56" s="237"/>
      <c r="AC56" s="237"/>
      <c r="AD56" s="237"/>
      <c r="AE56" s="238"/>
      <c r="AF56" s="30">
        <v>630</v>
      </c>
      <c r="AG56" s="31" t="s">
        <v>47</v>
      </c>
      <c r="AK56" s="15">
        <f t="shared" si="0"/>
        <v>51.762201181523238</v>
      </c>
      <c r="AL56" s="15">
        <f>$AL$57*AM56</f>
        <v>784.62824999999998</v>
      </c>
      <c r="AM56" s="15">
        <f t="shared" si="2"/>
        <v>1.0882499999999999</v>
      </c>
      <c r="AN56" s="15">
        <v>15</v>
      </c>
    </row>
    <row r="57" spans="1:68" ht="15" customHeight="1" x14ac:dyDescent="0.25">
      <c r="B57" s="303" t="s">
        <v>49</v>
      </c>
      <c r="C57" s="304"/>
      <c r="D57" s="304"/>
      <c r="E57" s="304"/>
      <c r="F57" s="304"/>
      <c r="G57" s="144">
        <v>659</v>
      </c>
      <c r="H57" s="140" t="s">
        <v>50</v>
      </c>
      <c r="J57" s="224" t="s">
        <v>49</v>
      </c>
      <c r="K57" s="225"/>
      <c r="L57" s="225"/>
      <c r="M57" s="225"/>
      <c r="N57" s="225"/>
      <c r="O57" s="34">
        <v>721</v>
      </c>
      <c r="P57" s="27" t="s">
        <v>50</v>
      </c>
      <c r="S57" s="136" t="s">
        <v>51</v>
      </c>
      <c r="T57" s="137"/>
      <c r="U57" s="137"/>
      <c r="V57" s="137"/>
      <c r="W57" s="138"/>
      <c r="X57" s="139">
        <v>4669</v>
      </c>
      <c r="Y57" s="140" t="s">
        <v>52</v>
      </c>
      <c r="AA57" s="103" t="s">
        <v>51</v>
      </c>
      <c r="AB57" s="104"/>
      <c r="AC57" s="104"/>
      <c r="AD57" s="104"/>
      <c r="AE57" s="105"/>
      <c r="AF57" s="26">
        <v>4583</v>
      </c>
      <c r="AG57" s="27" t="s">
        <v>52</v>
      </c>
      <c r="AK57" s="15">
        <f t="shared" si="0"/>
        <v>47.564623185410738</v>
      </c>
      <c r="AL57" s="59">
        <f>O57</f>
        <v>721</v>
      </c>
      <c r="AM57" s="15">
        <f t="shared" ref="AM57:AM60" si="3">-0.00009*AN57^2 - 0.0017*AN57 + 1.134</f>
        <v>1.0019999999999998</v>
      </c>
      <c r="AN57" s="15">
        <v>30</v>
      </c>
    </row>
    <row r="58" spans="1:68" ht="15" customHeight="1" x14ac:dyDescent="0.25">
      <c r="B58" s="303" t="s">
        <v>55</v>
      </c>
      <c r="C58" s="304"/>
      <c r="D58" s="304"/>
      <c r="E58" s="304"/>
      <c r="F58" s="304"/>
      <c r="G58" s="145">
        <f>G57/1.2</f>
        <v>549.16666666666674</v>
      </c>
      <c r="H58" s="140" t="s">
        <v>50</v>
      </c>
      <c r="J58" s="224" t="s">
        <v>55</v>
      </c>
      <c r="K58" s="225"/>
      <c r="L58" s="225"/>
      <c r="M58" s="225"/>
      <c r="N58" s="225"/>
      <c r="O58" s="38">
        <f>O57/1.2</f>
        <v>600.83333333333337</v>
      </c>
      <c r="P58" s="27" t="s">
        <v>50</v>
      </c>
      <c r="S58" s="136" t="s">
        <v>56</v>
      </c>
      <c r="T58" s="137"/>
      <c r="U58" s="137"/>
      <c r="V58" s="137"/>
      <c r="W58" s="138"/>
      <c r="X58" s="141">
        <f>(AF48+AF58)/2</f>
        <v>4.7490500000000005E-2</v>
      </c>
      <c r="Y58" s="140" t="s">
        <v>52</v>
      </c>
      <c r="AA58" s="103" t="s">
        <v>56</v>
      </c>
      <c r="AB58" s="104"/>
      <c r="AC58" s="104"/>
      <c r="AD58" s="104"/>
      <c r="AE58" s="105"/>
      <c r="AF58" s="40">
        <v>4.1950000000000001E-2</v>
      </c>
      <c r="AG58" s="27" t="s">
        <v>52</v>
      </c>
      <c r="AK58" s="15">
        <f t="shared" si="0"/>
        <v>41.381222171307343</v>
      </c>
      <c r="AL58" s="59">
        <f>O59</f>
        <v>627.27</v>
      </c>
      <c r="AM58" s="15">
        <f t="shared" si="3"/>
        <v>0.87524999999999986</v>
      </c>
      <c r="AN58" s="15">
        <v>45</v>
      </c>
    </row>
    <row r="59" spans="1:68" ht="15" customHeight="1" thickBot="1" x14ac:dyDescent="0.3">
      <c r="B59" s="226" t="s">
        <v>58</v>
      </c>
      <c r="C59" s="227"/>
      <c r="D59" s="227"/>
      <c r="E59" s="227"/>
      <c r="F59" s="227"/>
      <c r="G59" s="146">
        <f>G57*0.87</f>
        <v>573.33000000000004</v>
      </c>
      <c r="H59" s="147" t="s">
        <v>50</v>
      </c>
      <c r="J59" s="220" t="s">
        <v>58</v>
      </c>
      <c r="K59" s="221"/>
      <c r="L59" s="221"/>
      <c r="M59" s="221"/>
      <c r="N59" s="221"/>
      <c r="O59" s="41">
        <f>O57*0.87</f>
        <v>627.27</v>
      </c>
      <c r="P59" s="42" t="s">
        <v>50</v>
      </c>
      <c r="S59" s="298" t="s">
        <v>59</v>
      </c>
      <c r="T59" s="299"/>
      <c r="U59" s="299"/>
      <c r="V59" s="299"/>
      <c r="W59" s="300"/>
      <c r="X59" s="142">
        <v>0.112</v>
      </c>
      <c r="Y59" s="143" t="s">
        <v>52</v>
      </c>
      <c r="AA59" s="233" t="s">
        <v>59</v>
      </c>
      <c r="AB59" s="234"/>
      <c r="AC59" s="234"/>
      <c r="AD59" s="234"/>
      <c r="AE59" s="235"/>
      <c r="AF59" s="45">
        <v>0.111</v>
      </c>
      <c r="AG59" s="46" t="s">
        <v>52</v>
      </c>
      <c r="AK59" s="15">
        <f t="shared" si="0"/>
        <v>36.149113620912168</v>
      </c>
      <c r="AL59" s="59">
        <f>O61</f>
        <v>547.96</v>
      </c>
      <c r="AM59" s="15">
        <f t="shared" si="3"/>
        <v>0.76824999999999988</v>
      </c>
      <c r="AN59" s="15">
        <v>55</v>
      </c>
    </row>
    <row r="60" spans="1:68" ht="15" customHeight="1" x14ac:dyDescent="0.25">
      <c r="B60" s="226" t="s">
        <v>62</v>
      </c>
      <c r="C60" s="227"/>
      <c r="D60" s="227"/>
      <c r="E60" s="227"/>
      <c r="F60" s="227"/>
      <c r="G60" s="146">
        <f>G59/1.2</f>
        <v>477.77500000000003</v>
      </c>
      <c r="H60" s="147" t="s">
        <v>50</v>
      </c>
      <c r="J60" s="220" t="s">
        <v>62</v>
      </c>
      <c r="K60" s="221"/>
      <c r="L60" s="221"/>
      <c r="M60" s="221"/>
      <c r="N60" s="221"/>
      <c r="O60" s="41">
        <f>O59/1.2</f>
        <v>522.72500000000002</v>
      </c>
      <c r="P60" s="42" t="s">
        <v>50</v>
      </c>
      <c r="S60" s="9">
        <f>O59*0.9</f>
        <v>564.54300000000001</v>
      </c>
      <c r="AK60" s="15">
        <f>(3*13.8*AL60*SQRT(3)/1000)*0.92</f>
        <v>33.675753215270802</v>
      </c>
      <c r="AL60" s="15">
        <f>$AL$57*AM60</f>
        <v>510.46799999999996</v>
      </c>
      <c r="AM60" s="15">
        <f t="shared" si="3"/>
        <v>0.70799999999999996</v>
      </c>
      <c r="AN60" s="15">
        <v>60</v>
      </c>
      <c r="AO60" s="15">
        <f>1-AL60/AL54</f>
        <v>0.36968617849988872</v>
      </c>
    </row>
    <row r="61" spans="1:68" ht="15" customHeight="1" x14ac:dyDescent="0.25">
      <c r="B61" s="228" t="s">
        <v>64</v>
      </c>
      <c r="C61" s="229"/>
      <c r="D61" s="229"/>
      <c r="E61" s="229"/>
      <c r="F61" s="229"/>
      <c r="G61" s="148">
        <f>G57*0.76</f>
        <v>500.84000000000003</v>
      </c>
      <c r="H61" s="149" t="s">
        <v>50</v>
      </c>
      <c r="J61" s="231" t="s">
        <v>64</v>
      </c>
      <c r="K61" s="232"/>
      <c r="L61" s="232"/>
      <c r="M61" s="232"/>
      <c r="N61" s="232"/>
      <c r="O61" s="51">
        <f>O57*0.76</f>
        <v>547.96</v>
      </c>
      <c r="P61" s="52" t="s">
        <v>50</v>
      </c>
      <c r="AL61" s="15">
        <v>425.39</v>
      </c>
    </row>
    <row r="62" spans="1:68" ht="15" customHeight="1" thickBot="1" x14ac:dyDescent="0.3">
      <c r="B62" s="290" t="s">
        <v>66</v>
      </c>
      <c r="C62" s="291"/>
      <c r="D62" s="291"/>
      <c r="E62" s="291"/>
      <c r="F62" s="291"/>
      <c r="G62" s="150">
        <f>G61/1.2</f>
        <v>417.36666666666673</v>
      </c>
      <c r="H62" s="151" t="s">
        <v>50</v>
      </c>
      <c r="J62" s="218" t="s">
        <v>66</v>
      </c>
      <c r="K62" s="219"/>
      <c r="L62" s="219"/>
      <c r="M62" s="219"/>
      <c r="N62" s="219"/>
      <c r="O62" s="56">
        <f>O61/1.2</f>
        <v>456.63333333333338</v>
      </c>
      <c r="P62" s="57" t="s">
        <v>50</v>
      </c>
    </row>
    <row r="63" spans="1:68" ht="15" customHeight="1" x14ac:dyDescent="0.25">
      <c r="B63" s="216" t="s">
        <v>158</v>
      </c>
      <c r="C63" s="217"/>
      <c r="D63" s="217"/>
      <c r="E63" s="217"/>
      <c r="F63" s="217"/>
      <c r="G63" s="191">
        <f>G57*0.708</f>
        <v>466.572</v>
      </c>
      <c r="H63" s="190" t="s">
        <v>50</v>
      </c>
      <c r="J63" s="216" t="s">
        <v>158</v>
      </c>
      <c r="K63" s="217"/>
      <c r="L63" s="217"/>
      <c r="M63" s="217"/>
      <c r="N63" s="217"/>
      <c r="O63" s="191">
        <f>O57*0.708</f>
        <v>510.46799999999996</v>
      </c>
      <c r="P63" s="190" t="s">
        <v>50</v>
      </c>
    </row>
  </sheetData>
  <mergeCells count="207">
    <mergeCell ref="S55:Y55"/>
    <mergeCell ref="S56:W56"/>
    <mergeCell ref="S59:W59"/>
    <mergeCell ref="AA55:AG55"/>
    <mergeCell ref="AA56:AE56"/>
    <mergeCell ref="AA59:AE59"/>
    <mergeCell ref="B55:H55"/>
    <mergeCell ref="B56:F56"/>
    <mergeCell ref="B57:F57"/>
    <mergeCell ref="B58:F58"/>
    <mergeCell ref="B59:F59"/>
    <mergeCell ref="B62:F62"/>
    <mergeCell ref="J55:P55"/>
    <mergeCell ref="J56:N56"/>
    <mergeCell ref="J57:N57"/>
    <mergeCell ref="J58:N58"/>
    <mergeCell ref="J59:N59"/>
    <mergeCell ref="J60:N60"/>
    <mergeCell ref="J61:N61"/>
    <mergeCell ref="J62:N62"/>
    <mergeCell ref="B2:P2"/>
    <mergeCell ref="S2:AG2"/>
    <mergeCell ref="AJ2:AX4"/>
    <mergeCell ref="BA2:BO2"/>
    <mergeCell ref="B4:P7"/>
    <mergeCell ref="S4:AG7"/>
    <mergeCell ref="BA4:BO4"/>
    <mergeCell ref="BA5:BB5"/>
    <mergeCell ref="BC5:BO5"/>
    <mergeCell ref="AJ6:AO6"/>
    <mergeCell ref="B10:F10"/>
    <mergeCell ref="J10:N10"/>
    <mergeCell ref="S10:W10"/>
    <mergeCell ref="AA10:AE10"/>
    <mergeCell ref="AJ10:AM10"/>
    <mergeCell ref="B11:F11"/>
    <mergeCell ref="J11:N11"/>
    <mergeCell ref="AJ11:AM11"/>
    <mergeCell ref="AJ7:AO7"/>
    <mergeCell ref="AJ8:AM8"/>
    <mergeCell ref="B9:H9"/>
    <mergeCell ref="J9:P9"/>
    <mergeCell ref="S9:Y9"/>
    <mergeCell ref="AA9:AG9"/>
    <mergeCell ref="AJ9:AM9"/>
    <mergeCell ref="B14:F14"/>
    <mergeCell ref="J14:N14"/>
    <mergeCell ref="S14:W14"/>
    <mergeCell ref="AA14:AE14"/>
    <mergeCell ref="AJ14:AM14"/>
    <mergeCell ref="B15:F15"/>
    <mergeCell ref="J15:N15"/>
    <mergeCell ref="AJ15:AM15"/>
    <mergeCell ref="B12:F12"/>
    <mergeCell ref="J12:N12"/>
    <mergeCell ref="AJ12:AM12"/>
    <mergeCell ref="B13:F13"/>
    <mergeCell ref="J13:N13"/>
    <mergeCell ref="S13:W13"/>
    <mergeCell ref="AA13:AE13"/>
    <mergeCell ref="AJ13:AM13"/>
    <mergeCell ref="S19:W19"/>
    <mergeCell ref="AA19:AE19"/>
    <mergeCell ref="B20:F20"/>
    <mergeCell ref="J20:N20"/>
    <mergeCell ref="B21:F21"/>
    <mergeCell ref="J21:N21"/>
    <mergeCell ref="B16:F16"/>
    <mergeCell ref="J16:N16"/>
    <mergeCell ref="AJ16:AM16"/>
    <mergeCell ref="B18:H18"/>
    <mergeCell ref="J18:P18"/>
    <mergeCell ref="S18:Y18"/>
    <mergeCell ref="AA18:AG18"/>
    <mergeCell ref="AJ18:AX19"/>
    <mergeCell ref="B19:F19"/>
    <mergeCell ref="J19:N19"/>
    <mergeCell ref="B17:F17"/>
    <mergeCell ref="J17:N17"/>
    <mergeCell ref="B23:F23"/>
    <mergeCell ref="J23:N23"/>
    <mergeCell ref="S23:W23"/>
    <mergeCell ref="AA23:AE23"/>
    <mergeCell ref="AJ23:AL23"/>
    <mergeCell ref="AP23:AR23"/>
    <mergeCell ref="AJ21:AN21"/>
    <mergeCell ref="AP21:AT21"/>
    <mergeCell ref="B22:F22"/>
    <mergeCell ref="J22:N22"/>
    <mergeCell ref="S22:W22"/>
    <mergeCell ref="AA22:AE22"/>
    <mergeCell ref="AJ22:AN22"/>
    <mergeCell ref="AP22:AT22"/>
    <mergeCell ref="AJ26:AL26"/>
    <mergeCell ref="AP26:AR26"/>
    <mergeCell ref="B27:H27"/>
    <mergeCell ref="J27:P27"/>
    <mergeCell ref="S27:Y27"/>
    <mergeCell ref="AA27:AG27"/>
    <mergeCell ref="AJ27:AL27"/>
    <mergeCell ref="AP27:AR27"/>
    <mergeCell ref="B24:F24"/>
    <mergeCell ref="J24:N24"/>
    <mergeCell ref="AJ24:AL24"/>
    <mergeCell ref="AP24:AR24"/>
    <mergeCell ref="B25:F25"/>
    <mergeCell ref="J25:N25"/>
    <mergeCell ref="AJ25:AL25"/>
    <mergeCell ref="AP25:AR25"/>
    <mergeCell ref="AJ29:AL29"/>
    <mergeCell ref="AP29:AR29"/>
    <mergeCell ref="B30:F30"/>
    <mergeCell ref="J30:N30"/>
    <mergeCell ref="AJ30:AL30"/>
    <mergeCell ref="AP30:AR30"/>
    <mergeCell ref="B28:F28"/>
    <mergeCell ref="J28:N28"/>
    <mergeCell ref="S28:W28"/>
    <mergeCell ref="AA28:AE28"/>
    <mergeCell ref="AJ28:AL28"/>
    <mergeCell ref="AP28:AR28"/>
    <mergeCell ref="AP32:AT32"/>
    <mergeCell ref="B33:F33"/>
    <mergeCell ref="J33:N33"/>
    <mergeCell ref="AM33:AN33"/>
    <mergeCell ref="AP33:AT33"/>
    <mergeCell ref="B34:F34"/>
    <mergeCell ref="J34:N34"/>
    <mergeCell ref="AP34:AR34"/>
    <mergeCell ref="B31:F31"/>
    <mergeCell ref="J31:N31"/>
    <mergeCell ref="S31:W31"/>
    <mergeCell ref="AA31:AE31"/>
    <mergeCell ref="B32:F32"/>
    <mergeCell ref="J32:N32"/>
    <mergeCell ref="S32:W32"/>
    <mergeCell ref="AA32:AE32"/>
    <mergeCell ref="S37:W37"/>
    <mergeCell ref="AA37:AE37"/>
    <mergeCell ref="AP37:AR37"/>
    <mergeCell ref="B38:F38"/>
    <mergeCell ref="J38:N38"/>
    <mergeCell ref="AP38:AR38"/>
    <mergeCell ref="AP35:AR35"/>
    <mergeCell ref="B36:H36"/>
    <mergeCell ref="J36:P36"/>
    <mergeCell ref="S36:Y36"/>
    <mergeCell ref="AA36:AG36"/>
    <mergeCell ref="AP36:AR36"/>
    <mergeCell ref="S41:W41"/>
    <mergeCell ref="AA41:AE41"/>
    <mergeCell ref="AP41:AR41"/>
    <mergeCell ref="B42:F42"/>
    <mergeCell ref="J42:N42"/>
    <mergeCell ref="B39:F39"/>
    <mergeCell ref="J39:N39"/>
    <mergeCell ref="AP39:AR39"/>
    <mergeCell ref="B40:F40"/>
    <mergeCell ref="J40:N40"/>
    <mergeCell ref="S40:W40"/>
    <mergeCell ref="AA40:AE40"/>
    <mergeCell ref="AP40:AR40"/>
    <mergeCell ref="S46:W46"/>
    <mergeCell ref="AA46:AE46"/>
    <mergeCell ref="B47:F47"/>
    <mergeCell ref="J47:N47"/>
    <mergeCell ref="B43:F43"/>
    <mergeCell ref="J43:N43"/>
    <mergeCell ref="AJ43:AX44"/>
    <mergeCell ref="B45:H45"/>
    <mergeCell ref="J45:P45"/>
    <mergeCell ref="S45:Y45"/>
    <mergeCell ref="AA45:AG45"/>
    <mergeCell ref="S50:W50"/>
    <mergeCell ref="AA50:AE50"/>
    <mergeCell ref="B51:F51"/>
    <mergeCell ref="J51:N51"/>
    <mergeCell ref="B48:F48"/>
    <mergeCell ref="J48:N48"/>
    <mergeCell ref="B49:F49"/>
    <mergeCell ref="J49:N49"/>
    <mergeCell ref="S49:W49"/>
    <mergeCell ref="AA49:AE49"/>
    <mergeCell ref="J63:N63"/>
    <mergeCell ref="B63:F63"/>
    <mergeCell ref="B53:F53"/>
    <mergeCell ref="J53:N53"/>
    <mergeCell ref="B44:F44"/>
    <mergeCell ref="J44:N44"/>
    <mergeCell ref="B35:F35"/>
    <mergeCell ref="J35:N35"/>
    <mergeCell ref="B26:F26"/>
    <mergeCell ref="J26:N26"/>
    <mergeCell ref="B52:F52"/>
    <mergeCell ref="J52:N52"/>
    <mergeCell ref="B50:F50"/>
    <mergeCell ref="J50:N50"/>
    <mergeCell ref="B46:F46"/>
    <mergeCell ref="J46:N46"/>
    <mergeCell ref="B41:F41"/>
    <mergeCell ref="J41:N41"/>
    <mergeCell ref="B37:F37"/>
    <mergeCell ref="J37:N37"/>
    <mergeCell ref="B29:F29"/>
    <mergeCell ref="J29:N29"/>
    <mergeCell ref="B60:F60"/>
    <mergeCell ref="B61:F61"/>
  </mergeCells>
  <hyperlinks>
    <hyperlink ref="B12" r:id="rId1" display="Corrente@5oC" xr:uid="{00000000-0004-0000-0200-000000000000}"/>
    <hyperlink ref="B14" r:id="rId2" display="Corrente@5oC" xr:uid="{00000000-0004-0000-0200-000001000000}"/>
    <hyperlink ref="J12" r:id="rId3" display="Corrente@5oC" xr:uid="{00000000-0004-0000-0200-000002000000}"/>
    <hyperlink ref="J14" r:id="rId4" display="Corrente@5oC" xr:uid="{00000000-0004-0000-0200-000003000000}"/>
    <hyperlink ref="B21" r:id="rId5" display="Corrente@5oC" xr:uid="{00000000-0004-0000-0200-000004000000}"/>
    <hyperlink ref="B23" r:id="rId6" display="Corrente@5oC" xr:uid="{00000000-0004-0000-0200-000005000000}"/>
    <hyperlink ref="J21" r:id="rId7" display="Corrente@5oC" xr:uid="{00000000-0004-0000-0200-000006000000}"/>
    <hyperlink ref="J23" r:id="rId8" display="Corrente@5oC" xr:uid="{00000000-0004-0000-0200-000007000000}"/>
    <hyperlink ref="B30" r:id="rId9" display="Corrente@5oC" xr:uid="{00000000-0004-0000-0200-000008000000}"/>
    <hyperlink ref="B32" r:id="rId10" display="Corrente@5oC" xr:uid="{00000000-0004-0000-0200-000009000000}"/>
    <hyperlink ref="J30" r:id="rId11" display="Corrente@5oC" xr:uid="{00000000-0004-0000-0200-00000A000000}"/>
    <hyperlink ref="J32" r:id="rId12" display="Corrente@5oC" xr:uid="{00000000-0004-0000-0200-00000B000000}"/>
    <hyperlink ref="B39" r:id="rId13" display="Corrente@5oC" xr:uid="{00000000-0004-0000-0200-00000C000000}"/>
    <hyperlink ref="B41" r:id="rId14" display="Corrente@5oC" xr:uid="{00000000-0004-0000-0200-00000D000000}"/>
    <hyperlink ref="J39" r:id="rId15" display="Corrente@5oC" xr:uid="{00000000-0004-0000-0200-00000E000000}"/>
    <hyperlink ref="J41" r:id="rId16" display="Corrente@5oC" xr:uid="{00000000-0004-0000-0200-00000F000000}"/>
    <hyperlink ref="B48" r:id="rId17" display="Corrente@5oC" xr:uid="{00000000-0004-0000-0200-000010000000}"/>
    <hyperlink ref="B50" r:id="rId18" display="Corrente@5oC" xr:uid="{00000000-0004-0000-0200-000011000000}"/>
    <hyperlink ref="J48" r:id="rId19" display="Corrente@5oC" xr:uid="{00000000-0004-0000-0200-000012000000}"/>
    <hyperlink ref="J50" r:id="rId20" display="Corrente@5oC" xr:uid="{00000000-0004-0000-0200-000013000000}"/>
    <hyperlink ref="S11" r:id="rId21" display="Corrente@5oC" xr:uid="{00000000-0004-0000-0200-000014000000}"/>
    <hyperlink ref="S13" r:id="rId22" display="Corrente@5oC" xr:uid="{00000000-0004-0000-0200-000015000000}"/>
    <hyperlink ref="AA11" r:id="rId23" display="Corrente@5oC" xr:uid="{00000000-0004-0000-0200-000016000000}"/>
    <hyperlink ref="AA13" r:id="rId24" display="Corrente@5oC" xr:uid="{00000000-0004-0000-0200-000017000000}"/>
    <hyperlink ref="S20" r:id="rId25" display="Corrente@5oC" xr:uid="{00000000-0004-0000-0200-000018000000}"/>
    <hyperlink ref="S22" r:id="rId26" display="Corrente@5oC" xr:uid="{00000000-0004-0000-0200-000019000000}"/>
    <hyperlink ref="AA20" r:id="rId27" display="Corrente@5oC" xr:uid="{00000000-0004-0000-0200-00001A000000}"/>
    <hyperlink ref="AA22" r:id="rId28" display="Corrente@5oC" xr:uid="{00000000-0004-0000-0200-00001B000000}"/>
    <hyperlink ref="S29" r:id="rId29" display="Corrente@5oC" xr:uid="{00000000-0004-0000-0200-00001C000000}"/>
    <hyperlink ref="S31" r:id="rId30" display="Corrente@5oC" xr:uid="{00000000-0004-0000-0200-00001D000000}"/>
    <hyperlink ref="AA29" r:id="rId31" display="Corrente@5oC" xr:uid="{00000000-0004-0000-0200-00001E000000}"/>
    <hyperlink ref="AA31" r:id="rId32" display="Corrente@5oC" xr:uid="{00000000-0004-0000-0200-00001F000000}"/>
    <hyperlink ref="S38" r:id="rId33" display="Corrente@5oC" xr:uid="{00000000-0004-0000-0200-000020000000}"/>
    <hyperlink ref="S40" r:id="rId34" display="Corrente@5oC" xr:uid="{00000000-0004-0000-0200-000021000000}"/>
    <hyperlink ref="AA38" r:id="rId35" display="Corrente@5oC" xr:uid="{00000000-0004-0000-0200-000022000000}"/>
    <hyperlink ref="AA40" r:id="rId36" display="Corrente@5oC" xr:uid="{00000000-0004-0000-0200-000023000000}"/>
    <hyperlink ref="S47" r:id="rId37" display="Corrente@5oC" xr:uid="{00000000-0004-0000-0200-000024000000}"/>
    <hyperlink ref="S49" r:id="rId38" display="Corrente@5oC" xr:uid="{00000000-0004-0000-0200-000025000000}"/>
    <hyperlink ref="AA47" r:id="rId39" display="Corrente@5oC" xr:uid="{00000000-0004-0000-0200-000026000000}"/>
    <hyperlink ref="AA49" r:id="rId40" display="Corrente@5oC" xr:uid="{00000000-0004-0000-0200-000027000000}"/>
    <hyperlink ref="B58" r:id="rId41" display="Corrente@5oC" xr:uid="{F4B4C272-FA13-4024-B404-96E28E4F6A95}"/>
    <hyperlink ref="B60" r:id="rId42" display="Corrente@5oC" xr:uid="{F3C9BC10-1BD0-46DA-A6A4-FD205B8FEECA}"/>
    <hyperlink ref="J58" r:id="rId43" display="Corrente@5oC" xr:uid="{D33A65FF-FD57-4254-9E87-32964FD91DC4}"/>
    <hyperlink ref="J60" r:id="rId44" display="Corrente@5oC" xr:uid="{8500E14B-6E54-48FA-860E-AEA4400B7C9B}"/>
    <hyperlink ref="S57" r:id="rId45" display="Corrente@5oC" xr:uid="{A2DD74E4-0635-471C-9E39-1F9F854E0DFE}"/>
    <hyperlink ref="S59" r:id="rId46" display="Corrente@5oC" xr:uid="{97D0F4DF-28D8-4743-B2C4-5E3928F79B59}"/>
    <hyperlink ref="AA57" r:id="rId47" display="Corrente@5oC" xr:uid="{CFF68111-0E0B-4EEE-9CE9-35AFB8441B4D}"/>
    <hyperlink ref="AA59" r:id="rId48" display="Corrente@5oC" xr:uid="{5165AD7F-B01E-49FB-82EF-27B212D95A1F}"/>
  </hyperlinks>
  <pageMargins left="0.98425196850393704" right="0.39370078740157483" top="0.39370078740157483" bottom="0.59055118110236227" header="0" footer="0"/>
  <pageSetup paperSize="9" scale="82" orientation="portrait" r:id="rId49"/>
  <headerFooter alignWithMargins="0"/>
  <colBreaks count="2" manualBreakCount="2">
    <brk id="17" max="65" man="1"/>
    <brk id="34" max="6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1</vt:i4>
      </vt:variant>
    </vt:vector>
  </HeadingPairs>
  <TitlesOfParts>
    <vt:vector size="5" baseType="lpstr">
      <vt:lpstr>Calculo</vt:lpstr>
      <vt:lpstr>Avaliação</vt:lpstr>
      <vt:lpstr>Cabos</vt:lpstr>
      <vt:lpstr>Dados Típicos</vt:lpstr>
      <vt:lpstr>'Dados Típicos'!Area_de_impressao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Prometheus</dc:creator>
  <cp:lastModifiedBy>Diego Alexandre Belmonte Barbosa</cp:lastModifiedBy>
  <dcterms:created xsi:type="dcterms:W3CDTF">2020-07-10T10:29:56Z</dcterms:created>
  <dcterms:modified xsi:type="dcterms:W3CDTF">2020-11-17T02:26:06Z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e61996e-cafd-4c9a-8a94-2dc1b82131ae_Enabled">
    <vt:lpwstr>true</vt:lpwstr>
  </property>
  <property fmtid="{D5CDD505-2E9C-101B-9397-08002B2CF9AE}" pid="3" name="MSIP_Label_8e61996e-cafd-4c9a-8a94-2dc1b82131ae_SetDate">
    <vt:lpwstr>2020-09-21T11:27:27Z</vt:lpwstr>
  </property>
  <property fmtid="{D5CDD505-2E9C-101B-9397-08002B2CF9AE}" pid="4" name="MSIP_Label_8e61996e-cafd-4c9a-8a94-2dc1b82131ae_Method">
    <vt:lpwstr>Standard</vt:lpwstr>
  </property>
  <property fmtid="{D5CDD505-2E9C-101B-9397-08002B2CF9AE}" pid="5" name="MSIP_Label_8e61996e-cafd-4c9a-8a94-2dc1b82131ae_Name">
    <vt:lpwstr>NP-1</vt:lpwstr>
  </property>
  <property fmtid="{D5CDD505-2E9C-101B-9397-08002B2CF9AE}" pid="6" name="MSIP_Label_8e61996e-cafd-4c9a-8a94-2dc1b82131ae_SiteId">
    <vt:lpwstr>5b6f6241-9a57-4be4-8e50-1dfa72e79a57</vt:lpwstr>
  </property>
  <property fmtid="{D5CDD505-2E9C-101B-9397-08002B2CF9AE}" pid="7" name="MSIP_Label_8e61996e-cafd-4c9a-8a94-2dc1b82131ae_ActionId">
    <vt:lpwstr>5aba9055-249b-4c7c-b5ca-79dc632aea45</vt:lpwstr>
  </property>
  <property fmtid="{D5CDD505-2E9C-101B-9397-08002B2CF9AE}" pid="8" name="MSIP_Label_8e61996e-cafd-4c9a-8a94-2dc1b82131ae_ContentBits">
    <vt:lpwstr>0</vt:lpwstr>
  </property>
</Properties>
</file>