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trobrasbr-my.sharepoint.com/personal/diegobar_petrobras_com_br/Documents/Documents/1 - Tarefas/01 - E&amp;P Competências/Curso/BI MASTER/Dissertação/"/>
    </mc:Choice>
  </mc:AlternateContent>
  <xr:revisionPtr revIDLastSave="1221" documentId="13_ncr:1_{11BEAB06-7E0F-4CCB-A025-F5B240EB9DAC}" xr6:coauthVersionLast="45" xr6:coauthVersionMax="45" xr10:uidLastSave="{E23FD3CE-5B35-48EC-A3DF-C916A015370B}"/>
  <bookViews>
    <workbookView xWindow="-1230" yWindow="-13620" windowWidth="21840" windowHeight="1314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externalReferences>
    <externalReference r:id="rId5"/>
  </externalReference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Calculo!$I$6:$J$6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Calculo!$AF$6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Calculo!$I$6</definedName>
    <definedName name="solver_lhs3" localSheetId="1" hidden="1">Avaliação!$A$4</definedName>
    <definedName name="solver_lhs3" localSheetId="0" hidden="1">Calculo!$I$6</definedName>
    <definedName name="solver_lhs4" localSheetId="1" hidden="1">Avaliação!$A$4</definedName>
    <definedName name="solver_lhs4" localSheetId="0" hidden="1">Calculo!$J$6</definedName>
    <definedName name="solver_lhs5" localSheetId="1" hidden="1">Avaliação!$AA$3</definedName>
    <definedName name="solver_lhs5" localSheetId="0" hidden="1">Calculo!$J$6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5" i="3" l="1"/>
  <c r="E85" i="3"/>
  <c r="D85" i="3"/>
  <c r="C85" i="3"/>
  <c r="E84" i="3"/>
  <c r="D84" i="3"/>
  <c r="E83" i="3"/>
  <c r="D83" i="3"/>
  <c r="E82" i="3"/>
  <c r="D82" i="3"/>
  <c r="E81" i="3"/>
  <c r="D81" i="3"/>
  <c r="E80" i="3"/>
  <c r="D80" i="3"/>
  <c r="E79" i="3"/>
  <c r="D79" i="3"/>
  <c r="F78" i="3"/>
  <c r="E78" i="3"/>
  <c r="D78" i="3"/>
  <c r="C78" i="3"/>
  <c r="E77" i="3"/>
  <c r="D77" i="3"/>
  <c r="E76" i="3"/>
  <c r="D76" i="3"/>
  <c r="E75" i="3"/>
  <c r="D75" i="3"/>
  <c r="E74" i="3"/>
  <c r="D74" i="3"/>
  <c r="E73" i="3"/>
  <c r="D73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B64" i="3"/>
  <c r="F63" i="3"/>
  <c r="E63" i="3"/>
  <c r="D63" i="3"/>
  <c r="B63" i="3"/>
  <c r="F62" i="3"/>
  <c r="E62" i="3"/>
  <c r="D62" i="3"/>
  <c r="B62" i="3"/>
  <c r="F61" i="3"/>
  <c r="E61" i="3"/>
  <c r="D61" i="3"/>
  <c r="C61" i="3"/>
  <c r="B61" i="3"/>
  <c r="T60" i="3"/>
  <c r="S60" i="3"/>
  <c r="K60" i="3"/>
  <c r="I60" i="3"/>
  <c r="H60" i="3"/>
  <c r="F60" i="3"/>
  <c r="E60" i="3"/>
  <c r="J60" i="3" s="1"/>
  <c r="D60" i="3"/>
  <c r="V60" i="3" s="1"/>
  <c r="V59" i="3"/>
  <c r="T59" i="3"/>
  <c r="S59" i="3"/>
  <c r="R59" i="3"/>
  <c r="N59" i="3"/>
  <c r="F59" i="3"/>
  <c r="Q59" i="3" s="1"/>
  <c r="E59" i="3"/>
  <c r="D59" i="3"/>
  <c r="U59" i="3" s="1"/>
  <c r="Q58" i="3"/>
  <c r="N58" i="3"/>
  <c r="M58" i="3"/>
  <c r="I58" i="3"/>
  <c r="F58" i="3"/>
  <c r="P58" i="3" s="1"/>
  <c r="E58" i="3"/>
  <c r="H58" i="3" s="1"/>
  <c r="D58" i="3"/>
  <c r="T57" i="3"/>
  <c r="Q57" i="3"/>
  <c r="P57" i="3"/>
  <c r="N57" i="3"/>
  <c r="M57" i="3"/>
  <c r="L57" i="3"/>
  <c r="I57" i="3"/>
  <c r="H57" i="3"/>
  <c r="F57" i="3"/>
  <c r="O57" i="3" s="1"/>
  <c r="E57" i="3"/>
  <c r="K57" i="3" s="1"/>
  <c r="D57" i="3"/>
  <c r="S57" i="3" s="1"/>
  <c r="T56" i="3"/>
  <c r="S56" i="3"/>
  <c r="K56" i="3"/>
  <c r="I56" i="3"/>
  <c r="H56" i="3"/>
  <c r="F56" i="3"/>
  <c r="E56" i="3"/>
  <c r="J56" i="3" s="1"/>
  <c r="D56" i="3"/>
  <c r="V56" i="3" s="1"/>
  <c r="C56" i="3"/>
  <c r="V55" i="3"/>
  <c r="T55" i="3"/>
  <c r="S55" i="3"/>
  <c r="R55" i="3"/>
  <c r="N55" i="3"/>
  <c r="J55" i="3"/>
  <c r="F55" i="3"/>
  <c r="Q55" i="3" s="1"/>
  <c r="E55" i="3"/>
  <c r="D55" i="3"/>
  <c r="U55" i="3" s="1"/>
  <c r="U54" i="3"/>
  <c r="Q54" i="3"/>
  <c r="N54" i="3"/>
  <c r="M54" i="3"/>
  <c r="I54" i="3"/>
  <c r="F54" i="3"/>
  <c r="P54" i="3" s="1"/>
  <c r="E54" i="3"/>
  <c r="H54" i="3" s="1"/>
  <c r="D54" i="3"/>
  <c r="T53" i="3"/>
  <c r="Q53" i="3"/>
  <c r="P53" i="3"/>
  <c r="N53" i="3"/>
  <c r="M53" i="3"/>
  <c r="L53" i="3"/>
  <c r="I53" i="3"/>
  <c r="H53" i="3"/>
  <c r="F53" i="3"/>
  <c r="O53" i="3" s="1"/>
  <c r="E53" i="3"/>
  <c r="K53" i="3" s="1"/>
  <c r="D53" i="3"/>
  <c r="S53" i="3" s="1"/>
  <c r="C53" i="3"/>
  <c r="T52" i="3"/>
  <c r="S52" i="3"/>
  <c r="K52" i="3"/>
  <c r="I52" i="3"/>
  <c r="H52" i="3"/>
  <c r="F52" i="3"/>
  <c r="E52" i="3"/>
  <c r="J52" i="3" s="1"/>
  <c r="D52" i="3"/>
  <c r="V52" i="3" s="1"/>
  <c r="V51" i="3"/>
  <c r="T51" i="3"/>
  <c r="S51" i="3"/>
  <c r="R51" i="3"/>
  <c r="N51" i="3"/>
  <c r="J51" i="3"/>
  <c r="F51" i="3"/>
  <c r="Q51" i="3" s="1"/>
  <c r="E51" i="3"/>
  <c r="D51" i="3"/>
  <c r="U51" i="3" s="1"/>
  <c r="U50" i="3"/>
  <c r="Q50" i="3"/>
  <c r="N50" i="3"/>
  <c r="M50" i="3"/>
  <c r="I50" i="3"/>
  <c r="F50" i="3"/>
  <c r="P50" i="3" s="1"/>
  <c r="E50" i="3"/>
  <c r="D50" i="3"/>
  <c r="U49" i="3"/>
  <c r="T49" i="3"/>
  <c r="Q49" i="3"/>
  <c r="P49" i="3"/>
  <c r="N49" i="3"/>
  <c r="M49" i="3"/>
  <c r="L49" i="3"/>
  <c r="I49" i="3"/>
  <c r="H49" i="3"/>
  <c r="F49" i="3"/>
  <c r="O49" i="3" s="1"/>
  <c r="E49" i="3"/>
  <c r="K49" i="3" s="1"/>
  <c r="D49" i="3"/>
  <c r="C49" i="3"/>
  <c r="F45" i="3"/>
  <c r="F84" i="3" s="1"/>
  <c r="F44" i="3"/>
  <c r="F83" i="3" s="1"/>
  <c r="F43" i="3"/>
  <c r="F82" i="3" s="1"/>
  <c r="F42" i="3"/>
  <c r="F81" i="3" s="1"/>
  <c r="F41" i="3"/>
  <c r="F80" i="3" s="1"/>
  <c r="F40" i="3"/>
  <c r="F79" i="3" s="1"/>
  <c r="F38" i="3"/>
  <c r="F77" i="3" s="1"/>
  <c r="F37" i="3"/>
  <c r="F76" i="3" s="1"/>
  <c r="F36" i="3"/>
  <c r="F75" i="3" s="1"/>
  <c r="F35" i="3"/>
  <c r="F74" i="3" s="1"/>
  <c r="F34" i="3"/>
  <c r="F73" i="3" s="1"/>
  <c r="F33" i="3"/>
  <c r="F72" i="3" s="1"/>
  <c r="C30" i="3"/>
  <c r="C38" i="3" s="1"/>
  <c r="C45" i="3" s="1"/>
  <c r="C84" i="3" s="1"/>
  <c r="C25" i="3"/>
  <c r="C33" i="3" s="1"/>
  <c r="C20" i="3"/>
  <c r="C19" i="3"/>
  <c r="C59" i="3" s="1"/>
  <c r="C18" i="3"/>
  <c r="C58" i="3" s="1"/>
  <c r="C17" i="3"/>
  <c r="C29" i="3" s="1"/>
  <c r="K16" i="3"/>
  <c r="C16" i="3"/>
  <c r="C28" i="3" s="1"/>
  <c r="C36" i="3" s="1"/>
  <c r="C43" i="3" s="1"/>
  <c r="C82" i="3" s="1"/>
  <c r="C15" i="3"/>
  <c r="C55" i="3" s="1"/>
  <c r="C14" i="3"/>
  <c r="C54" i="3" s="1"/>
  <c r="K13" i="3"/>
  <c r="C13" i="3"/>
  <c r="C12" i="3"/>
  <c r="C24" i="3" s="1"/>
  <c r="C64" i="3" s="1"/>
  <c r="C11" i="3"/>
  <c r="C10" i="3"/>
  <c r="C50" i="3" s="1"/>
  <c r="C9" i="3"/>
  <c r="D5" i="3"/>
  <c r="D4" i="3"/>
  <c r="AY2" i="9"/>
  <c r="C37" i="3" l="1"/>
  <c r="C69" i="3"/>
  <c r="C70" i="3"/>
  <c r="C26" i="3"/>
  <c r="C34" i="3" s="1"/>
  <c r="C41" i="3" s="1"/>
  <c r="C80" i="3" s="1"/>
  <c r="C57" i="3"/>
  <c r="C52" i="3"/>
  <c r="C65" i="3"/>
  <c r="C72" i="3"/>
  <c r="C40" i="3"/>
  <c r="C79" i="3" s="1"/>
  <c r="C44" i="3"/>
  <c r="C83" i="3" s="1"/>
  <c r="C76" i="3"/>
  <c r="T58" i="3"/>
  <c r="V58" i="3"/>
  <c r="R58" i="3"/>
  <c r="S58" i="3"/>
  <c r="C66" i="3"/>
  <c r="C68" i="3"/>
  <c r="C32" i="3"/>
  <c r="C60" i="3"/>
  <c r="T54" i="3"/>
  <c r="V54" i="3"/>
  <c r="R54" i="3"/>
  <c r="S54" i="3"/>
  <c r="N56" i="3"/>
  <c r="P56" i="3"/>
  <c r="L56" i="3"/>
  <c r="Q56" i="3"/>
  <c r="M56" i="3"/>
  <c r="O56" i="3"/>
  <c r="I59" i="3"/>
  <c r="K59" i="3"/>
  <c r="H59" i="3"/>
  <c r="C75" i="3"/>
  <c r="C51" i="3"/>
  <c r="C23" i="3"/>
  <c r="C63" i="3" s="1"/>
  <c r="C22" i="3"/>
  <c r="C62" i="3" s="1"/>
  <c r="S49" i="3"/>
  <c r="V49" i="3"/>
  <c r="R49" i="3"/>
  <c r="T50" i="3"/>
  <c r="R50" i="3"/>
  <c r="S50" i="3"/>
  <c r="V50" i="3"/>
  <c r="N52" i="3"/>
  <c r="Q52" i="3"/>
  <c r="M52" i="3"/>
  <c r="P52" i="3"/>
  <c r="L52" i="3"/>
  <c r="O52" i="3"/>
  <c r="I55" i="3"/>
  <c r="K55" i="3"/>
  <c r="H55" i="3"/>
  <c r="H50" i="3"/>
  <c r="J50" i="3"/>
  <c r="K50" i="3"/>
  <c r="I51" i="3"/>
  <c r="H51" i="3"/>
  <c r="K51" i="3"/>
  <c r="U58" i="3"/>
  <c r="J59" i="3"/>
  <c r="N60" i="3"/>
  <c r="P60" i="3"/>
  <c r="L60" i="3"/>
  <c r="Q60" i="3"/>
  <c r="M60" i="3"/>
  <c r="O60" i="3"/>
  <c r="C73" i="3"/>
  <c r="C77" i="3"/>
  <c r="U53" i="3"/>
  <c r="C27" i="3"/>
  <c r="C31" i="3"/>
  <c r="C71" i="3" s="1"/>
  <c r="J49" i="3"/>
  <c r="O50" i="3"/>
  <c r="L51" i="3"/>
  <c r="P51" i="3"/>
  <c r="U52" i="3"/>
  <c r="J53" i="3"/>
  <c r="R53" i="3"/>
  <c r="V53" i="3"/>
  <c r="K54" i="3"/>
  <c r="O54" i="3"/>
  <c r="L55" i="3"/>
  <c r="P55" i="3"/>
  <c r="U56" i="3"/>
  <c r="J57" i="3"/>
  <c r="R57" i="3"/>
  <c r="V57" i="3"/>
  <c r="K58" i="3"/>
  <c r="O58" i="3"/>
  <c r="L59" i="3"/>
  <c r="P59" i="3"/>
  <c r="U60" i="3"/>
  <c r="O51" i="3"/>
  <c r="J54" i="3"/>
  <c r="O55" i="3"/>
  <c r="U57" i="3"/>
  <c r="J58" i="3"/>
  <c r="O59" i="3"/>
  <c r="L50" i="3"/>
  <c r="M51" i="3"/>
  <c r="R52" i="3"/>
  <c r="L54" i="3"/>
  <c r="M55" i="3"/>
  <c r="R56" i="3"/>
  <c r="L58" i="3"/>
  <c r="M59" i="3"/>
  <c r="R60" i="3"/>
  <c r="C35" i="3" l="1"/>
  <c r="C67" i="3"/>
  <c r="K6" i="9"/>
  <c r="G4" i="9"/>
  <c r="H4" i="9"/>
  <c r="G5" i="9"/>
  <c r="H5" i="9"/>
  <c r="AU6" i="9" l="1"/>
  <c r="AT6" i="9"/>
  <c r="AZ6" i="9"/>
  <c r="AY6" i="9"/>
  <c r="C42" i="3"/>
  <c r="C81" i="3" s="1"/>
  <c r="C74" i="3"/>
  <c r="K5" i="9"/>
  <c r="K4" i="9"/>
  <c r="O17" i="4"/>
  <c r="G17" i="4"/>
  <c r="O26" i="4"/>
  <c r="G26" i="4"/>
  <c r="O35" i="4"/>
  <c r="G35" i="4"/>
  <c r="O44" i="4"/>
  <c r="G44" i="4"/>
  <c r="O53" i="4"/>
  <c r="G53" i="4"/>
  <c r="G63" i="4"/>
  <c r="O63" i="4"/>
  <c r="AV6" i="9" l="1"/>
  <c r="AW6" i="9"/>
  <c r="AX6" i="9" s="1"/>
  <c r="AU4" i="9"/>
  <c r="AT4" i="9"/>
  <c r="AZ4" i="9"/>
  <c r="AY4" i="9"/>
  <c r="AU5" i="9"/>
  <c r="AT5" i="9"/>
  <c r="AY5" i="9"/>
  <c r="AZ5" i="9"/>
  <c r="T6" i="9"/>
  <c r="S6" i="9"/>
  <c r="P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AT7" i="9" l="1"/>
  <c r="BA6" i="9"/>
  <c r="BB6" i="9" s="1"/>
  <c r="AW4" i="9"/>
  <c r="AX4" i="9" s="1"/>
  <c r="AV4" i="9"/>
  <c r="AW5" i="9"/>
  <c r="AX5" i="9" s="1"/>
  <c r="AV5" i="9"/>
  <c r="U6" i="9"/>
  <c r="V4" i="9"/>
  <c r="U4" i="9"/>
  <c r="V5" i="9"/>
  <c r="U5" i="9"/>
  <c r="V6" i="9"/>
  <c r="BA4" i="9" l="1"/>
  <c r="BB4" i="9" s="1"/>
  <c r="BA5" i="9"/>
  <c r="BB5" i="9" s="1"/>
  <c r="X5" i="9"/>
  <c r="W5" i="9"/>
  <c r="X6" i="9"/>
  <c r="W6" i="9"/>
  <c r="W4" i="9"/>
  <c r="X4" i="9"/>
  <c r="BB7" i="9" l="1"/>
  <c r="Z4" i="9"/>
  <c r="Y4" i="9"/>
  <c r="AA4" i="9" s="1"/>
  <c r="Y5" i="9" l="1"/>
  <c r="AA5" i="9" s="1"/>
  <c r="Z5" i="9"/>
  <c r="AL4" i="9"/>
  <c r="AJ4" i="9"/>
  <c r="AB4" i="9"/>
  <c r="AC4" i="9" s="1"/>
  <c r="AL5" i="9" l="1"/>
  <c r="AJ5" i="9"/>
  <c r="AB5" i="9"/>
  <c r="AC5" i="9" s="1"/>
  <c r="AD4" i="9"/>
  <c r="AS4" i="9" s="1"/>
  <c r="AE4" i="9"/>
  <c r="AF4" i="9" s="1"/>
  <c r="AI4" i="9" l="1"/>
  <c r="AD5" i="9"/>
  <c r="AS5" i="9" s="1"/>
  <c r="AE5" i="9"/>
  <c r="AF5" i="9" s="1"/>
  <c r="AP4" i="9" l="1"/>
  <c r="AK4" i="9"/>
  <c r="AI5" i="9"/>
  <c r="D6" i="9" s="1"/>
  <c r="AP5" i="9" l="1"/>
  <c r="AK5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AL54" i="4"/>
  <c r="AM54" i="4"/>
  <c r="AM55" i="4"/>
  <c r="AM56" i="4"/>
  <c r="AM57" i="4"/>
  <c r="AM58" i="4"/>
  <c r="AM59" i="4"/>
  <c r="S60" i="4"/>
  <c r="AK60" i="4" l="1"/>
  <c r="AK54" i="4"/>
  <c r="Q6" i="9"/>
  <c r="AB16" i="4" l="1"/>
  <c r="V16" i="4"/>
  <c r="X16" i="4" s="1"/>
  <c r="Y16" i="4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I66" i="1" l="1"/>
  <c r="I65" i="1"/>
  <c r="I57" i="1"/>
  <c r="I56" i="1"/>
  <c r="I55" i="1"/>
  <c r="I54" i="1"/>
  <c r="I53" i="1"/>
  <c r="I52" i="1"/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V3" i="1" l="1"/>
  <c r="AF3" i="1" s="1"/>
  <c r="U3" i="1"/>
  <c r="W3" i="1" s="1"/>
  <c r="O4" i="1" l="1"/>
  <c r="P4" i="1"/>
  <c r="O5" i="1"/>
  <c r="O6" i="1"/>
  <c r="O3" i="1"/>
  <c r="P5" i="1"/>
  <c r="P6" i="1"/>
  <c r="P3" i="1"/>
  <c r="O11" i="1"/>
  <c r="O12" i="1"/>
  <c r="O13" i="1"/>
  <c r="O17" i="1"/>
  <c r="O15" i="1"/>
  <c r="O16" i="1"/>
  <c r="O14" i="1"/>
  <c r="O18" i="1"/>
  <c r="O10" i="1"/>
  <c r="P10" i="1"/>
  <c r="P15" i="1"/>
  <c r="P16" i="1"/>
  <c r="P13" i="1"/>
  <c r="P14" i="1"/>
  <c r="P17" i="1"/>
  <c r="P11" i="1"/>
  <c r="P12" i="1"/>
  <c r="P18" i="1"/>
  <c r="O8" i="1"/>
  <c r="O9" i="1"/>
  <c r="O7" i="1"/>
  <c r="P9" i="1"/>
  <c r="P8" i="1"/>
  <c r="P7" i="1"/>
  <c r="O51" i="4"/>
  <c r="O52" i="4" s="1"/>
  <c r="G51" i="4"/>
  <c r="G52" i="4" s="1"/>
  <c r="O49" i="4"/>
  <c r="O50" i="4" s="1"/>
  <c r="G49" i="4"/>
  <c r="G50" i="4" s="1"/>
  <c r="AF48" i="4"/>
  <c r="X48" i="4"/>
  <c r="O48" i="4"/>
  <c r="G48" i="4"/>
  <c r="O42" i="4"/>
  <c r="O43" i="4" s="1"/>
  <c r="G42" i="4"/>
  <c r="G43" i="4" s="1"/>
  <c r="O40" i="4"/>
  <c r="O41" i="4" s="1"/>
  <c r="G40" i="4"/>
  <c r="AF39" i="4"/>
  <c r="X39" i="4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X30" i="4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G22" i="4"/>
  <c r="G23" i="4" s="1"/>
  <c r="AF21" i="4"/>
  <c r="X21" i="4"/>
  <c r="O21" i="4"/>
  <c r="G21" i="4"/>
  <c r="O15" i="4"/>
  <c r="O16" i="4" s="1"/>
  <c r="G15" i="4"/>
  <c r="G16" i="4" s="1"/>
  <c r="O13" i="4"/>
  <c r="O14" i="4" s="1"/>
  <c r="G13" i="4"/>
  <c r="G14" i="4" s="1"/>
  <c r="AF12" i="4"/>
  <c r="X12" i="4"/>
  <c r="O12" i="4"/>
  <c r="G12" i="4"/>
  <c r="AN10" i="4"/>
  <c r="AN15" i="4" s="1"/>
  <c r="Q5" i="9" l="1"/>
  <c r="Q4" i="9"/>
  <c r="S26" i="4"/>
  <c r="X58" i="4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N9" i="1"/>
  <c r="R9" i="1" s="1"/>
  <c r="N7" i="1"/>
  <c r="N8" i="1"/>
  <c r="Q12" i="1"/>
  <c r="G32" i="4"/>
  <c r="G41" i="4"/>
  <c r="AN16" i="4"/>
  <c r="AS27" i="4"/>
  <c r="AS38" i="4"/>
  <c r="AM27" i="4"/>
  <c r="AM4" i="9" l="1"/>
  <c r="AN4" i="9" s="1"/>
  <c r="AR4" i="9" s="1"/>
  <c r="AG4" i="9"/>
  <c r="AH4" i="9" s="1"/>
  <c r="AQ4" i="9" s="1"/>
  <c r="AM5" i="9"/>
  <c r="AN5" i="9" s="1"/>
  <c r="AR5" i="9" s="1"/>
  <c r="AG5" i="9"/>
  <c r="AH5" i="9" s="1"/>
  <c r="AQ5" i="9" s="1"/>
  <c r="T26" i="4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T4" i="1" l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M22" i="1" l="1"/>
  <c r="AG22" i="1" s="1"/>
  <c r="M23" i="1"/>
  <c r="AG23" i="1" s="1"/>
  <c r="M21" i="1"/>
  <c r="AG21" i="1" s="1"/>
  <c r="M20" i="1"/>
  <c r="AG20" i="1" s="1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6" i="9" l="1"/>
  <c r="Z6" i="9" s="1"/>
  <c r="AL6" i="9" l="1"/>
  <c r="AJ6" i="9"/>
  <c r="AO6" i="9" l="1"/>
  <c r="E6" i="9"/>
  <c r="F6" i="9" l="1"/>
  <c r="Y6" i="9" s="1"/>
  <c r="AA6" i="9" s="1"/>
  <c r="AM6" i="9" s="1"/>
  <c r="AN6" i="9" s="1"/>
  <c r="AR6" i="9" s="1"/>
  <c r="AB6" i="9" l="1"/>
  <c r="AC6" i="9" s="1"/>
  <c r="AD6" i="9" s="1"/>
  <c r="AS6" i="9" s="1"/>
  <c r="AE6" i="9" l="1"/>
  <c r="AF6" i="9" s="1"/>
  <c r="AI6" i="9"/>
  <c r="AG6" i="9"/>
  <c r="AH6" i="9" s="1"/>
  <c r="AQ6" i="9" l="1"/>
  <c r="AP6" i="9"/>
  <c r="AK6" i="9"/>
</calcChain>
</file>

<file path=xl/sharedStrings.xml><?xml version="1.0" encoding="utf-8"?>
<sst xmlns="http://schemas.openxmlformats.org/spreadsheetml/2006/main" count="643" uniqueCount="181">
  <si>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</si>
  <si>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</si>
  <si>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</si>
  <si>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</si>
  <si>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</si>
  <si>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</si>
  <si>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</si>
  <si>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</si>
  <si>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</si>
  <si>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</si>
  <si>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</si>
  <si>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</si>
  <si>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</si>
  <si>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</si>
  <si>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</si>
  <si>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</si>
  <si>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</si>
  <si>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</si>
  <si>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</si>
  <si>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</si>
  <si>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</si>
  <si>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</si>
  <si>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</si>
  <si>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</si>
  <si>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</si>
  <si>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</si>
  <si>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</si>
  <si>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</si>
  <si>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</si>
  <si>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</si>
  <si>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</si>
  <si>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</si>
  <si>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</si>
  <si>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</si>
  <si>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</si>
  <si>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</si>
  <si>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</si>
  <si>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</si>
  <si>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</si>
  <si>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</si>
  <si>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</si>
  <si>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</si>
  <si>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</si>
  <si>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</si>
  <si>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</si>
  <si>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</si>
  <si>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</si>
  <si>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</si>
  <si>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</si>
  <si>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</si>
  <si>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</si>
  <si>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</si>
  <si>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</si>
  <si>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</si>
  <si>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</si>
  <si>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</si>
  <si>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</si>
  <si>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</si>
  <si>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</si>
  <si>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</si>
  <si>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</si>
  <si>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</si>
  <si>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</si>
  <si>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</si>
  <si>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</si>
  <si>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</si>
  <si>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</si>
  <si>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</si>
  <si>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</si>
  <si>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</si>
  <si>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</si>
  <si>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</si>
  <si>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</si>
  <si>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</si>
  <si>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</si>
  <si>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</si>
  <si>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</si>
  <si>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</si>
  <si>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</si>
  <si>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</si>
  <si>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</si>
  <si>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</si>
  <si>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</si>
  <si>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</si>
  <si>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</si>
  <si>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</si>
  <si>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</si>
  <si>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</si>
  <si>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</si>
  <si>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</si>
  <si>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</si>
  <si>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</si>
  <si>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</si>
  <si>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</si>
  <si>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</si>
  <si>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</si>
  <si>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</si>
  <si>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</si>
  <si>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</si>
  <si>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</si>
  <si>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</si>
  <si>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</si>
  <si>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</si>
  <si>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</si>
  <si>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</si>
  <si>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</si>
  <si>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</si>
  <si>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</si>
  <si>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</si>
  <si>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</si>
  <si>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</si>
  <si>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</si>
  <si>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</si>
  <si>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</si>
  <si>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</si>
  <si>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</si>
  <si>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</si>
  <si>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</si>
  <si>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</si>
  <si>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</si>
  <si>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</si>
  <si>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</si>
  <si>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</si>
  <si>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</si>
  <si>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</si>
  <si>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</si>
  <si>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</si>
  <si>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</si>
  <si>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</si>
  <si>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</si>
  <si>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</si>
  <si>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</si>
  <si>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</si>
  <si>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</si>
  <si>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</si>
  <si>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</si>
  <si>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</si>
  <si>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</si>
  <si>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</si>
  <si>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</si>
  <si>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</si>
  <si>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</si>
  <si>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</si>
  <si>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</si>
  <si>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</si>
  <si>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</si>
  <si>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</si>
  <si>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</si>
  <si>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</si>
  <si>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</si>
  <si>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</si>
  <si>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</si>
  <si>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</si>
  <si>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</si>
  <si>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</si>
  <si>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</si>
  <si>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</si>
  <si>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</si>
  <si>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</si>
  <si>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</si>
  <si>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</si>
  <si>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</si>
  <si>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</si>
  <si>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</si>
  <si>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</si>
  <si>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</si>
  <si>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</si>
  <si>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</si>
  <si>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</si>
  <si>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</si>
  <si>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</si>
  <si>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</si>
  <si>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$ Instalação</t>
  </si>
  <si>
    <t>peso umb</t>
  </si>
  <si>
    <t>dias viagem</t>
  </si>
  <si>
    <t>n° emendas</t>
  </si>
  <si>
    <t>dias emenda</t>
  </si>
  <si>
    <t>dias spool</t>
  </si>
  <si>
    <t>dias instalação</t>
  </si>
  <si>
    <t>26/45</t>
  </si>
  <si>
    <t>20/35kV EPR 150mm2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</si>
</sst>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169" fontId="0" fillId="0" borderId="0" xfId="0" applyNumberFormat="1"/>
    <xf numFmtId="43" fontId="0" fillId="0" borderId="0" xfId="0" applyNumberFormat="1"/>
    <xf numFmtId="0" fontId="10" fillId="7" borderId="0" xfId="0" applyFont="1" applyFill="1" applyAlignment="1">
      <alignment horizontal="center"/>
    </xf>
    <xf numFmtId="1" fontId="0" fillId="0" borderId="0" xfId="4" applyNumberFormat="1" applyFont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419100</xdr:colOff>
      <xdr:row>5</xdr:row>
      <xdr:rowOff>104775</xdr:rowOff>
    </xdr:from>
    <xdr:to>
      <xdr:col>48</xdr:col>
      <xdr:colOff>28395</xdr:colOff>
      <xdr:row>5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7725" y="771525"/>
          <a:ext cx="1438095" cy="104761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3</xdr:row>
      <xdr:rowOff>0</xdr:rowOff>
    </xdr:from>
    <xdr:ext cx="1219048" cy="0"/>
    <xdr:pic>
      <xdr:nvPicPr>
        <xdr:cNvPr id="6" name="Imagem 5">
          <a:extLst>
            <a:ext uri="{FF2B5EF4-FFF2-40B4-BE49-F238E27FC236}">
              <a16:creationId xmlns:a16="http://schemas.microsoft.com/office/drawing/2014/main" id="{F9B1C4E4-6CFF-4506-8E97-E60C57E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0100" y="2066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21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6" name="Imagem 25">
          <a:extLst>
            <a:ext uri="{FF2B5EF4-FFF2-40B4-BE49-F238E27FC236}">
              <a16:creationId xmlns:a16="http://schemas.microsoft.com/office/drawing/2014/main" id="{7EA8E332-4DCC-4776-AEE2-A181BC11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7" name="Imagem 26">
          <a:extLst>
            <a:ext uri="{FF2B5EF4-FFF2-40B4-BE49-F238E27FC236}">
              <a16:creationId xmlns:a16="http://schemas.microsoft.com/office/drawing/2014/main" id="{BE66B8ED-CD3A-4BD6-A1E1-9BAF6B10A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8" name="Imagem 27">
          <a:extLst>
            <a:ext uri="{FF2B5EF4-FFF2-40B4-BE49-F238E27FC236}">
              <a16:creationId xmlns:a16="http://schemas.microsoft.com/office/drawing/2014/main" id="{FE9651E1-B095-4215-9EFD-F1DEB727A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9" name="Imagem 28">
          <a:extLst>
            <a:ext uri="{FF2B5EF4-FFF2-40B4-BE49-F238E27FC236}">
              <a16:creationId xmlns:a16="http://schemas.microsoft.com/office/drawing/2014/main" id="{152FB0C7-4063-4C02-815F-C281E8C53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0" name="Imagem 29">
          <a:extLst>
            <a:ext uri="{FF2B5EF4-FFF2-40B4-BE49-F238E27FC236}">
              <a16:creationId xmlns:a16="http://schemas.microsoft.com/office/drawing/2014/main" id="{69AD57A2-169D-47D7-83B7-A747F9157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31" name="Imagem 30">
          <a:extLst>
            <a:ext uri="{FF2B5EF4-FFF2-40B4-BE49-F238E27FC236}">
              <a16:creationId xmlns:a16="http://schemas.microsoft.com/office/drawing/2014/main" id="{719CDD5E-07BE-4A94-80AB-1AD73559D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2" name="Imagem 31">
          <a:extLst>
            <a:ext uri="{FF2B5EF4-FFF2-40B4-BE49-F238E27FC236}">
              <a16:creationId xmlns:a16="http://schemas.microsoft.com/office/drawing/2014/main" id="{6BB73A58-66DE-4060-A406-C34335363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3" name="Imagem 32">
          <a:extLst>
            <a:ext uri="{FF2B5EF4-FFF2-40B4-BE49-F238E27FC236}">
              <a16:creationId xmlns:a16="http://schemas.microsoft.com/office/drawing/2014/main" id="{7AB2CEB8-7D0E-4948-8447-06C52F7B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4" name="Imagem 33">
          <a:extLst>
            <a:ext uri="{FF2B5EF4-FFF2-40B4-BE49-F238E27FC236}">
              <a16:creationId xmlns:a16="http://schemas.microsoft.com/office/drawing/2014/main" id="{1A00B28B-01E3-4EE4-868D-ACCE2D9E8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35" name="Imagem 34">
          <a:extLst>
            <a:ext uri="{FF2B5EF4-FFF2-40B4-BE49-F238E27FC236}">
              <a16:creationId xmlns:a16="http://schemas.microsoft.com/office/drawing/2014/main" id="{A8ABB633-8772-4FA7-8F37-05CAAA57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6" name="Imagem 35">
          <a:extLst>
            <a:ext uri="{FF2B5EF4-FFF2-40B4-BE49-F238E27FC236}">
              <a16:creationId xmlns:a16="http://schemas.microsoft.com/office/drawing/2014/main" id="{D3AD51AA-5B93-4FDE-B7AC-06873C82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7" name="Imagem 36">
          <a:extLst>
            <a:ext uri="{FF2B5EF4-FFF2-40B4-BE49-F238E27FC236}">
              <a16:creationId xmlns:a16="http://schemas.microsoft.com/office/drawing/2014/main" id="{0651816B-4608-4F7D-A5AE-CA47A42BE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9C8580A1-0F82-4F06-B744-18C00828F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9" name="Imagem 38">
          <a:extLst>
            <a:ext uri="{FF2B5EF4-FFF2-40B4-BE49-F238E27FC236}">
              <a16:creationId xmlns:a16="http://schemas.microsoft.com/office/drawing/2014/main" id="{4F318AD1-C9CD-4D49-BE03-D1FC23297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40" name="Imagem 39">
          <a:extLst>
            <a:ext uri="{FF2B5EF4-FFF2-40B4-BE49-F238E27FC236}">
              <a16:creationId xmlns:a16="http://schemas.microsoft.com/office/drawing/2014/main" id="{9BA25A86-DC96-458C-91DF-9C7597E13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41" name="Imagem 40">
          <a:extLst>
            <a:ext uri="{FF2B5EF4-FFF2-40B4-BE49-F238E27FC236}">
              <a16:creationId xmlns:a16="http://schemas.microsoft.com/office/drawing/2014/main" id="{8D68FDBF-A6E0-4415-ABD9-78368D592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2" name="Imagem 41">
          <a:extLst>
            <a:ext uri="{FF2B5EF4-FFF2-40B4-BE49-F238E27FC236}">
              <a16:creationId xmlns:a16="http://schemas.microsoft.com/office/drawing/2014/main" id="{C0B16E1D-2E13-47C9-9A5D-3BBF96619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3" name="Imagem 42">
          <a:extLst>
            <a:ext uri="{FF2B5EF4-FFF2-40B4-BE49-F238E27FC236}">
              <a16:creationId xmlns:a16="http://schemas.microsoft.com/office/drawing/2014/main" id="{6870A630-7BB0-459F-B84E-A9FCB6362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44" name="Imagem 43">
          <a:extLst>
            <a:ext uri="{FF2B5EF4-FFF2-40B4-BE49-F238E27FC236}">
              <a16:creationId xmlns:a16="http://schemas.microsoft.com/office/drawing/2014/main" id="{1B32703A-EC3A-4AAE-BC15-C529EA1AF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45" name="Imagem 44">
          <a:extLst>
            <a:ext uri="{FF2B5EF4-FFF2-40B4-BE49-F238E27FC236}">
              <a16:creationId xmlns:a16="http://schemas.microsoft.com/office/drawing/2014/main" id="{60609499-B067-4627-BC4A-B1B10ACB1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6" name="Imagem 45">
          <a:extLst>
            <a:ext uri="{FF2B5EF4-FFF2-40B4-BE49-F238E27FC236}">
              <a16:creationId xmlns:a16="http://schemas.microsoft.com/office/drawing/2014/main" id="{CF3281BA-5F45-4AE5-8783-1562EB46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7" name="Imagem 46">
          <a:extLst>
            <a:ext uri="{FF2B5EF4-FFF2-40B4-BE49-F238E27FC236}">
              <a16:creationId xmlns:a16="http://schemas.microsoft.com/office/drawing/2014/main" id="{AE7E14AD-ACBD-4794-92C5-C357F59A7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48" name="Imagem 47">
          <a:extLst>
            <a:ext uri="{FF2B5EF4-FFF2-40B4-BE49-F238E27FC236}">
              <a16:creationId xmlns:a16="http://schemas.microsoft.com/office/drawing/2014/main" id="{C9C6873E-7727-44FA-9722-EDB5948DD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49" name="Imagem 48">
          <a:extLst>
            <a:ext uri="{FF2B5EF4-FFF2-40B4-BE49-F238E27FC236}">
              <a16:creationId xmlns:a16="http://schemas.microsoft.com/office/drawing/2014/main" id="{72A4C269-F8D0-4166-98F7-77949748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0" name="Imagem 49">
          <a:extLst>
            <a:ext uri="{FF2B5EF4-FFF2-40B4-BE49-F238E27FC236}">
              <a16:creationId xmlns:a16="http://schemas.microsoft.com/office/drawing/2014/main" id="{C97CBD0F-88EF-4A41-B930-8D6E5A17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1" name="Imagem 50">
          <a:extLst>
            <a:ext uri="{FF2B5EF4-FFF2-40B4-BE49-F238E27FC236}">
              <a16:creationId xmlns:a16="http://schemas.microsoft.com/office/drawing/2014/main" id="{CE2DFEEF-DE6B-4AF6-ADF9-E7B88F195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52" name="Imagem 51">
          <a:extLst>
            <a:ext uri="{FF2B5EF4-FFF2-40B4-BE49-F238E27FC236}">
              <a16:creationId xmlns:a16="http://schemas.microsoft.com/office/drawing/2014/main" id="{AF71ED7F-AFDA-454F-A1E7-5271C2A2F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5229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53" name="Imagem 52">
          <a:extLst>
            <a:ext uri="{FF2B5EF4-FFF2-40B4-BE49-F238E27FC236}">
              <a16:creationId xmlns:a16="http://schemas.microsoft.com/office/drawing/2014/main" id="{4D335947-DD0D-4B20-A6C6-7EDED9B7A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6287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54" name="Imagem 53">
          <a:extLst>
            <a:ext uri="{FF2B5EF4-FFF2-40B4-BE49-F238E27FC236}">
              <a16:creationId xmlns:a16="http://schemas.microsoft.com/office/drawing/2014/main" id="{8C955B03-6DFA-4A1C-B358-38CBD2ADD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58942" y="40735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55" name="Imagem 54">
          <a:extLst>
            <a:ext uri="{FF2B5EF4-FFF2-40B4-BE49-F238E27FC236}">
              <a16:creationId xmlns:a16="http://schemas.microsoft.com/office/drawing/2014/main" id="{84C744B3-2072-4B03-8674-46A4610E4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4191" y="32408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57" name="Imagem 56">
          <a:extLst>
            <a:ext uri="{FF2B5EF4-FFF2-40B4-BE49-F238E27FC236}">
              <a16:creationId xmlns:a16="http://schemas.microsoft.com/office/drawing/2014/main" id="{0E92350C-D22E-4531-A464-443FFD52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0808" y="21579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58" name="Imagem 57">
          <a:extLst>
            <a:ext uri="{FF2B5EF4-FFF2-40B4-BE49-F238E27FC236}">
              <a16:creationId xmlns:a16="http://schemas.microsoft.com/office/drawing/2014/main" id="{A6E45AC1-673C-4174-B2BA-E20089087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08341" y="13853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59" name="Imagem 58">
          <a:extLst>
            <a:ext uri="{FF2B5EF4-FFF2-40B4-BE49-F238E27FC236}">
              <a16:creationId xmlns:a16="http://schemas.microsoft.com/office/drawing/2014/main" id="{9A0E7BC5-613D-4FBE-9B1D-E16DF19EC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97758" y="14911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60" name="Imagem 59">
          <a:extLst>
            <a:ext uri="{FF2B5EF4-FFF2-40B4-BE49-F238E27FC236}">
              <a16:creationId xmlns:a16="http://schemas.microsoft.com/office/drawing/2014/main" id="{509BB266-3007-4B5B-BADC-2276DCBDB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35342" y="1671108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6" name="Imagem 55">
          <a:extLst>
            <a:ext uri="{FF2B5EF4-FFF2-40B4-BE49-F238E27FC236}">
              <a16:creationId xmlns:a16="http://schemas.microsoft.com/office/drawing/2014/main" id="{CAE06DE4-A263-4A09-979D-64054E5C3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61" name="Imagem 60">
          <a:extLst>
            <a:ext uri="{FF2B5EF4-FFF2-40B4-BE49-F238E27FC236}">
              <a16:creationId xmlns:a16="http://schemas.microsoft.com/office/drawing/2014/main" id="{A386C280-FAC1-4691-B584-AF2659E7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62" name="Imagem 61">
          <a:extLst>
            <a:ext uri="{FF2B5EF4-FFF2-40B4-BE49-F238E27FC236}">
              <a16:creationId xmlns:a16="http://schemas.microsoft.com/office/drawing/2014/main" id="{51E95ABA-1731-42F5-91E1-3C24F5776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63" name="Imagem 62">
          <a:extLst>
            <a:ext uri="{FF2B5EF4-FFF2-40B4-BE49-F238E27FC236}">
              <a16:creationId xmlns:a16="http://schemas.microsoft.com/office/drawing/2014/main" id="{C1788455-0E3A-4008-B60F-9322D3DBF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64" name="Imagem 63">
          <a:extLst>
            <a:ext uri="{FF2B5EF4-FFF2-40B4-BE49-F238E27FC236}">
              <a16:creationId xmlns:a16="http://schemas.microsoft.com/office/drawing/2014/main" id="{E2EE4D1C-995E-472A-95C9-CAAA96E64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65" name="Imagem 64">
          <a:extLst>
            <a:ext uri="{FF2B5EF4-FFF2-40B4-BE49-F238E27FC236}">
              <a16:creationId xmlns:a16="http://schemas.microsoft.com/office/drawing/2014/main" id="{BAF0C5C5-7A1F-4954-9231-1313E2FD2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66" name="Imagem 65">
          <a:extLst>
            <a:ext uri="{FF2B5EF4-FFF2-40B4-BE49-F238E27FC236}">
              <a16:creationId xmlns:a16="http://schemas.microsoft.com/office/drawing/2014/main" id="{97F0C0BB-2EBD-47E9-8596-559CA4734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67" name="Imagem 66">
          <a:extLst>
            <a:ext uri="{FF2B5EF4-FFF2-40B4-BE49-F238E27FC236}">
              <a16:creationId xmlns:a16="http://schemas.microsoft.com/office/drawing/2014/main" id="{0A88DA64-CD5B-4AEE-9884-FAB210466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68" name="Imagem 67">
          <a:extLst>
            <a:ext uri="{FF2B5EF4-FFF2-40B4-BE49-F238E27FC236}">
              <a16:creationId xmlns:a16="http://schemas.microsoft.com/office/drawing/2014/main" id="{31BD4F0D-7E24-4665-B630-87B31F71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69" name="Imagem 68">
          <a:extLst>
            <a:ext uri="{FF2B5EF4-FFF2-40B4-BE49-F238E27FC236}">
              <a16:creationId xmlns:a16="http://schemas.microsoft.com/office/drawing/2014/main" id="{5673314C-3A7C-49BB-B2C4-715721581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70" name="Imagem 69">
          <a:extLst>
            <a:ext uri="{FF2B5EF4-FFF2-40B4-BE49-F238E27FC236}">
              <a16:creationId xmlns:a16="http://schemas.microsoft.com/office/drawing/2014/main" id="{F845E871-B638-46E5-B0D3-F1316C206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1" name="Imagem 70">
          <a:extLst>
            <a:ext uri="{FF2B5EF4-FFF2-40B4-BE49-F238E27FC236}">
              <a16:creationId xmlns:a16="http://schemas.microsoft.com/office/drawing/2014/main" id="{23FC98B2-66BC-4099-8E21-503C13907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2" name="Imagem 71">
          <a:extLst>
            <a:ext uri="{FF2B5EF4-FFF2-40B4-BE49-F238E27FC236}">
              <a16:creationId xmlns:a16="http://schemas.microsoft.com/office/drawing/2014/main" id="{922A8120-F6CF-4395-900F-BD13B259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3" name="Imagem 72">
          <a:extLst>
            <a:ext uri="{FF2B5EF4-FFF2-40B4-BE49-F238E27FC236}">
              <a16:creationId xmlns:a16="http://schemas.microsoft.com/office/drawing/2014/main" id="{CEDBED05-3B15-4356-97A5-12A81F6C2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74" name="Imagem 73">
          <a:extLst>
            <a:ext uri="{FF2B5EF4-FFF2-40B4-BE49-F238E27FC236}">
              <a16:creationId xmlns:a16="http://schemas.microsoft.com/office/drawing/2014/main" id="{6740ACD7-1470-4456-8EEE-A66A6792F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75" name="Imagem 74">
          <a:extLst>
            <a:ext uri="{FF2B5EF4-FFF2-40B4-BE49-F238E27FC236}">
              <a16:creationId xmlns:a16="http://schemas.microsoft.com/office/drawing/2014/main" id="{F3C0CB3F-3593-4022-9DDC-C6A38F054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6" name="Imagem 75">
          <a:extLst>
            <a:ext uri="{FF2B5EF4-FFF2-40B4-BE49-F238E27FC236}">
              <a16:creationId xmlns:a16="http://schemas.microsoft.com/office/drawing/2014/main" id="{17E6598B-DF91-4E4F-896E-BBA57D79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7" name="Imagem 76">
          <a:extLst>
            <a:ext uri="{FF2B5EF4-FFF2-40B4-BE49-F238E27FC236}">
              <a16:creationId xmlns:a16="http://schemas.microsoft.com/office/drawing/2014/main" id="{4FA049A5-6096-44D3-AA18-0E88A0C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78" name="Imagem 77">
          <a:extLst>
            <a:ext uri="{FF2B5EF4-FFF2-40B4-BE49-F238E27FC236}">
              <a16:creationId xmlns:a16="http://schemas.microsoft.com/office/drawing/2014/main" id="{1D57041D-8EDB-4C02-8ACE-1285B98E5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79" name="Imagem 78">
          <a:extLst>
            <a:ext uri="{FF2B5EF4-FFF2-40B4-BE49-F238E27FC236}">
              <a16:creationId xmlns:a16="http://schemas.microsoft.com/office/drawing/2014/main" id="{2123CA5D-CC91-4B3C-93E1-6EA630806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80" name="Imagem 79">
          <a:extLst>
            <a:ext uri="{FF2B5EF4-FFF2-40B4-BE49-F238E27FC236}">
              <a16:creationId xmlns:a16="http://schemas.microsoft.com/office/drawing/2014/main" id="{A3494AFD-62BB-482E-B318-4AFFD0CB3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81" name="Imagem 80">
          <a:extLst>
            <a:ext uri="{FF2B5EF4-FFF2-40B4-BE49-F238E27FC236}">
              <a16:creationId xmlns:a16="http://schemas.microsoft.com/office/drawing/2014/main" id="{29490460-1B1A-4495-99CF-A6AF70152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8192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82" name="Imagem 81">
          <a:extLst>
            <a:ext uri="{FF2B5EF4-FFF2-40B4-BE49-F238E27FC236}">
              <a16:creationId xmlns:a16="http://schemas.microsoft.com/office/drawing/2014/main" id="{FCCF105B-C08A-463A-B5D9-5F101CE6A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83" name="Imagem 82">
          <a:extLst>
            <a:ext uri="{FF2B5EF4-FFF2-40B4-BE49-F238E27FC236}">
              <a16:creationId xmlns:a16="http://schemas.microsoft.com/office/drawing/2014/main" id="{2094698B-E751-402E-B7FE-C7EDE69C0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356659</xdr:colOff>
      <xdr:row>9</xdr:row>
      <xdr:rowOff>84666</xdr:rowOff>
    </xdr:from>
    <xdr:ext cx="1227514" cy="0"/>
    <xdr:pic>
      <xdr:nvPicPr>
        <xdr:cNvPr id="84" name="Imagem 83">
          <a:extLst>
            <a:ext uri="{FF2B5EF4-FFF2-40B4-BE49-F238E27FC236}">
              <a16:creationId xmlns:a16="http://schemas.microsoft.com/office/drawing/2014/main" id="{21187149-D40B-4AF6-8734-BBA108B58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49534" y="1808691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85" name="Imagem 84">
          <a:extLst>
            <a:ext uri="{FF2B5EF4-FFF2-40B4-BE49-F238E27FC236}">
              <a16:creationId xmlns:a16="http://schemas.microsoft.com/office/drawing/2014/main" id="{A81AC309-B16A-4C35-B8C4-7D5E37352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86" name="Imagem 85">
          <a:extLst>
            <a:ext uri="{FF2B5EF4-FFF2-40B4-BE49-F238E27FC236}">
              <a16:creationId xmlns:a16="http://schemas.microsoft.com/office/drawing/2014/main" id="{C123BF2B-CDFB-4F6D-A0B3-3A3AA682E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98916" y="15758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87" name="Imagem 86">
          <a:extLst>
            <a:ext uri="{FF2B5EF4-FFF2-40B4-BE49-F238E27FC236}">
              <a16:creationId xmlns:a16="http://schemas.microsoft.com/office/drawing/2014/main" id="{D289EC83-950A-4EB9-8C5E-01BAF0999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88333" y="16816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88" name="Imagem 87">
          <a:extLst>
            <a:ext uri="{FF2B5EF4-FFF2-40B4-BE49-F238E27FC236}">
              <a16:creationId xmlns:a16="http://schemas.microsoft.com/office/drawing/2014/main" id="{B7605361-C0F5-4D12-A59B-F81EE3FCD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8</xdr:row>
      <xdr:rowOff>152400</xdr:rowOff>
    </xdr:from>
    <xdr:to>
      <xdr:col>47</xdr:col>
      <xdr:colOff>716339</xdr:colOff>
      <xdr:row>8</xdr:row>
      <xdr:rowOff>152400</xdr:rowOff>
    </xdr:to>
    <xdr:pic>
      <xdr:nvPicPr>
        <xdr:cNvPr id="89" name="Imagem 88">
          <a:extLst>
            <a:ext uri="{FF2B5EF4-FFF2-40B4-BE49-F238E27FC236}">
              <a16:creationId xmlns:a16="http://schemas.microsoft.com/office/drawing/2014/main" id="{0928EF85-115A-41C0-8965-FD5E731E4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685925"/>
          <a:ext cx="123068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10</xdr:row>
      <xdr:rowOff>104775</xdr:rowOff>
    </xdr:from>
    <xdr:to>
      <xdr:col>48</xdr:col>
      <xdr:colOff>28395</xdr:colOff>
      <xdr:row>10</xdr:row>
      <xdr:rowOff>104775</xdr:rowOff>
    </xdr:to>
    <xdr:pic>
      <xdr:nvPicPr>
        <xdr:cNvPr id="90" name="Imagem 89">
          <a:extLst>
            <a:ext uri="{FF2B5EF4-FFF2-40B4-BE49-F238E27FC236}">
              <a16:creationId xmlns:a16="http://schemas.microsoft.com/office/drawing/2014/main" id="{010060FB-DADE-4A1B-8AC3-872B922DF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2019300"/>
          <a:ext cx="1457145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7</xdr:row>
      <xdr:rowOff>152400</xdr:rowOff>
    </xdr:from>
    <xdr:ext cx="1219048" cy="0"/>
    <xdr:pic>
      <xdr:nvPicPr>
        <xdr:cNvPr id="91" name="Imagem 90">
          <a:extLst>
            <a:ext uri="{FF2B5EF4-FFF2-40B4-BE49-F238E27FC236}">
              <a16:creationId xmlns:a16="http://schemas.microsoft.com/office/drawing/2014/main" id="{787318B3-117F-4E3A-948A-D6932E676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4954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92" name="Imagem 91">
          <a:extLst>
            <a:ext uri="{FF2B5EF4-FFF2-40B4-BE49-F238E27FC236}">
              <a16:creationId xmlns:a16="http://schemas.microsoft.com/office/drawing/2014/main" id="{0F0A9949-2CB8-4BD5-8D49-AABE14364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93" name="Imagem 92">
          <a:extLst>
            <a:ext uri="{FF2B5EF4-FFF2-40B4-BE49-F238E27FC236}">
              <a16:creationId xmlns:a16="http://schemas.microsoft.com/office/drawing/2014/main" id="{09BF8D05-374D-4D99-90D6-63CA7B712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94" name="Imagem 93">
          <a:extLst>
            <a:ext uri="{FF2B5EF4-FFF2-40B4-BE49-F238E27FC236}">
              <a16:creationId xmlns:a16="http://schemas.microsoft.com/office/drawing/2014/main" id="{D724D66E-245F-4FD0-83D3-BE4B6983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2105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95" name="Imagem 94">
          <a:extLst>
            <a:ext uri="{FF2B5EF4-FFF2-40B4-BE49-F238E27FC236}">
              <a16:creationId xmlns:a16="http://schemas.microsoft.com/office/drawing/2014/main" id="{EA4013EE-9819-4FC2-A006-652200E07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96" name="Imagem 95">
          <a:extLst>
            <a:ext uri="{FF2B5EF4-FFF2-40B4-BE49-F238E27FC236}">
              <a16:creationId xmlns:a16="http://schemas.microsoft.com/office/drawing/2014/main" id="{ACBA0172-7F44-434B-B21D-4698B097B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97" name="Imagem 96">
          <a:extLst>
            <a:ext uri="{FF2B5EF4-FFF2-40B4-BE49-F238E27FC236}">
              <a16:creationId xmlns:a16="http://schemas.microsoft.com/office/drawing/2014/main" id="{9E98ECE3-502E-4380-AB19-EB469A79C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98" name="Imagem 97">
          <a:extLst>
            <a:ext uri="{FF2B5EF4-FFF2-40B4-BE49-F238E27FC236}">
              <a16:creationId xmlns:a16="http://schemas.microsoft.com/office/drawing/2014/main" id="{459493FD-EA6F-4DD1-A048-CDCE6C81A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2105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99" name="Imagem 98">
          <a:extLst>
            <a:ext uri="{FF2B5EF4-FFF2-40B4-BE49-F238E27FC236}">
              <a16:creationId xmlns:a16="http://schemas.microsoft.com/office/drawing/2014/main" id="{9022791B-7B73-4294-9B73-5D2A4AA4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100" name="Imagem 99">
          <a:extLst>
            <a:ext uri="{FF2B5EF4-FFF2-40B4-BE49-F238E27FC236}">
              <a16:creationId xmlns:a16="http://schemas.microsoft.com/office/drawing/2014/main" id="{1F68A9C7-8F3A-4AAF-BA8A-21490DE80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101" name="Imagem 100">
          <a:extLst>
            <a:ext uri="{FF2B5EF4-FFF2-40B4-BE49-F238E27FC236}">
              <a16:creationId xmlns:a16="http://schemas.microsoft.com/office/drawing/2014/main" id="{DC357289-5244-4125-9B30-EB26B1F22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102" name="Imagem 101">
          <a:extLst>
            <a:ext uri="{FF2B5EF4-FFF2-40B4-BE49-F238E27FC236}">
              <a16:creationId xmlns:a16="http://schemas.microsoft.com/office/drawing/2014/main" id="{BB63B1A6-94A1-4A10-A682-56FB7D3D4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2105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103" name="Imagem 102">
          <a:extLst>
            <a:ext uri="{FF2B5EF4-FFF2-40B4-BE49-F238E27FC236}">
              <a16:creationId xmlns:a16="http://schemas.microsoft.com/office/drawing/2014/main" id="{133A52D1-F892-4EDF-96E5-8071D5FF3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104" name="Imagem 103">
          <a:extLst>
            <a:ext uri="{FF2B5EF4-FFF2-40B4-BE49-F238E27FC236}">
              <a16:creationId xmlns:a16="http://schemas.microsoft.com/office/drawing/2014/main" id="{2DF7733E-99BF-43CA-95A5-23629A2CF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7</xdr:row>
      <xdr:rowOff>152400</xdr:rowOff>
    </xdr:from>
    <xdr:to>
      <xdr:col>48</xdr:col>
      <xdr:colOff>421064</xdr:colOff>
      <xdr:row>7</xdr:row>
      <xdr:rowOff>152400</xdr:rowOff>
    </xdr:to>
    <xdr:pic>
      <xdr:nvPicPr>
        <xdr:cNvPr id="105" name="Imagem 104">
          <a:extLst>
            <a:ext uri="{FF2B5EF4-FFF2-40B4-BE49-F238E27FC236}">
              <a16:creationId xmlns:a16="http://schemas.microsoft.com/office/drawing/2014/main" id="{C088FBF6-0014-4D1B-9E60-1B880482C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495425"/>
          <a:ext cx="185933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9</xdr:row>
      <xdr:rowOff>104775</xdr:rowOff>
    </xdr:from>
    <xdr:to>
      <xdr:col>49</xdr:col>
      <xdr:colOff>47444</xdr:colOff>
      <xdr:row>9</xdr:row>
      <xdr:rowOff>104775</xdr:rowOff>
    </xdr:to>
    <xdr:pic>
      <xdr:nvPicPr>
        <xdr:cNvPr id="106" name="Imagem 105">
          <a:extLst>
            <a:ext uri="{FF2B5EF4-FFF2-40B4-BE49-F238E27FC236}">
              <a16:creationId xmlns:a16="http://schemas.microsoft.com/office/drawing/2014/main" id="{E45438CC-A2ED-4906-9484-F1BE497C2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828800"/>
          <a:ext cx="2295344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6</xdr:row>
      <xdr:rowOff>152400</xdr:rowOff>
    </xdr:from>
    <xdr:ext cx="1219048" cy="0"/>
    <xdr:pic>
      <xdr:nvPicPr>
        <xdr:cNvPr id="107" name="Imagem 106">
          <a:extLst>
            <a:ext uri="{FF2B5EF4-FFF2-40B4-BE49-F238E27FC236}">
              <a16:creationId xmlns:a16="http://schemas.microsoft.com/office/drawing/2014/main" id="{1E15589E-3DDC-4B46-B00C-34EE82FD0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304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08" name="Imagem 107">
          <a:extLst>
            <a:ext uri="{FF2B5EF4-FFF2-40B4-BE49-F238E27FC236}">
              <a16:creationId xmlns:a16="http://schemas.microsoft.com/office/drawing/2014/main" id="{BF7F3E6D-8C40-43F7-ADC5-86E68D7CB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109" name="Imagem 108">
          <a:extLst>
            <a:ext uri="{FF2B5EF4-FFF2-40B4-BE49-F238E27FC236}">
              <a16:creationId xmlns:a16="http://schemas.microsoft.com/office/drawing/2014/main" id="{79114B2A-1735-4901-85D0-5BC479FC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110" name="Imagem 109">
          <a:extLst>
            <a:ext uri="{FF2B5EF4-FFF2-40B4-BE49-F238E27FC236}">
              <a16:creationId xmlns:a16="http://schemas.microsoft.com/office/drawing/2014/main" id="{EA7C9DDC-5A2C-4BA9-AEA8-10310565B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11" name="Imagem 110">
          <a:extLst>
            <a:ext uri="{FF2B5EF4-FFF2-40B4-BE49-F238E27FC236}">
              <a16:creationId xmlns:a16="http://schemas.microsoft.com/office/drawing/2014/main" id="{A246D4B6-26AC-4DE0-B276-B2A0AF43E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12" name="Imagem 111">
          <a:extLst>
            <a:ext uri="{FF2B5EF4-FFF2-40B4-BE49-F238E27FC236}">
              <a16:creationId xmlns:a16="http://schemas.microsoft.com/office/drawing/2014/main" id="{0E8F3DA0-7D86-4663-A189-6894F4915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113" name="Imagem 112">
          <a:extLst>
            <a:ext uri="{FF2B5EF4-FFF2-40B4-BE49-F238E27FC236}">
              <a16:creationId xmlns:a16="http://schemas.microsoft.com/office/drawing/2014/main" id="{97A00620-3E5F-4A0B-BE5E-8A2C44D7A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114" name="Imagem 113">
          <a:extLst>
            <a:ext uri="{FF2B5EF4-FFF2-40B4-BE49-F238E27FC236}">
              <a16:creationId xmlns:a16="http://schemas.microsoft.com/office/drawing/2014/main" id="{26DBCE07-D8A1-4800-BA54-9035F40A1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15" name="Imagem 114">
          <a:extLst>
            <a:ext uri="{FF2B5EF4-FFF2-40B4-BE49-F238E27FC236}">
              <a16:creationId xmlns:a16="http://schemas.microsoft.com/office/drawing/2014/main" id="{67C767E5-AB8F-4EAC-9BB6-6D20A4B33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16" name="Imagem 115">
          <a:extLst>
            <a:ext uri="{FF2B5EF4-FFF2-40B4-BE49-F238E27FC236}">
              <a16:creationId xmlns:a16="http://schemas.microsoft.com/office/drawing/2014/main" id="{F04A9891-F4EA-4477-9BF3-3AA19E8E5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117" name="Imagem 116">
          <a:extLst>
            <a:ext uri="{FF2B5EF4-FFF2-40B4-BE49-F238E27FC236}">
              <a16:creationId xmlns:a16="http://schemas.microsoft.com/office/drawing/2014/main" id="{1BD8458F-B1D4-46FB-BB95-6E72C6CE3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118" name="Imagem 117">
          <a:extLst>
            <a:ext uri="{FF2B5EF4-FFF2-40B4-BE49-F238E27FC236}">
              <a16:creationId xmlns:a16="http://schemas.microsoft.com/office/drawing/2014/main" id="{667BE278-9088-4110-8D69-05B175DF8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19" name="Imagem 118">
          <a:extLst>
            <a:ext uri="{FF2B5EF4-FFF2-40B4-BE49-F238E27FC236}">
              <a16:creationId xmlns:a16="http://schemas.microsoft.com/office/drawing/2014/main" id="{B958BB07-EE2C-485C-AFBC-4DA2FE007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120" name="Imagem 119">
          <a:extLst>
            <a:ext uri="{FF2B5EF4-FFF2-40B4-BE49-F238E27FC236}">
              <a16:creationId xmlns:a16="http://schemas.microsoft.com/office/drawing/2014/main" id="{AE4FA010-669B-4445-A4A9-7C7F07610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5</xdr:row>
      <xdr:rowOff>152400</xdr:rowOff>
    </xdr:from>
    <xdr:to>
      <xdr:col>52</xdr:col>
      <xdr:colOff>240089</xdr:colOff>
      <xdr:row>5</xdr:row>
      <xdr:rowOff>152400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7139F0AF-8492-4CDB-8F58-4E58A243F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114425"/>
          <a:ext cx="490733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7</xdr:row>
      <xdr:rowOff>104775</xdr:rowOff>
    </xdr:from>
    <xdr:to>
      <xdr:col>52</xdr:col>
      <xdr:colOff>523695</xdr:colOff>
      <xdr:row>7</xdr:row>
      <xdr:rowOff>104775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EB26035A-C73A-4D17-B0A0-1D5B1354E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447800"/>
          <a:ext cx="5181420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4</xdr:row>
      <xdr:rowOff>152400</xdr:rowOff>
    </xdr:from>
    <xdr:ext cx="1219048" cy="0"/>
    <xdr:pic>
      <xdr:nvPicPr>
        <xdr:cNvPr id="123" name="Imagem 122">
          <a:extLst>
            <a:ext uri="{FF2B5EF4-FFF2-40B4-BE49-F238E27FC236}">
              <a16:creationId xmlns:a16="http://schemas.microsoft.com/office/drawing/2014/main" id="{2FC26EEB-C153-4BB9-AA82-E1E5D825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923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24" name="Imagem 123">
          <a:extLst>
            <a:ext uri="{FF2B5EF4-FFF2-40B4-BE49-F238E27FC236}">
              <a16:creationId xmlns:a16="http://schemas.microsoft.com/office/drawing/2014/main" id="{C7FB545A-F3E5-4ED3-80CF-ABB014CF9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125" name="Imagem 124">
          <a:extLst>
            <a:ext uri="{FF2B5EF4-FFF2-40B4-BE49-F238E27FC236}">
              <a16:creationId xmlns:a16="http://schemas.microsoft.com/office/drawing/2014/main" id="{0AE86B42-BF81-49C4-8C7F-DECEC560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26" name="Imagem 125">
          <a:extLst>
            <a:ext uri="{FF2B5EF4-FFF2-40B4-BE49-F238E27FC236}">
              <a16:creationId xmlns:a16="http://schemas.microsoft.com/office/drawing/2014/main" id="{68E90060-EA65-427D-9A28-02B19364C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27" name="Imagem 126">
          <a:extLst>
            <a:ext uri="{FF2B5EF4-FFF2-40B4-BE49-F238E27FC236}">
              <a16:creationId xmlns:a16="http://schemas.microsoft.com/office/drawing/2014/main" id="{EFA8E589-7BE6-4D23-95DB-82B2D94CF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28" name="Imagem 127">
          <a:extLst>
            <a:ext uri="{FF2B5EF4-FFF2-40B4-BE49-F238E27FC236}">
              <a16:creationId xmlns:a16="http://schemas.microsoft.com/office/drawing/2014/main" id="{BBB138D0-5639-4991-9E5B-D410119A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129" name="Imagem 128">
          <a:extLst>
            <a:ext uri="{FF2B5EF4-FFF2-40B4-BE49-F238E27FC236}">
              <a16:creationId xmlns:a16="http://schemas.microsoft.com/office/drawing/2014/main" id="{978F743C-1FE2-4D17-9554-B80D99338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30" name="Imagem 129">
          <a:extLst>
            <a:ext uri="{FF2B5EF4-FFF2-40B4-BE49-F238E27FC236}">
              <a16:creationId xmlns:a16="http://schemas.microsoft.com/office/drawing/2014/main" id="{45A16953-2863-41BB-ABDE-2E7DBAF54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31" name="Imagem 130">
          <a:extLst>
            <a:ext uri="{FF2B5EF4-FFF2-40B4-BE49-F238E27FC236}">
              <a16:creationId xmlns:a16="http://schemas.microsoft.com/office/drawing/2014/main" id="{D1CAC0A6-CA78-473A-9B66-EE206C3B9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32" name="Imagem 131">
          <a:extLst>
            <a:ext uri="{FF2B5EF4-FFF2-40B4-BE49-F238E27FC236}">
              <a16:creationId xmlns:a16="http://schemas.microsoft.com/office/drawing/2014/main" id="{C4BCEC82-4F4B-43FE-BA4F-6E04D4F70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133" name="Imagem 132">
          <a:extLst>
            <a:ext uri="{FF2B5EF4-FFF2-40B4-BE49-F238E27FC236}">
              <a16:creationId xmlns:a16="http://schemas.microsoft.com/office/drawing/2014/main" id="{D256F5F7-EDA8-4200-8813-DCEE3BBED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34" name="Imagem 133">
          <a:extLst>
            <a:ext uri="{FF2B5EF4-FFF2-40B4-BE49-F238E27FC236}">
              <a16:creationId xmlns:a16="http://schemas.microsoft.com/office/drawing/2014/main" id="{8E07B45F-C2A3-43F3-A7FB-6F82A97AC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35" name="Imagem 134">
          <a:extLst>
            <a:ext uri="{FF2B5EF4-FFF2-40B4-BE49-F238E27FC236}">
              <a16:creationId xmlns:a16="http://schemas.microsoft.com/office/drawing/2014/main" id="{0CF2E8D6-605E-4AC0-AF4A-DF10BB2C6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36" name="Imagem 135">
          <a:extLst>
            <a:ext uri="{FF2B5EF4-FFF2-40B4-BE49-F238E27FC236}">
              <a16:creationId xmlns:a16="http://schemas.microsoft.com/office/drawing/2014/main" id="{0F0E9F25-3754-4B76-812D-B77A8D745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4</xdr:row>
      <xdr:rowOff>152400</xdr:rowOff>
    </xdr:from>
    <xdr:to>
      <xdr:col>54</xdr:col>
      <xdr:colOff>354389</xdr:colOff>
      <xdr:row>4</xdr:row>
      <xdr:rowOff>152400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54235263-053F-488F-8457-3F9260501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923925"/>
          <a:ext cx="7040939" cy="0"/>
        </a:xfrm>
        <a:prstGeom prst="rect">
          <a:avLst/>
        </a:prstGeom>
      </xdr:spPr>
    </xdr:pic>
    <xdr:clientData/>
  </xdr:two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138" name="Imagem 137">
          <a:extLst>
            <a:ext uri="{FF2B5EF4-FFF2-40B4-BE49-F238E27FC236}">
              <a16:creationId xmlns:a16="http://schemas.microsoft.com/office/drawing/2014/main" id="{6CB1F343-40C6-4C36-8679-3B15A16A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4567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139" name="Imagem 138">
          <a:extLst>
            <a:ext uri="{FF2B5EF4-FFF2-40B4-BE49-F238E27FC236}">
              <a16:creationId xmlns:a16="http://schemas.microsoft.com/office/drawing/2014/main" id="{6DD76A3B-0EEF-432D-89A8-DE99E86B0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87441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140" name="Imagem 139">
          <a:extLst>
            <a:ext uri="{FF2B5EF4-FFF2-40B4-BE49-F238E27FC236}">
              <a16:creationId xmlns:a16="http://schemas.microsoft.com/office/drawing/2014/main" id="{FCD89A94-0639-4461-8168-4389011A9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57333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10</xdr:row>
      <xdr:rowOff>137583</xdr:rowOff>
    </xdr:from>
    <xdr:ext cx="1227514" cy="0"/>
    <xdr:pic>
      <xdr:nvPicPr>
        <xdr:cNvPr id="141" name="Imagem 140">
          <a:extLst>
            <a:ext uri="{FF2B5EF4-FFF2-40B4-BE49-F238E27FC236}">
              <a16:creationId xmlns:a16="http://schemas.microsoft.com/office/drawing/2014/main" id="{5B994B9D-97EC-4209-8906-A6519CF89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92442" y="2052108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6</xdr:row>
      <xdr:rowOff>52916</xdr:rowOff>
    </xdr:from>
    <xdr:ext cx="1450795" cy="0"/>
    <xdr:pic>
      <xdr:nvPicPr>
        <xdr:cNvPr id="142" name="Imagem 141">
          <a:extLst>
            <a:ext uri="{FF2B5EF4-FFF2-40B4-BE49-F238E27FC236}">
              <a16:creationId xmlns:a16="http://schemas.microsoft.com/office/drawing/2014/main" id="{B53C90D9-1807-4CB0-B49E-9451A0E1E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6</xdr:row>
      <xdr:rowOff>52916</xdr:rowOff>
    </xdr:from>
    <xdr:ext cx="1450795" cy="0"/>
    <xdr:pic>
      <xdr:nvPicPr>
        <xdr:cNvPr id="143" name="Imagem 142">
          <a:extLst>
            <a:ext uri="{FF2B5EF4-FFF2-40B4-BE49-F238E27FC236}">
              <a16:creationId xmlns:a16="http://schemas.microsoft.com/office/drawing/2014/main" id="{EA551F8A-378B-4BBF-883A-96EF8F2F5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6</xdr:row>
      <xdr:rowOff>52916</xdr:rowOff>
    </xdr:from>
    <xdr:ext cx="1450795" cy="0"/>
    <xdr:pic>
      <xdr:nvPicPr>
        <xdr:cNvPr id="144" name="Imagem 143">
          <a:extLst>
            <a:ext uri="{FF2B5EF4-FFF2-40B4-BE49-F238E27FC236}">
              <a16:creationId xmlns:a16="http://schemas.microsoft.com/office/drawing/2014/main" id="{0A6C0086-536B-4154-8F07-CD28C7D5A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7</xdr:row>
      <xdr:rowOff>52916</xdr:rowOff>
    </xdr:from>
    <xdr:ext cx="1450795" cy="0"/>
    <xdr:pic>
      <xdr:nvPicPr>
        <xdr:cNvPr id="145" name="Imagem 144">
          <a:extLst>
            <a:ext uri="{FF2B5EF4-FFF2-40B4-BE49-F238E27FC236}">
              <a16:creationId xmlns:a16="http://schemas.microsoft.com/office/drawing/2014/main" id="{E89ECA7C-B4A3-4BB5-8FF4-A59DBC4F9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7</xdr:row>
      <xdr:rowOff>52916</xdr:rowOff>
    </xdr:from>
    <xdr:ext cx="1450795" cy="0"/>
    <xdr:pic>
      <xdr:nvPicPr>
        <xdr:cNvPr id="146" name="Imagem 145">
          <a:extLst>
            <a:ext uri="{FF2B5EF4-FFF2-40B4-BE49-F238E27FC236}">
              <a16:creationId xmlns:a16="http://schemas.microsoft.com/office/drawing/2014/main" id="{B0ED3658-9ADC-4578-90BA-807BC7383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7</xdr:row>
      <xdr:rowOff>52916</xdr:rowOff>
    </xdr:from>
    <xdr:ext cx="1450795" cy="0"/>
    <xdr:pic>
      <xdr:nvPicPr>
        <xdr:cNvPr id="147" name="Imagem 146">
          <a:extLst>
            <a:ext uri="{FF2B5EF4-FFF2-40B4-BE49-F238E27FC236}">
              <a16:creationId xmlns:a16="http://schemas.microsoft.com/office/drawing/2014/main" id="{BFE64DF3-C44A-432B-9D72-FCB5593A5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8</xdr:row>
      <xdr:rowOff>52916</xdr:rowOff>
    </xdr:from>
    <xdr:ext cx="1450795" cy="0"/>
    <xdr:pic>
      <xdr:nvPicPr>
        <xdr:cNvPr id="148" name="Imagem 147">
          <a:extLst>
            <a:ext uri="{FF2B5EF4-FFF2-40B4-BE49-F238E27FC236}">
              <a16:creationId xmlns:a16="http://schemas.microsoft.com/office/drawing/2014/main" id="{2539EB5B-4081-460A-B966-95E3D819F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8</xdr:row>
      <xdr:rowOff>52916</xdr:rowOff>
    </xdr:from>
    <xdr:ext cx="1450795" cy="0"/>
    <xdr:pic>
      <xdr:nvPicPr>
        <xdr:cNvPr id="149" name="Imagem 148">
          <a:extLst>
            <a:ext uri="{FF2B5EF4-FFF2-40B4-BE49-F238E27FC236}">
              <a16:creationId xmlns:a16="http://schemas.microsoft.com/office/drawing/2014/main" id="{8B569289-F5CF-4DA4-86BD-AF241D95B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8</xdr:row>
      <xdr:rowOff>52916</xdr:rowOff>
    </xdr:from>
    <xdr:ext cx="1450795" cy="0"/>
    <xdr:pic>
      <xdr:nvPicPr>
        <xdr:cNvPr id="150" name="Imagem 149">
          <a:extLst>
            <a:ext uri="{FF2B5EF4-FFF2-40B4-BE49-F238E27FC236}">
              <a16:creationId xmlns:a16="http://schemas.microsoft.com/office/drawing/2014/main" id="{D0B6EAC5-B1A1-4BD0-8269-E9D2E6C7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9</xdr:row>
      <xdr:rowOff>52916</xdr:rowOff>
    </xdr:from>
    <xdr:ext cx="1450795" cy="0"/>
    <xdr:pic>
      <xdr:nvPicPr>
        <xdr:cNvPr id="151" name="Imagem 150">
          <a:extLst>
            <a:ext uri="{FF2B5EF4-FFF2-40B4-BE49-F238E27FC236}">
              <a16:creationId xmlns:a16="http://schemas.microsoft.com/office/drawing/2014/main" id="{95312EDF-2A29-4268-A3F7-FCF0EAF48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9</xdr:row>
      <xdr:rowOff>52916</xdr:rowOff>
    </xdr:from>
    <xdr:ext cx="1450795" cy="0"/>
    <xdr:pic>
      <xdr:nvPicPr>
        <xdr:cNvPr id="152" name="Imagem 151">
          <a:extLst>
            <a:ext uri="{FF2B5EF4-FFF2-40B4-BE49-F238E27FC236}">
              <a16:creationId xmlns:a16="http://schemas.microsoft.com/office/drawing/2014/main" id="{C8AE178C-0C33-443F-8BDB-BBBE9526D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9</xdr:row>
      <xdr:rowOff>52916</xdr:rowOff>
    </xdr:from>
    <xdr:ext cx="1450795" cy="0"/>
    <xdr:pic>
      <xdr:nvPicPr>
        <xdr:cNvPr id="153" name="Imagem 152">
          <a:extLst>
            <a:ext uri="{FF2B5EF4-FFF2-40B4-BE49-F238E27FC236}">
              <a16:creationId xmlns:a16="http://schemas.microsoft.com/office/drawing/2014/main" id="{FB9EE874-E6A5-471C-A7CD-2BC6318FE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10</xdr:row>
      <xdr:rowOff>52916</xdr:rowOff>
    </xdr:from>
    <xdr:ext cx="1450795" cy="0"/>
    <xdr:pic>
      <xdr:nvPicPr>
        <xdr:cNvPr id="154" name="Imagem 153">
          <a:extLst>
            <a:ext uri="{FF2B5EF4-FFF2-40B4-BE49-F238E27FC236}">
              <a16:creationId xmlns:a16="http://schemas.microsoft.com/office/drawing/2014/main" id="{3D37B43E-EDE2-4367-9829-F5A86862E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10</xdr:row>
      <xdr:rowOff>52916</xdr:rowOff>
    </xdr:from>
    <xdr:ext cx="1450795" cy="0"/>
    <xdr:pic>
      <xdr:nvPicPr>
        <xdr:cNvPr id="155" name="Imagem 154">
          <a:extLst>
            <a:ext uri="{FF2B5EF4-FFF2-40B4-BE49-F238E27FC236}">
              <a16:creationId xmlns:a16="http://schemas.microsoft.com/office/drawing/2014/main" id="{6148ECA8-947C-4CC5-9A8B-CB9AA28E3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10</xdr:row>
      <xdr:rowOff>52916</xdr:rowOff>
    </xdr:from>
    <xdr:ext cx="1450795" cy="0"/>
    <xdr:pic>
      <xdr:nvPicPr>
        <xdr:cNvPr id="156" name="Imagem 155">
          <a:extLst>
            <a:ext uri="{FF2B5EF4-FFF2-40B4-BE49-F238E27FC236}">
              <a16:creationId xmlns:a16="http://schemas.microsoft.com/office/drawing/2014/main" id="{928D0495-5748-48D1-93DB-54CCFB27C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11</xdr:row>
      <xdr:rowOff>52916</xdr:rowOff>
    </xdr:from>
    <xdr:ext cx="1450795" cy="0"/>
    <xdr:pic>
      <xdr:nvPicPr>
        <xdr:cNvPr id="157" name="Imagem 156">
          <a:extLst>
            <a:ext uri="{FF2B5EF4-FFF2-40B4-BE49-F238E27FC236}">
              <a16:creationId xmlns:a16="http://schemas.microsoft.com/office/drawing/2014/main" id="{1ABED7FB-E43B-44CD-8313-483FEB4EB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11</xdr:row>
      <xdr:rowOff>52916</xdr:rowOff>
    </xdr:from>
    <xdr:ext cx="1450795" cy="0"/>
    <xdr:pic>
      <xdr:nvPicPr>
        <xdr:cNvPr id="158" name="Imagem 157">
          <a:extLst>
            <a:ext uri="{FF2B5EF4-FFF2-40B4-BE49-F238E27FC236}">
              <a16:creationId xmlns:a16="http://schemas.microsoft.com/office/drawing/2014/main" id="{ADFC85D4-B4CD-4F9B-97D6-3350937F5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11</xdr:row>
      <xdr:rowOff>52916</xdr:rowOff>
    </xdr:from>
    <xdr:ext cx="1450795" cy="0"/>
    <xdr:pic>
      <xdr:nvPicPr>
        <xdr:cNvPr id="159" name="Imagem 158">
          <a:extLst>
            <a:ext uri="{FF2B5EF4-FFF2-40B4-BE49-F238E27FC236}">
              <a16:creationId xmlns:a16="http://schemas.microsoft.com/office/drawing/2014/main" id="{FC8326B2-7C59-43B2-91C3-1A544C6F8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7850" y="2349499"/>
          <a:ext cx="1450795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2C075C8-AE2F-425B-828F-1FB481817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8650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CF1905-C85F-4EE5-B876-667E3BCA1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8650" y="2476500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030E118-C91A-4F0C-A29D-FECECA0D1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8650" y="5200650"/>
          <a:ext cx="6676190" cy="16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P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"/>
      <sheetName val="Avaliação"/>
      <sheetName val="Cabos"/>
      <sheetName val="Dados Típicos"/>
    </sheetNames>
    <sheetDataSet>
      <sheetData sheetId="0"/>
      <sheetData sheetId="1"/>
      <sheetData sheetId="2"/>
      <sheetData sheetId="3">
        <row r="14">
          <cell r="G14">
            <v>130.5</v>
          </cell>
          <cell r="O14">
            <v>153.70000000000002</v>
          </cell>
        </row>
        <row r="23">
          <cell r="G23">
            <v>187.05</v>
          </cell>
          <cell r="O23">
            <v>221.85</v>
          </cell>
        </row>
        <row r="32">
          <cell r="G32">
            <v>250.85</v>
          </cell>
          <cell r="O32">
            <v>278.39999999999998</v>
          </cell>
        </row>
        <row r="41">
          <cell r="G41">
            <v>311.02500000000003</v>
          </cell>
          <cell r="O41">
            <v>362.5</v>
          </cell>
        </row>
        <row r="43">
          <cell r="O43">
            <v>316.66666666666669</v>
          </cell>
        </row>
        <row r="50">
          <cell r="G50">
            <v>395.125</v>
          </cell>
          <cell r="O50">
            <v>435</v>
          </cell>
        </row>
        <row r="60">
          <cell r="G60">
            <v>477.77500000000003</v>
          </cell>
          <cell r="O60">
            <v>522.72500000000002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7"/>
  <sheetViews>
    <sheetView tabSelected="1" zoomScale="90" zoomScaleNormal="90" workbookViewId="0">
      <selection activeCell="G4" sqref="G4:J6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8" width="13.85546875" customWidth="1"/>
    <col min="49" max="50" width="12.28515625" customWidth="1"/>
    <col min="51" max="51" width="9.85546875" customWidth="1"/>
    <col min="52" max="52" width="14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203" t="s">
        <v>123</v>
      </c>
      <c r="E1" s="203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203" t="s">
        <v>6</v>
      </c>
      <c r="O1" s="203"/>
      <c r="P1" s="203"/>
      <c r="Q1" s="203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169</v>
      </c>
      <c r="BA1" t="s">
        <v>170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1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201" t="s">
        <v>171</v>
      </c>
      <c r="AU3" s="201" t="s">
        <v>173</v>
      </c>
      <c r="AV3" s="201" t="s">
        <v>174</v>
      </c>
      <c r="AW3" s="201" t="s">
        <v>175</v>
      </c>
      <c r="AX3" s="201" t="s">
        <v>176</v>
      </c>
      <c r="AY3" s="201" t="s">
        <v>177</v>
      </c>
      <c r="AZ3" s="201" t="s">
        <v>178</v>
      </c>
      <c r="BB3" s="201" t="s">
        <v>172</v>
      </c>
    </row>
    <row r="4" spans="1:54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5" si="0">D4/(E4*C4)</f>
        <v>4.3478260869565215</v>
      </c>
      <c r="G4" s="157">
        <f>$I$6</f>
        <v>29.539650358417465</v>
      </c>
      <c r="H4" s="157">
        <f>$J$6</f>
        <v>8.3710383935696591</v>
      </c>
      <c r="I4">
        <v>30</v>
      </c>
      <c r="J4">
        <v>9</v>
      </c>
      <c r="K4" s="192">
        <f t="shared" ref="K4:K6" si="1">SQRT((G4-I4)^2+(H4-J4)^2)</f>
        <v>0.77943216181307529</v>
      </c>
      <c r="L4" s="107">
        <v>25</v>
      </c>
      <c r="M4" s="158">
        <v>1</v>
      </c>
      <c r="N4" s="156" t="s">
        <v>159</v>
      </c>
      <c r="O4" s="159">
        <v>1</v>
      </c>
      <c r="P4" s="159">
        <f t="shared" ref="P4:P6" si="2">IF(O4=1,1,IF(O4=2,0.9,0.8))</f>
        <v>1</v>
      </c>
      <c r="Q4" s="160">
        <f>VLOOKUP(N4,Cabos!$B$13:$F$46,2,0)*O4*P4</f>
        <v>153.70000000000002</v>
      </c>
      <c r="R4" s="161">
        <f>((VLOOKUP(N4,Cabos!$B$13:$F$46,3,0)/O4*K4))*(1+A4)</f>
        <v>0.38581892009747226</v>
      </c>
      <c r="S4" s="161">
        <f>(VLOOKUP(N4,Cabos!$B$13:$F$46,4,0)/O4*K4)*B4/60</f>
        <v>0.13951835696454046</v>
      </c>
      <c r="T4" s="161">
        <f>1/(VLOOKUP(N4,Cabos!$B$13:$F$46,5,0)*60/B4) * O4 * K4</f>
        <v>4.0887172103712707E-5</v>
      </c>
      <c r="U4" s="156" t="str">
        <f t="shared" ref="U4:U6" si="3">IMSQRT(IMDIV(COMPLEX(R4,S4),COMPLEX(0,T4)))</f>
        <v>81,9953644820212-57,5409662461408i</v>
      </c>
      <c r="V4" s="156" t="str">
        <f t="shared" ref="V4:V6" si="4">IMSQRT(IMPRODUCT(COMPLEX(R4,S4),COMPLEX(0,T4)))</f>
        <v>0,00235268738991988+0,00335255857928305i</v>
      </c>
      <c r="W4" s="156" t="str">
        <f t="shared" ref="W4:W6" si="5">IMPRODUCT(U4,_xlfn.IMSINH(V4))</f>
        <v>0,385818186460885+0,139519238701486i</v>
      </c>
      <c r="X4" s="156" t="str">
        <f t="shared" ref="X4:X6" si="6">IMDIV(IMSUB(_xlfn.IMCOSH(V4),COMPLEX(1,0)),IMPRODUCT(U4,_xlfn.IMSINH(V4)))</f>
        <v>2,68757341468304E-11+0,0000204435957699079i</v>
      </c>
      <c r="Y4" s="162">
        <f>F4/L4/SQRT(3)*1000</f>
        <v>100.408742467761</v>
      </c>
      <c r="Z4" s="163" t="str">
        <f t="shared" ref="Z4:Z6" si="7">COMPLEX(L4*1000/SQRT(3)*M4,0)</f>
        <v>14433,7567297406</v>
      </c>
      <c r="AA4" s="163" t="str">
        <f>COMPLEX(Y4*E4,-Y4*SQRT(1-E4*E4))</f>
        <v>92,3760430703401-39,3520295616861i</v>
      </c>
      <c r="AB4" s="163" t="str">
        <f t="shared" ref="AB4:AB6" si="8">IMPRODUCT(W4,IMSUM(AA4,IMPRODUCT(X4,Z4)))</f>
        <v>41,089553723007-2,18064700587121i</v>
      </c>
      <c r="AC4" s="163" t="str">
        <f t="shared" ref="AC4:AC6" si="9">IMSUM(Z4,AB4)</f>
        <v>14474,8462834636-2,18064700587121i</v>
      </c>
      <c r="AD4" s="163" t="str">
        <f t="shared" ref="AD4:AD6" si="10">IMSUM(IMPRODUCT(AC4,X4),IMDIV(AB4,W4))</f>
        <v>92,3760884275458-38,76103376747i</v>
      </c>
      <c r="AE4" s="164">
        <f t="shared" ref="AE4:AE6" si="11">IMABS(AC4)/L4/1000*SQRT(3)</f>
        <v>1.0028467791684743</v>
      </c>
      <c r="AF4" s="165">
        <f t="shared" ref="AF4:AF6" si="12">L4*AE4</f>
        <v>25.071169479211857</v>
      </c>
      <c r="AG4" s="164">
        <f t="shared" ref="AG4:AG6" si="13">IMABS(AD4)/Q4</f>
        <v>0.65178033638477584</v>
      </c>
      <c r="AH4" s="165">
        <f t="shared" ref="AH4:AH6" si="14">AG4*Q4/O4</f>
        <v>100.17863770234005</v>
      </c>
      <c r="AI4" s="166">
        <f t="shared" ref="AI4:AI6" si="15">IMREAL(IMPRODUCT(AC4,IMCONJUGATE(AD4)))*3/1000000</f>
        <v>4.0116426131658001</v>
      </c>
      <c r="AJ4" s="164">
        <f t="shared" ref="AJ4" si="16">IMABS(Z4)/L4/1000*SQRT(3)</f>
        <v>0.99999999999999678</v>
      </c>
      <c r="AK4" s="176">
        <f>SQRT(AI4^2+AS4^2)</f>
        <v>4.3502111942499591</v>
      </c>
      <c r="AL4" s="165">
        <f>IMABS(Z4)*SQRT(3)/1000</f>
        <v>24.999999999999922</v>
      </c>
      <c r="AM4" s="164">
        <f>IMABS(AA4)/Q4</f>
        <v>0.65327743960807394</v>
      </c>
      <c r="AN4" s="165">
        <f>Q4*AM4/P4</f>
        <v>100.40874246776097</v>
      </c>
      <c r="AO4" s="167">
        <f>D4</f>
        <v>4</v>
      </c>
      <c r="AP4" s="164">
        <f>IF(AO4&gt;0, (AI4-AO4)/AO4,0)</f>
        <v>2.9106532914500161E-3</v>
      </c>
      <c r="AQ4" s="157">
        <f>AF4*AH4*SQRT(3)*O4/1000</f>
        <v>4.3502111942499466</v>
      </c>
      <c r="AR4" s="157">
        <f>AL4*AN4*SQRT(3)/1000</f>
        <v>4.3478260869565064</v>
      </c>
      <c r="AS4" s="176">
        <f>IMAGINARY(IMPRODUCT(AC4,IMCONJUGATE(AD4)))*3/1000000</f>
        <v>1.6825756977948807</v>
      </c>
      <c r="AT4" s="196">
        <f>VLOOKUP(N4,Cabos!$B$9:$I$46,6,0)*K4*O4</f>
        <v>231.46952795795258</v>
      </c>
      <c r="AU4" s="202">
        <f>VLOOKUP(N4,Cabos!$B$9:$I$46,7,0)*K4</f>
        <v>20.898914554693988</v>
      </c>
      <c r="AV4" s="200">
        <f>ROUNDUP(AU4/$AV$2,0)*$AW$2</f>
        <v>2</v>
      </c>
      <c r="AW4" s="200">
        <f t="shared" ref="AW4:AW6" si="17">ROUNDDOWN(AU4/$AU$2,0)*O4</f>
        <v>0</v>
      </c>
      <c r="AX4">
        <f>ROUNDUP((AW4)*$AX$2,0)</f>
        <v>0</v>
      </c>
      <c r="AY4">
        <f>IFERROR(ROUNDUP(K4*O4/$AY$2,0),0)</f>
        <v>1</v>
      </c>
      <c r="AZ4">
        <f>IFERROR(ROUNDUP(K4*O4/$AZ$2,0),0)</f>
        <v>1</v>
      </c>
      <c r="BA4" s="200">
        <f t="shared" ref="BA4:BA6" si="18">SUM(AX4:AZ4)+AV4</f>
        <v>4</v>
      </c>
      <c r="BB4" s="199">
        <f>BA4*$BA$2</f>
        <v>1100000</v>
      </c>
    </row>
    <row r="5" spans="1:54" x14ac:dyDescent="0.25">
      <c r="A5" s="153">
        <f t="shared" ref="A5" si="19"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0"/>
        <v>4.3478260869565215</v>
      </c>
      <c r="G5" s="157">
        <f>$I$6</f>
        <v>29.539650358417465</v>
      </c>
      <c r="H5" s="157">
        <f>$J$6</f>
        <v>8.3710383935696591</v>
      </c>
      <c r="I5">
        <v>30</v>
      </c>
      <c r="J5">
        <v>8</v>
      </c>
      <c r="K5" s="192">
        <f t="shared" si="1"/>
        <v>0.59126244765579528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2"/>
        <v>1</v>
      </c>
      <c r="Q5" s="170">
        <f>VLOOKUP(N5,Cabos!$B$13:$F$46,2,0)*O5*P5</f>
        <v>153.70000000000002</v>
      </c>
      <c r="R5" s="171">
        <f>((VLOOKUP(N5,Cabos!$B$13:$F$46,3,0)/O5*K5))*(1+A5)</f>
        <v>0.29267491158961867</v>
      </c>
      <c r="S5" s="171">
        <f>(VLOOKUP(N5,Cabos!$B$13:$F$46,4,0)/O5*K5)*B5/60</f>
        <v>0.10583597813038735</v>
      </c>
      <c r="T5" s="171">
        <f>1/(VLOOKUP(N5,Cabos!$B$13:$F$46,5,0)*60/B5) * O5 * K5</f>
        <v>3.1016232893867456E-5</v>
      </c>
      <c r="U5" s="155" t="str">
        <f t="shared" si="3"/>
        <v>81,9953644820212-57,5409662461409i</v>
      </c>
      <c r="V5" s="155" t="str">
        <f t="shared" si="4"/>
        <v>0,00178470401002847+0,00254318732099192i</v>
      </c>
      <c r="W5" s="155" t="str">
        <f t="shared" si="5"/>
        <v>0,292674591341355+0,105836363027927i</v>
      </c>
      <c r="X5" s="155" t="str">
        <f t="shared" si="6"/>
        <v>1,17304970880796E-11+0,0000155081206895666i</v>
      </c>
      <c r="Y5" s="172">
        <f>F5/L5/SQRT(3)*1000</f>
        <v>100.408742467761</v>
      </c>
      <c r="Z5" s="173" t="str">
        <f t="shared" si="7"/>
        <v>14433,7567297406</v>
      </c>
      <c r="AA5" s="173" t="str">
        <f>COMPLEX(Y5*E5,-Y5*SQRT(1-E5*E5))</f>
        <v>92,3760430703401-39,3520295616861i</v>
      </c>
      <c r="AB5" s="173" t="str">
        <f t="shared" si="8"/>
        <v>31,1773059332607-1,67508231332052i</v>
      </c>
      <c r="AC5" s="173" t="str">
        <f t="shared" si="9"/>
        <v>14464,9340356739-1,67508231332052i</v>
      </c>
      <c r="AD5" s="173" t="str">
        <f t="shared" si="10"/>
        <v>92,3760693867146-38,9038651775452i</v>
      </c>
      <c r="AE5" s="174">
        <f t="shared" si="11"/>
        <v>1.0021600338364278</v>
      </c>
      <c r="AF5" s="175">
        <f t="shared" si="12"/>
        <v>25.054000845910696</v>
      </c>
      <c r="AG5" s="174">
        <f t="shared" si="13"/>
        <v>0.6521403441350907</v>
      </c>
      <c r="AH5" s="175">
        <f t="shared" si="14"/>
        <v>100.23397089356345</v>
      </c>
      <c r="AI5" s="176">
        <f t="shared" si="15"/>
        <v>4.0088367519904198</v>
      </c>
      <c r="AJ5" s="174">
        <f t="shared" ref="AJ5:AJ6" si="20">IMABS(Z5)/L5/1000*SQRT(3)</f>
        <v>0.99999999999999678</v>
      </c>
      <c r="AK5" s="176">
        <f>SQRT(AI5^2+AS5^2)</f>
        <v>4.3496333604921604</v>
      </c>
      <c r="AL5" s="175">
        <f>IMABS(Z5)*SQRT(3)/1000</f>
        <v>24.999999999999922</v>
      </c>
      <c r="AM5" s="174">
        <f>IMABS(AA5)/Q5</f>
        <v>0.65327743960807394</v>
      </c>
      <c r="AN5" s="175">
        <f>Q5*AM5/P5</f>
        <v>100.40874246776097</v>
      </c>
      <c r="AO5" s="177">
        <f>D5</f>
        <v>4</v>
      </c>
      <c r="AP5" s="174">
        <f>IF(AO5&gt;0, (AI5-AO5)/AO5,0)</f>
        <v>2.2091879976049444E-3</v>
      </c>
      <c r="AQ5" s="168">
        <f>AF5*AH5*SQRT(3)*O5/1000</f>
        <v>4.3496333604921631</v>
      </c>
      <c r="AR5" s="168">
        <f t="shared" ref="AR5:AR6" si="21">AL5*AN5*SQRT(3)/1000</f>
        <v>4.3478260869565064</v>
      </c>
      <c r="AS5" s="176">
        <f>IMAGINARY(IMPRODUCT(AC5,IMCONJUGATE(AD5)))*3/1000000</f>
        <v>1.6877613180178141</v>
      </c>
      <c r="AT5" s="196">
        <f>VLOOKUP(N5,Cabos!$B$9:$I$46,6,0)*K5*O5</f>
        <v>175.58839160523684</v>
      </c>
      <c r="AU5" s="202">
        <f>VLOOKUP(N5,Cabos!$B$9:$I$46,7,0)*K5</f>
        <v>15.853520008994838</v>
      </c>
      <c r="AV5" s="200">
        <f t="shared" ref="AV5:AV6" si="22">ROUNDUP(AU5/$AV$2,0)*$AW$2</f>
        <v>2</v>
      </c>
      <c r="AW5" s="200">
        <f t="shared" si="17"/>
        <v>0</v>
      </c>
      <c r="AX5">
        <f t="shared" ref="AX5:AX6" si="23">ROUNDUP((AW5)*$AX$2,0)</f>
        <v>0</v>
      </c>
      <c r="AY5">
        <f t="shared" ref="AY5:AY6" si="24">IFERROR(ROUNDUP(K5*O5/$AY$2,0),0)</f>
        <v>1</v>
      </c>
      <c r="AZ5">
        <f t="shared" ref="AZ5:AZ6" si="25">IFERROR(ROUNDUP(K5*O5/$AZ$2,0),0)</f>
        <v>1</v>
      </c>
      <c r="BA5" s="200">
        <f t="shared" si="18"/>
        <v>4</v>
      </c>
      <c r="BB5" s="199">
        <f t="shared" ref="BB5:BB6" si="26">BA5*$BA$2</f>
        <v>1100000</v>
      </c>
    </row>
    <row r="6" spans="1:54" x14ac:dyDescent="0.25">
      <c r="A6" s="153">
        <f>IF($B$1="não",0,1-60/$B6)</f>
        <v>0</v>
      </c>
      <c r="B6">
        <v>60</v>
      </c>
      <c r="C6" s="133">
        <v>1</v>
      </c>
      <c r="D6" s="107">
        <f>SUM(AI4:AI5)</f>
        <v>8.0204793651562198</v>
      </c>
      <c r="E6" s="194">
        <f>(SUM(AI4:AI5))/(SUM(AK4:AK5))</f>
        <v>0.92191065193048871</v>
      </c>
      <c r="F6" s="168">
        <f>D6/(E6*C6)</f>
        <v>8.6998445547421195</v>
      </c>
      <c r="G6" s="157">
        <v>0</v>
      </c>
      <c r="H6" s="157">
        <v>4.5</v>
      </c>
      <c r="I6" s="195">
        <v>29.539650358417465</v>
      </c>
      <c r="J6" s="195">
        <v>8.3710383935696591</v>
      </c>
      <c r="K6" s="192">
        <f t="shared" si="1"/>
        <v>29.792211759821448</v>
      </c>
      <c r="L6" s="107">
        <f>MAX(AF4:AF5)</f>
        <v>25.071169479211857</v>
      </c>
      <c r="M6" s="180">
        <v>1</v>
      </c>
      <c r="N6" s="156" t="s">
        <v>180</v>
      </c>
      <c r="O6" s="159">
        <v>1</v>
      </c>
      <c r="P6" s="159">
        <f t="shared" si="2"/>
        <v>1</v>
      </c>
      <c r="Q6" s="181">
        <f>VLOOKUP(N6,Cabos!$B$13:$F$46,2,0)*O6*P6</f>
        <v>278.39999999999998</v>
      </c>
      <c r="R6" s="182">
        <f>((VLOOKUP(N6,Cabos!$B$13:$F$46,3,0)/O6*K6))*(1+A6)</f>
        <v>3.8540247859916619</v>
      </c>
      <c r="S6" s="182">
        <f>(VLOOKUP(N6,Cabos!$B$13:$F$46,4,0)/O6*K6)*B6/60</f>
        <v>4.4390395522133952</v>
      </c>
      <c r="T6" s="182">
        <f>1/(VLOOKUP(N6,Cabos!$B$13:$F$46,5,0)*60/B6) * O6 * K6</f>
        <v>2.1722356368808929E-3</v>
      </c>
      <c r="U6" s="178" t="str">
        <f t="shared" si="3"/>
        <v>48,73296761262-18,2034923114404i</v>
      </c>
      <c r="V6" s="178" t="str">
        <f t="shared" si="4"/>
        <v>0,0395422747145981+0,105859488939095i</v>
      </c>
      <c r="W6" s="178" t="str">
        <f t="shared" si="5"/>
        <v>3,84164383530516+4,43727875891063i</v>
      </c>
      <c r="X6" s="178" t="str">
        <f t="shared" si="6"/>
        <v>7,59197534766302E-07+0,00108699077818818i</v>
      </c>
      <c r="Y6" s="183">
        <f>F6/L6/SQRT(3)*1000</f>
        <v>200.34396878665919</v>
      </c>
      <c r="Z6" s="184" t="str">
        <f t="shared" si="7"/>
        <v>14474,8464477217</v>
      </c>
      <c r="AA6" s="173" t="str">
        <f>COMPLEX(Y6*E6,-Y6*SQRT(1-E6*E6))</f>
        <v>184,69923887445-77,6137680336972i</v>
      </c>
      <c r="AB6" s="184" t="str">
        <f t="shared" si="8"/>
        <v>984,168580386073+581,890837013307i</v>
      </c>
      <c r="AC6" s="184" t="str">
        <f t="shared" si="9"/>
        <v>15459,0150281078+581,890837013307i</v>
      </c>
      <c r="AD6" s="184" t="str">
        <f t="shared" si="10"/>
        <v>184,089454614543-45,0754948838192i</v>
      </c>
      <c r="AE6" s="185">
        <f t="shared" si="11"/>
        <v>1.0687479585687503</v>
      </c>
      <c r="AF6" s="186">
        <f t="shared" si="12"/>
        <v>26.794761199838831</v>
      </c>
      <c r="AG6" s="185">
        <f t="shared" si="13"/>
        <v>0.68077458048208239</v>
      </c>
      <c r="AH6" s="186">
        <f t="shared" si="14"/>
        <v>189.52764320621174</v>
      </c>
      <c r="AI6" s="187">
        <f t="shared" si="15"/>
        <v>8.4588378838669502</v>
      </c>
      <c r="AJ6" s="185">
        <f t="shared" si="20"/>
        <v>1.0000000000000002</v>
      </c>
      <c r="AK6" s="176">
        <f>SQRT(AI6^2+AS6^2)</f>
        <v>8.7959566514218643</v>
      </c>
      <c r="AL6" s="186">
        <f>IMABS(Z6)*SQRT(3)/1000</f>
        <v>25.071169479211864</v>
      </c>
      <c r="AM6" s="185">
        <f>IMABS(AA6)/Q6</f>
        <v>0.71962632466472265</v>
      </c>
      <c r="AN6" s="186">
        <f>Q6*AM6/P6</f>
        <v>200.34396878665876</v>
      </c>
      <c r="AO6" s="188">
        <f>D6</f>
        <v>8.0204793651562198</v>
      </c>
      <c r="AP6" s="185">
        <f>IF(AO6&gt;0, (AI6-AO6)/AO6,0)</f>
        <v>5.4654902625286189E-2</v>
      </c>
      <c r="AQ6" s="179">
        <f>AF6*AH6*SQRT(3)*O6/1000</f>
        <v>8.795956651421875</v>
      </c>
      <c r="AR6" s="179">
        <f t="shared" si="21"/>
        <v>8.6998445547421035</v>
      </c>
      <c r="AS6" s="176">
        <f>IMAGINARY(IMPRODUCT(AC6,IMCONJUGATE(AD6)))*3/1000000</f>
        <v>2.4118281589180111</v>
      </c>
      <c r="AT6" s="196">
        <f>VLOOKUP(N6,Cabos!$B$9:$I$46,6,0)*K6*O6</f>
        <v>12216.737356848829</v>
      </c>
      <c r="AU6" s="202">
        <f>VLOOKUP(N6,Cabos!$B$9:$I$46,7,0)*K6</f>
        <v>909.88393935670672</v>
      </c>
      <c r="AV6" s="200">
        <f t="shared" si="22"/>
        <v>2</v>
      </c>
      <c r="AW6" s="200">
        <f t="shared" si="17"/>
        <v>3</v>
      </c>
      <c r="AX6">
        <f t="shared" si="23"/>
        <v>5</v>
      </c>
      <c r="AY6">
        <f t="shared" si="24"/>
        <v>2</v>
      </c>
      <c r="AZ6">
        <f t="shared" si="25"/>
        <v>4</v>
      </c>
      <c r="BA6" s="200">
        <f t="shared" si="18"/>
        <v>13</v>
      </c>
      <c r="BB6" s="199">
        <f t="shared" si="26"/>
        <v>3575000</v>
      </c>
    </row>
    <row r="7" spans="1:54" x14ac:dyDescent="0.25">
      <c r="Q7" s="84"/>
      <c r="R7" s="81"/>
      <c r="S7" s="81"/>
      <c r="T7" s="81"/>
      <c r="Z7" s="81"/>
      <c r="AA7" s="81"/>
      <c r="AB7" s="81"/>
      <c r="AC7" s="81"/>
      <c r="AD7" s="81"/>
      <c r="AE7" s="81"/>
      <c r="AF7" s="81"/>
      <c r="AG7" s="81"/>
      <c r="AH7" s="81"/>
      <c r="AI7" s="193"/>
      <c r="AJ7" s="193"/>
      <c r="AK7" s="193"/>
      <c r="AL7" s="81"/>
      <c r="AM7" s="81"/>
      <c r="AN7" s="81"/>
      <c r="AO7" s="81"/>
      <c r="AP7" s="81"/>
      <c r="AS7" s="193"/>
      <c r="AT7" s="197">
        <f>SUM(AT4:AT6)</f>
        <v>12623.795276412018</v>
      </c>
      <c r="BB7" s="197">
        <f>SUM(BB4:BB6)</f>
        <v>5775000</v>
      </c>
    </row>
    <row r="8" spans="1:54" x14ac:dyDescent="0.25">
      <c r="Q8" s="84"/>
      <c r="R8" s="81"/>
      <c r="S8" s="81"/>
      <c r="T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S8" s="81"/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S9" s="81"/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J10" s="81"/>
      <c r="AK10" s="81"/>
      <c r="AL10" s="81"/>
      <c r="AM10" s="81"/>
      <c r="AN10" s="81"/>
      <c r="AO10" s="81"/>
      <c r="AP10" s="81"/>
      <c r="AS10" s="81"/>
    </row>
    <row r="11" spans="1:54" x14ac:dyDescent="0.25">
      <c r="Q11" s="84"/>
      <c r="R11" s="81"/>
      <c r="S11" s="81"/>
      <c r="T11" s="81"/>
      <c r="Z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B25" t="s">
        <v>154</v>
      </c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B26" t="s">
        <v>153</v>
      </c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</sheetData>
  <mergeCells count="2">
    <mergeCell ref="D1:E1"/>
    <mergeCell ref="N1:Q1"/>
  </mergeCells>
  <conditionalFormatting sqref="AF4:AF6">
    <cfRule type="cellIs" dxfId="33" priority="180" operator="greaterThan">
      <formula>1.08</formula>
    </cfRule>
  </conditionalFormatting>
  <conditionalFormatting sqref="AJ4:AJ6 AL4:AL6">
    <cfRule type="cellIs" dxfId="32" priority="178" operator="greaterThan">
      <formula>1.08</formula>
    </cfRule>
  </conditionalFormatting>
  <conditionalFormatting sqref="AM4:AN6">
    <cfRule type="cellIs" dxfId="31" priority="176" operator="greaterThan">
      <formula>1</formula>
    </cfRule>
  </conditionalFormatting>
  <conditionalFormatting sqref="AE4">
    <cfRule type="cellIs" dxfId="30" priority="179" operator="greaterThan">
      <formula>1.1</formula>
    </cfRule>
  </conditionalFormatting>
  <conditionalFormatting sqref="AG4:AH6">
    <cfRule type="cellIs" dxfId="29" priority="177" operator="greaterThan">
      <formula>1</formula>
    </cfRule>
  </conditionalFormatting>
  <conditionalFormatting sqref="AE5:AE6">
    <cfRule type="cellIs" dxfId="28" priority="175" operator="greaterThan">
      <formula>1.1</formula>
    </cfRule>
  </conditionalFormatting>
  <conditionalFormatting sqref="AP4">
    <cfRule type="cellIs" dxfId="27" priority="174" operator="greaterThan">
      <formula>7%</formula>
    </cfRule>
  </conditionalFormatting>
  <conditionalFormatting sqref="AP5:AP6">
    <cfRule type="cellIs" dxfId="26" priority="173" operator="greaterThan">
      <formula>7%</formula>
    </cfRule>
  </conditionalFormatting>
  <conditionalFormatting sqref="AF6">
    <cfRule type="cellIs" dxfId="25" priority="172" operator="greaterThan">
      <formula>1.08</formula>
    </cfRule>
  </conditionalFormatting>
  <conditionalFormatting sqref="AJ6 AL6">
    <cfRule type="cellIs" dxfId="24" priority="170" operator="greaterThan">
      <formula>1.08</formula>
    </cfRule>
  </conditionalFormatting>
  <conditionalFormatting sqref="AM6:AN6">
    <cfRule type="cellIs" dxfId="23" priority="168" operator="greaterThan">
      <formula>1</formula>
    </cfRule>
  </conditionalFormatting>
  <conditionalFormatting sqref="AG6:AH6">
    <cfRule type="cellIs" dxfId="22" priority="169" operator="greaterThan">
      <formula>1</formula>
    </cfRule>
  </conditionalFormatting>
  <conditionalFormatting sqref="AE6">
    <cfRule type="cellIs" dxfId="21" priority="166" operator="greaterThan">
      <formula>1.1</formula>
    </cfRule>
  </conditionalFormatting>
  <conditionalFormatting sqref="AP6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$B$25:$B$26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203" t="s">
        <v>123</v>
      </c>
      <c r="E1" s="203"/>
      <c r="F1" s="99"/>
      <c r="G1" s="87" t="s">
        <v>3</v>
      </c>
      <c r="H1" s="87" t="s">
        <v>18</v>
      </c>
      <c r="I1" s="90" t="s">
        <v>117</v>
      </c>
      <c r="J1" s="203" t="s">
        <v>6</v>
      </c>
      <c r="K1" s="203"/>
      <c r="L1" s="203"/>
      <c r="M1" s="203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1.34</v>
      </c>
      <c r="P3" s="85">
        <f>1/VLOOKUP(J3,Cabos!$B$13:$F$46,5,0) * K3 * G3</f>
        <v>1.7143770989924837E-3</v>
      </c>
      <c r="Q3" t="str">
        <f>IMSQRT(IMDIV(COMPLEX(N3,O3),COMPLEX(0,P3)))</f>
        <v>29,2472492645112-8,58932998204467i</v>
      </c>
      <c r="R3" t="str">
        <f>IMSQRT(IMPRODUCT(COMPLEX(N3,O3),COMPLEX(0,P3)))</f>
        <v>0,0147253506169069+0,0501408143476027i</v>
      </c>
      <c r="S3" t="str">
        <f>IMPRODUCT(Q3,_xlfn.IMSINH(R3))</f>
        <v>0,860692513295555+1,33969892048543i</v>
      </c>
      <c r="T3" t="str">
        <f>IMDIV(IMSUB(_xlfn.IMCOSH(R3),COMPLEX(1,0)),IMPRODUCT(Q3,_xlfn.IMSINH(R3)))</f>
        <v>1,05531397658571E-07+0,000857352670742429i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256,958589943999+133,325343667497i</v>
      </c>
      <c r="Y3" s="81" t="str">
        <f>IMSUM(V3,X3)</f>
        <v>3807,6627454602+133,325343667497i</v>
      </c>
      <c r="Z3" s="81" t="str">
        <f t="shared" ref="Z3" si="4">IMSUM(IMPRODUCT(Y3,T3),IMDIV(X3,S3))</f>
        <v>157,553136365939-87,2451764444048i</v>
      </c>
      <c r="AA3" s="83">
        <f>IMABS(Y3)/H3/1000*SQRT(3)</f>
        <v>1.0730255345393755</v>
      </c>
      <c r="AB3" s="106">
        <f>H3*AA3</f>
        <v>6.5991070374171601</v>
      </c>
      <c r="AC3" s="83">
        <f>IMABS(Z3)/M3</f>
        <v>0.49681764214184043</v>
      </c>
      <c r="AD3" s="83"/>
      <c r="AE3" s="88">
        <f>IMREAL(IMPRODUCT(Y3,IMCONJUGATE(Z3)))*3/1000000</f>
        <v>1.764831643914645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5.0818361974414417E-2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0.36299999999999999</v>
      </c>
      <c r="P4" s="85">
        <f>1/VLOOKUP(J4,Cabos!$B$13:$F$46,5,0) * K4 * G4</f>
        <v>2.0884093282283328E-3</v>
      </c>
      <c r="Q4" t="str">
        <f>IMSQRT(IMDIV(COMPLEX(N4,O4),COMPLEX(0,P4)))</f>
        <v>13,6231728669933-3,43137566640284i</v>
      </c>
      <c r="R4" t="str">
        <f>IMSQRT(IMPRODUCT(COMPLEX(N4,O4),COMPLEX(0,P4)))</f>
        <v>0,00716611695037139+0,0284507612954958i</v>
      </c>
      <c r="S4" t="str">
        <f>IMPRODUCT(Q4,_xlfn.IMSINH(R4))</f>
        <v>0,195201163215868+0,362967404948617i</v>
      </c>
      <c r="T4" t="str">
        <f>IMDIV(IMSUB(_xlfn.IMCOSH(R4),COMPLEX(1,0)),IMPRODUCT(Q4,_xlfn.IMSINH(R4)))</f>
        <v>3,5487712988332E-08+0,0010442706346526i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246,251261155212+149,875442361672i</v>
      </c>
      <c r="Y4" s="81" t="str">
        <f>IMSUM(V4,X4)</f>
        <v>4056,76303780674+149,875442361672i</v>
      </c>
      <c r="Z4" s="81" t="str">
        <f>IMSUM(IMPRODUCT(Y4,T4),IMDIV(X4,S4))</f>
        <v>603,135586003309-349,756773031241i</v>
      </c>
      <c r="AA4" s="83">
        <f>IMABS(Y4)/H4/1000*SQRT(3)</f>
        <v>1.0653505027653067</v>
      </c>
      <c r="AB4" s="106">
        <f>H4*AA4</f>
        <v>7.0313133182510237</v>
      </c>
      <c r="AC4" s="83">
        <f>IMABS(Z4)/M4</f>
        <v>0.88226560626445638</v>
      </c>
      <c r="AD4" s="106">
        <f>AC4*M4/K4</f>
        <v>348.60519767524335</v>
      </c>
      <c r="AE4" s="88">
        <f>IMREAL(IMPRODUCT(Y4,IMCONJUGATE(Z4)))*3/1000000</f>
        <v>7.1830746030212396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0.19717910050353993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2.42</v>
      </c>
      <c r="P5" s="85">
        <f>1/VLOOKUP(J5,Cabos!$B$13:$F$46,5,0) * K5 * G5</f>
        <v>3.4806822137138883E-3</v>
      </c>
      <c r="Q5" t="str">
        <f t="shared" ref="Q5:Q20" si="11">IMSQRT(IMDIV(COMPLEX(N5,O5),COMPLEX(0,P5)))</f>
        <v>27,2463457339865-6,86275133280567i</v>
      </c>
      <c r="R5" t="str">
        <f t="shared" ref="R5:R20" si="12">IMSQRT(IMPRODUCT(COMPLEX(N5,O5),COMPLEX(0,P5)))</f>
        <v>0,023887056501238+0,0948358709849862i</v>
      </c>
      <c r="S5" t="str">
        <f t="shared" ref="S5:S20" si="13">IMPRODUCT(Q5,_xlfn.IMSINH(R5))</f>
        <v>1,29801732141416+2,41758572387984i</v>
      </c>
      <c r="T5" t="str">
        <f t="shared" ref="T5:T20" si="14">IMDIV(IMSUB(_xlfn.IMCOSH(R5),COMPLEX(1,0)),IMPRODUCT(Q5,_xlfn.IMSINH(R5)))</f>
        <v>6,58188462383797E-07+0,0017415634490871i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195,102346197874+155,867116138694i</v>
      </c>
      <c r="Y5" s="81" t="str">
        <f t="shared" ref="Y5:Y20" si="19">IMSUM(V5,X5)</f>
        <v>8162,53606101471+155,867116138694i</v>
      </c>
      <c r="Z5" s="81" t="str">
        <f t="shared" ref="Z5:Z20" si="20">IMSUM(IMPRODUCT(Y5,T5),IMDIV(X5,S5))</f>
        <v>83,413116144091-21,5577391048527i</v>
      </c>
      <c r="AA5" s="83">
        <f t="shared" ref="AA5:AA20" si="21">IMABS(Y5)/H5/1000*SQRT(3)</f>
        <v>1.0246742416959309</v>
      </c>
      <c r="AB5" s="83"/>
      <c r="AC5" s="83">
        <f t="shared" ref="AC5:AC20" si="22">IMABS(Z5)/M5</f>
        <v>0.21804198544160272</v>
      </c>
      <c r="AD5" s="83"/>
      <c r="AE5" s="88">
        <f t="shared" ref="AE5:AE20" si="23">IMREAL(IMPRODUCT(Y5,IMCONJUGATE(Z5)))*3/1000000</f>
        <v>2.0325072775890209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1.6253638794510472E-2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2.42</v>
      </c>
      <c r="P6" s="85">
        <f>1/VLOOKUP(J6,Cabos!$B$13:$F$46,5,0) * K6 * G6</f>
        <v>3.4806822137138883E-3</v>
      </c>
      <c r="Q6" t="str">
        <f t="shared" si="11"/>
        <v>27,2463457339865-6,86275133280567i</v>
      </c>
      <c r="R6" t="str">
        <f t="shared" si="12"/>
        <v>0,023887056501238+0,0948358709849862i</v>
      </c>
      <c r="S6" t="str">
        <f t="shared" si="13"/>
        <v>1,29801732141416+2,41758572387984i</v>
      </c>
      <c r="T6" t="str">
        <f t="shared" si="14"/>
        <v>6,58188462383797E-07+0,0017415634490871i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538,064527727804+362,632247089969i</v>
      </c>
      <c r="Y6" s="81" t="str">
        <f t="shared" si="19"/>
        <v>8505,49824254464+362,632247089969i</v>
      </c>
      <c r="Z6" s="81" t="str">
        <f t="shared" si="20"/>
        <v>208,564175367933-95,4341238515446i</v>
      </c>
      <c r="AA6" s="83">
        <f t="shared" si="21"/>
        <v>1.0685027899093666</v>
      </c>
      <c r="AB6" s="83"/>
      <c r="AC6" s="83">
        <f t="shared" si="22"/>
        <v>0.58047827204326763</v>
      </c>
      <c r="AD6" s="83"/>
      <c r="AE6" s="88">
        <f t="shared" si="23"/>
        <v>5.2180042088051399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4.3600841761027985E-2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2.5</v>
      </c>
      <c r="P7" s="85">
        <f>1/VLOOKUP(J7,Cabos!$B$13:$F$46,5,0) * K7 * G7</f>
        <v>3.1984647369262755E-3</v>
      </c>
      <c r="Q7" t="str">
        <f t="shared" si="11"/>
        <v>29,2472492645112-8,58932998204466i</v>
      </c>
      <c r="R7" t="str">
        <f t="shared" si="12"/>
        <v>0,0274726690613935+0,0935462954246321i</v>
      </c>
      <c r="S7" t="str">
        <f t="shared" si="13"/>
        <v>1,60271893719738+2,49804459244677i</v>
      </c>
      <c r="T7" t="str">
        <f t="shared" si="14"/>
        <v>6,86092194111777E-07+0,00160029851172335i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2549,47563032042+1314,92414219385i</v>
      </c>
      <c r="Y7" s="81" t="str">
        <f t="shared" si="19"/>
        <v>10516,9093451373+1314,92414219385i</v>
      </c>
      <c r="Z7" s="81" t="str">
        <f t="shared" si="20"/>
        <v>834,647931380381-466,910706064361i</v>
      </c>
      <c r="AA7" s="83">
        <f t="shared" si="21"/>
        <v>1.3302643141331776</v>
      </c>
      <c r="AB7" s="83"/>
      <c r="AC7" s="83">
        <f t="shared" si="22"/>
        <v>2.638260915025882</v>
      </c>
      <c r="AD7" s="83"/>
      <c r="AE7" s="88">
        <f t="shared" si="23"/>
        <v>24.49189340934312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0.22459467046715603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2.5</v>
      </c>
      <c r="P8" s="85">
        <f>1/VLOOKUP(J8,Cabos!$B$13:$F$46,5,0) * K8 * G8</f>
        <v>3.1984647369262755E-3</v>
      </c>
      <c r="Q8" t="str">
        <f t="shared" si="11"/>
        <v>29,2472492645112-8,58932998204466i</v>
      </c>
      <c r="R8" t="str">
        <f t="shared" si="12"/>
        <v>0,0274726690613935+0,0935462954246321i</v>
      </c>
      <c r="S8" t="str">
        <f t="shared" si="13"/>
        <v>1,60271893719738+2,49804459244677i</v>
      </c>
      <c r="T8" t="str">
        <f t="shared" si="14"/>
        <v>6,86092194111777E-07+0,00160029851172335i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1258,81682130116+667,686450192705i</v>
      </c>
      <c r="Y8" s="81" t="str">
        <f t="shared" si="19"/>
        <v>9226,250536118+667,686450192705i</v>
      </c>
      <c r="Z8" s="81" t="str">
        <f t="shared" si="20"/>
        <v>417,313059102348-220,730552044015i</v>
      </c>
      <c r="AA8" s="83">
        <f t="shared" si="21"/>
        <v>1.1610236025943523</v>
      </c>
      <c r="AB8" s="83"/>
      <c r="AC8" s="83">
        <f t="shared" si="22"/>
        <v>1.3023265844006795</v>
      </c>
      <c r="AD8" s="83"/>
      <c r="AE8" s="88">
        <f t="shared" si="23"/>
        <v>11.108568109586221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0.1108568109586221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2.5</v>
      </c>
      <c r="P9" s="85">
        <f>1/VLOOKUP(J9,Cabos!$B$13:$F$46,5,0) * K9 * G9</f>
        <v>3.1984647369262755E-3</v>
      </c>
      <c r="Q9" t="str">
        <f t="shared" si="11"/>
        <v>29,2472492645112-8,58932998204466i</v>
      </c>
      <c r="R9" t="str">
        <f t="shared" si="12"/>
        <v>0,0274726690613935+0,0935462954246321i</v>
      </c>
      <c r="S9" t="str">
        <f t="shared" si="13"/>
        <v>1,60271893719738+2,49804459244677i</v>
      </c>
      <c r="T9" t="str">
        <f t="shared" si="14"/>
        <v>6,86092194111777E-07+0,00160029851172335i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613,487416791539+344,067604192138i</v>
      </c>
      <c r="Y9" s="81" t="str">
        <f t="shared" si="19"/>
        <v>8580,92113160838+344,067604192138i</v>
      </c>
      <c r="Z9" s="81" t="str">
        <f t="shared" si="20"/>
        <v>208,645622963334-97,6404750338432i</v>
      </c>
      <c r="AA9" s="83">
        <f t="shared" si="21"/>
        <v>1.0778648026611011</v>
      </c>
      <c r="AB9" s="83"/>
      <c r="AC9" s="83">
        <f t="shared" si="22"/>
        <v>0.63548142303518118</v>
      </c>
      <c r="AD9" s="83"/>
      <c r="AE9" s="88">
        <f t="shared" si="23"/>
        <v>5.2703301323597689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5.4066026471953778E-2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0.45000000000000007</v>
      </c>
      <c r="P10" s="85">
        <f>1/VLOOKUP(J10,Cabos!$B$13:$F$46,5,0) * K10 * G10</f>
        <v>4.4098191974129061E-3</v>
      </c>
      <c r="Q10" t="str">
        <f t="shared" si="11"/>
        <v>11,0312705447808-4,43214731616036i</v>
      </c>
      <c r="R10" t="str">
        <f t="shared" si="12"/>
        <v>0,019544968320566+0,0486459086202297i</v>
      </c>
      <c r="S10" t="str">
        <f t="shared" si="13"/>
        <v>0,430926461301803+0,449987805562788i</v>
      </c>
      <c r="T10" t="str">
        <f t="shared" si="14"/>
        <v>3,49537032215009E-07+0,00220527422657218i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576,083324950698+170,143801006648i</v>
      </c>
      <c r="Y10" s="81" t="str">
        <f t="shared" si="19"/>
        <v>8543,51703976754+170,143801006648i</v>
      </c>
      <c r="Z10" s="81" t="str">
        <f t="shared" si="20"/>
        <v>836,37007801423-460,080841285733i</v>
      </c>
      <c r="AA10" s="83">
        <f t="shared" si="21"/>
        <v>1.0725173727434312</v>
      </c>
      <c r="AB10" s="83"/>
      <c r="AC10" s="83">
        <f t="shared" si="22"/>
        <v>1.1429146960328069</v>
      </c>
      <c r="AD10" s="83"/>
      <c r="AE10" s="88">
        <f t="shared" si="23"/>
        <v>21.201786329878768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6.0089316493938408E-2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0.45000000000000007</v>
      </c>
      <c r="P11" s="85">
        <f>1/VLOOKUP(J11,Cabos!$B$13:$F$46,5,0) * K11 * G11</f>
        <v>4.4098191974129061E-3</v>
      </c>
      <c r="Q11" t="str">
        <f t="shared" si="11"/>
        <v>11,0312705447808-4,43214731616036i</v>
      </c>
      <c r="R11" t="str">
        <f t="shared" si="12"/>
        <v>0,019544968320566+0,0486459086202297i</v>
      </c>
      <c r="S11" t="str">
        <f t="shared" si="13"/>
        <v>0,430926461301803+0,449987805562788i</v>
      </c>
      <c r="T11" t="str">
        <f t="shared" si="14"/>
        <v>3,49537032215009E-07+0,00220527422657218i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284,089035001933+88,8582971166033i</v>
      </c>
      <c r="Y11" s="81" t="str">
        <f t="shared" si="19"/>
        <v>8251,52274981877+88,8582971166033i</v>
      </c>
      <c r="Z11" s="81" t="str">
        <f t="shared" si="20"/>
        <v>418,179472495797-212,478759723667i</v>
      </c>
      <c r="AA11" s="83">
        <f t="shared" si="21"/>
        <v>1.035716326756879</v>
      </c>
      <c r="AB11" s="83"/>
      <c r="AC11" s="83">
        <f t="shared" si="22"/>
        <v>0.56161910380776603</v>
      </c>
      <c r="AD11" s="83"/>
      <c r="AE11" s="88">
        <f t="shared" si="23"/>
        <v>10.295210790131369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2.9521079013136921E-2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0.45000000000000007</v>
      </c>
      <c r="P12" s="85">
        <f>1/VLOOKUP(J12,Cabos!$B$13:$F$46,5,0) * K12 * G12</f>
        <v>4.4098191974129061E-3</v>
      </c>
      <c r="Q12" t="str">
        <f t="shared" si="11"/>
        <v>11,0312705447808-4,43214731616036i</v>
      </c>
      <c r="R12" t="str">
        <f t="shared" si="12"/>
        <v>0,019544968320566+0,0486459086202297i</v>
      </c>
      <c r="S12" t="str">
        <f t="shared" si="13"/>
        <v>0,430926461301803+0,449987805562788i</v>
      </c>
      <c r="T12" t="str">
        <f t="shared" si="14"/>
        <v>3,49537032215009E-07+0,00220527422657218i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138,091890027551+48,2155451715812i</v>
      </c>
      <c r="Y12" s="81" t="str">
        <f t="shared" si="19"/>
        <v>8105,52560484439+48,2155451715812i</v>
      </c>
      <c r="Z12" s="81" t="str">
        <f t="shared" si="20"/>
        <v>209,084169736581-88,6777189426342i</v>
      </c>
      <c r="AA12" s="83">
        <f t="shared" si="21"/>
        <v>1.0173500399595383</v>
      </c>
      <c r="AB12" s="83"/>
      <c r="AC12" s="83">
        <f t="shared" si="22"/>
        <v>0.2719254648285987</v>
      </c>
      <c r="AD12" s="83"/>
      <c r="AE12" s="88">
        <f t="shared" si="23"/>
        <v>5.0713843404123002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1.4276868082460047E-2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0.22500000000000003</v>
      </c>
      <c r="P13" s="85">
        <f>1/VLOOKUP(J13,Cabos!$B$13:$F$46,5,0) * K13 * G13</f>
        <v>2.204909598706453E-3</v>
      </c>
      <c r="Q13" t="str">
        <f t="shared" si="11"/>
        <v>11,0312705447808-4,43214731616036i</v>
      </c>
      <c r="R13" t="str">
        <f t="shared" si="12"/>
        <v>0,00977248416028301+0,0243229543101148i</v>
      </c>
      <c r="S13" t="str">
        <f t="shared" si="13"/>
        <v>0,215570179901042+0,224998478124323i</v>
      </c>
      <c r="T13" t="str">
        <f t="shared" si="14"/>
        <v>4,36791246508538E-08+0,00110250037728546i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290,109716421324+83,129900839i</v>
      </c>
      <c r="Y13" s="81" t="str">
        <f t="shared" si="19"/>
        <v>8257,54343123816+83,129900839i</v>
      </c>
      <c r="Z13" s="81" t="str">
        <f t="shared" si="20"/>
        <v>836,648578510435-478,604027856565i</v>
      </c>
      <c r="AA13" s="83">
        <f t="shared" si="21"/>
        <v>1.0364644572733279</v>
      </c>
      <c r="AB13" s="83"/>
      <c r="AC13" s="83">
        <f t="shared" si="22"/>
        <v>1.1540572202098556</v>
      </c>
      <c r="AD13" s="83"/>
      <c r="AE13" s="88">
        <f t="shared" si="23"/>
        <v>20.606627005070163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3.0331350253508128E-2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0.22500000000000003</v>
      </c>
      <c r="P14" s="85">
        <f>1/VLOOKUP(J14,Cabos!$B$13:$F$46,5,0) * K14 * G14</f>
        <v>2.204909598706453E-3</v>
      </c>
      <c r="Q14" t="str">
        <f t="shared" si="11"/>
        <v>11,0312705447808-4,43214731616036i</v>
      </c>
      <c r="R14" t="str">
        <f t="shared" si="12"/>
        <v>0,00977248416028301+0,0243229543101148i</v>
      </c>
      <c r="S14" t="str">
        <f t="shared" si="13"/>
        <v>0,215570179901042+0,224998478124323i</v>
      </c>
      <c r="T14" t="str">
        <f t="shared" si="14"/>
        <v>4,36791246508538E-08+0,00110250037728546i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144,066691304046+42,5117844364093i</v>
      </c>
      <c r="Y14" s="81" t="str">
        <f t="shared" si="19"/>
        <v>8111,50040612089+42,5117844364093i</v>
      </c>
      <c r="Z14" s="81" t="str">
        <f t="shared" si="20"/>
        <v>418,323593337724-230,519004664731i</v>
      </c>
      <c r="AA14" s="83">
        <f t="shared" si="21"/>
        <v>1.0180959260267368</v>
      </c>
      <c r="AB14" s="83"/>
      <c r="AC14" s="83">
        <f t="shared" si="22"/>
        <v>0.57187904012193491</v>
      </c>
      <c r="AD14" s="83"/>
      <c r="AE14" s="88">
        <f t="shared" si="23"/>
        <v>10.1502966690423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1.5029666904229976E-2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0.22500000000000003</v>
      </c>
      <c r="P15" s="85">
        <f>1/VLOOKUP(J15,Cabos!$B$13:$F$46,5,0) * K15 * G15</f>
        <v>2.204909598706453E-3</v>
      </c>
      <c r="Q15" t="str">
        <f t="shared" si="11"/>
        <v>11,0312705447808-4,43214731616036i</v>
      </c>
      <c r="R15" t="str">
        <f t="shared" si="12"/>
        <v>0,00977248416028301+0,0243229543101148i</v>
      </c>
      <c r="S15" t="str">
        <f t="shared" si="13"/>
        <v>0,215570179901042+0,224998478124323i</v>
      </c>
      <c r="T15" t="str">
        <f t="shared" si="14"/>
        <v>4,36791246508538E-08+0,00110250037728546i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71,0451787454069+22,2027262351142i</v>
      </c>
      <c r="Y15" s="81" t="str">
        <f t="shared" si="19"/>
        <v>8038,47889356225+22,2027262351142i</v>
      </c>
      <c r="Z15" s="81" t="str">
        <f t="shared" si="20"/>
        <v>209,16110075137-106,476493068814i</v>
      </c>
      <c r="AA15" s="83">
        <f t="shared" si="21"/>
        <v>1.0089207948021879</v>
      </c>
      <c r="AB15" s="83"/>
      <c r="AC15" s="83">
        <f t="shared" si="22"/>
        <v>0.28101441258996268</v>
      </c>
      <c r="AD15" s="83"/>
      <c r="AE15" s="88">
        <f t="shared" si="23"/>
        <v>5.0369190759541507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7.383815190830134E-3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0.13500000000000001</v>
      </c>
      <c r="P16" s="85">
        <f>1/VLOOKUP(J16,Cabos!$B$13:$F$46,5,0) * K16 * G16</f>
        <v>1.322945759223872E-3</v>
      </c>
      <c r="Q16" t="str">
        <f t="shared" si="11"/>
        <v>11,0312705447808-4,43214731616037i</v>
      </c>
      <c r="R16" t="str">
        <f t="shared" si="12"/>
        <v>0,00586349049616982+0,0145937725860689i</v>
      </c>
      <c r="S16" t="str">
        <f t="shared" si="13"/>
        <v>0,129355798731366+0,134999671386792i</v>
      </c>
      <c r="T16" t="str">
        <f t="shared" si="14"/>
        <v>9,43409259081217E-09+0,000661482724418981i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174,551894259438+49,4171879679457i</v>
      </c>
      <c r="Y16" s="81" t="str">
        <f t="shared" si="19"/>
        <v>8141,98560907628+49,4171879679457i</v>
      </c>
      <c r="Z16" s="81" t="str">
        <f t="shared" si="20"/>
        <v>836,706983926297-485,835971863196i</v>
      </c>
      <c r="AA16" s="83">
        <f t="shared" si="21"/>
        <v>1.0219269925726497</v>
      </c>
      <c r="AB16" s="83"/>
      <c r="AC16" s="83">
        <f t="shared" si="22"/>
        <v>1.1584416287857489</v>
      </c>
      <c r="AD16" s="83"/>
      <c r="AE16" s="88">
        <f t="shared" si="23"/>
        <v>20.365342723795109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1.8267136189755461E-2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0.13500000000000001</v>
      </c>
      <c r="P17" s="85">
        <f>1/VLOOKUP(J17,Cabos!$B$13:$F$46,5,0) * K17 * G17</f>
        <v>1.322945759223872E-3</v>
      </c>
      <c r="Q17" t="str">
        <f t="shared" si="11"/>
        <v>11,0312705447808-4,43214731616037i</v>
      </c>
      <c r="R17" t="str">
        <f t="shared" si="12"/>
        <v>0,00586349049616982+0,0145937725860689i</v>
      </c>
      <c r="S17" t="str">
        <f t="shared" si="13"/>
        <v>0,129355798731366+0,134999671386792i</v>
      </c>
      <c r="T17" t="str">
        <f t="shared" si="14"/>
        <v>9,43409259081217E-09+0,000661482724418981i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86,9202062733939+25,0494722687141i</v>
      </c>
      <c r="Y17" s="81" t="str">
        <f t="shared" si="19"/>
        <v>8054,35392109023+25,0494722687141i</v>
      </c>
      <c r="Z17" s="81" t="str">
        <f t="shared" si="20"/>
        <v>418,353341640203-237,647901484508i</v>
      </c>
      <c r="AA17" s="83">
        <f t="shared" si="21"/>
        <v>1.0109143247239036</v>
      </c>
      <c r="AB17" s="83"/>
      <c r="AC17" s="83">
        <f t="shared" si="22"/>
        <v>0.57607801415636684</v>
      </c>
      <c r="AD17" s="83"/>
      <c r="AE17" s="88">
        <f t="shared" si="23"/>
        <v>10.090838769369061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9.083876936906066E-3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0.13500000000000001</v>
      </c>
      <c r="P18" s="85">
        <f>1/VLOOKUP(J18,Cabos!$B$13:$F$46,5,0) * K18 * G18</f>
        <v>1.322945759223872E-3</v>
      </c>
      <c r="Q18" t="str">
        <f t="shared" si="11"/>
        <v>11,0312705447808-4,43214731616037i</v>
      </c>
      <c r="R18" t="str">
        <f t="shared" si="12"/>
        <v>0,00586349049616982+0,0145937725860689i</v>
      </c>
      <c r="S18" t="str">
        <f t="shared" si="13"/>
        <v>0,129355798731366+0,134999671386792i</v>
      </c>
      <c r="T18" t="str">
        <f t="shared" si="14"/>
        <v>9,43409259081217E-09+0,000661482724418981i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-0,711481712650206+0,68175656948271i</v>
      </c>
      <c r="Y18" s="81" t="str">
        <f t="shared" si="19"/>
        <v>7966,72223310419+0,68175656948271i</v>
      </c>
      <c r="Z18" s="81" t="str">
        <f t="shared" si="20"/>
        <v>-0,000300645890403666+10,5401688941795i</v>
      </c>
      <c r="AA18" s="83">
        <f t="shared" si="21"/>
        <v>0.99991070493119005</v>
      </c>
      <c r="AB18" s="83"/>
      <c r="AC18" s="83">
        <f t="shared" si="22"/>
        <v>1.2619934025942631E-2</v>
      </c>
      <c r="AD18" s="83"/>
      <c r="AE18" s="88">
        <f t="shared" si="23"/>
        <v>1.4372001263081671E-5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10">
        <v>183</v>
      </c>
      <c r="C28" s="207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4"/>
      <c r="C29" s="205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4"/>
      <c r="C30" s="205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4"/>
      <c r="C31" s="205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4"/>
      <c r="C32" s="205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11"/>
      <c r="C33" s="206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12">
        <v>200</v>
      </c>
      <c r="C34" s="208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4"/>
      <c r="C35" s="205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4"/>
      <c r="C36" s="205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4"/>
      <c r="C37" s="205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4"/>
      <c r="C38" s="205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11"/>
      <c r="C39" s="206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13">
        <v>325</v>
      </c>
      <c r="C40" s="209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4"/>
      <c r="C41" s="205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4"/>
      <c r="C42" s="205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4"/>
      <c r="C43" s="205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4"/>
      <c r="C44" s="205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11"/>
      <c r="C45" s="206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4">
        <v>183</v>
      </c>
      <c r="C52" s="205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4"/>
      <c r="C53" s="205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4">
        <v>200</v>
      </c>
      <c r="C54" s="205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4"/>
      <c r="C55" s="205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4">
        <v>325</v>
      </c>
      <c r="C56" s="205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4"/>
      <c r="C57" s="205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4">
        <v>183</v>
      </c>
      <c r="C65" s="205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4"/>
      <c r="C66" s="205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D1:E1"/>
    <mergeCell ref="J1:M1"/>
    <mergeCell ref="B28:B33"/>
    <mergeCell ref="B34:B39"/>
    <mergeCell ref="B40:B45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B65:B66"/>
    <mergeCell ref="C65:C66"/>
    <mergeCell ref="B54:B55"/>
    <mergeCell ref="C54:C55"/>
    <mergeCell ref="B56:B57"/>
    <mergeCell ref="C56:C57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2" x14ac:dyDescent="0.25">
      <c r="A1" t="s">
        <v>5</v>
      </c>
    </row>
    <row r="2" spans="1:12" x14ac:dyDescent="0.25">
      <c r="A2">
        <v>6.6</v>
      </c>
    </row>
    <row r="3" spans="1:12" x14ac:dyDescent="0.25">
      <c r="A3">
        <v>26</v>
      </c>
      <c r="D3">
        <v>200</v>
      </c>
    </row>
    <row r="4" spans="1:12" x14ac:dyDescent="0.25">
      <c r="A4">
        <v>26.5</v>
      </c>
      <c r="D4" s="3">
        <f>'[1]Dados Típicos'!O43</f>
        <v>316.66666666666669</v>
      </c>
    </row>
    <row r="5" spans="1:12" x14ac:dyDescent="0.25">
      <c r="A5">
        <v>9</v>
      </c>
      <c r="C5">
        <v>220</v>
      </c>
      <c r="D5">
        <f>C5/1.2</f>
        <v>183.33333333333334</v>
      </c>
    </row>
    <row r="6" spans="1:12" x14ac:dyDescent="0.25">
      <c r="A6">
        <v>6.9</v>
      </c>
    </row>
    <row r="7" spans="1:12" x14ac:dyDescent="0.25">
      <c r="H7">
        <v>15</v>
      </c>
    </row>
    <row r="8" spans="1:12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12" ht="17.25" x14ac:dyDescent="0.25">
      <c r="B9" s="2" t="s">
        <v>143</v>
      </c>
      <c r="C9" s="3">
        <f>'[1]Dados Típicos'!G14</f>
        <v>130.5</v>
      </c>
      <c r="D9">
        <v>0.53834500000000007</v>
      </c>
      <c r="E9">
        <v>0.16800000000000001</v>
      </c>
      <c r="F9" s="77">
        <v>11132</v>
      </c>
      <c r="G9">
        <v>180</v>
      </c>
      <c r="H9">
        <v>23.570399999999999</v>
      </c>
      <c r="I9">
        <v>1</v>
      </c>
    </row>
    <row r="10" spans="1:12" ht="17.25" x14ac:dyDescent="0.25">
      <c r="B10" s="2" t="s">
        <v>142</v>
      </c>
      <c r="C10" s="3">
        <f>'[1]Dados Típicos'!O14</f>
        <v>153.70000000000002</v>
      </c>
      <c r="D10">
        <v>0.495</v>
      </c>
      <c r="E10">
        <v>0.161</v>
      </c>
      <c r="F10" s="77">
        <v>9958</v>
      </c>
      <c r="G10">
        <v>200</v>
      </c>
      <c r="H10">
        <v>24.414000000000001</v>
      </c>
      <c r="I10">
        <v>2</v>
      </c>
    </row>
    <row r="11" spans="1:12" ht="17.25" x14ac:dyDescent="0.25">
      <c r="B11" s="2" t="s">
        <v>141</v>
      </c>
      <c r="C11" s="3">
        <f>'[1]Dados Típicos'!G23</f>
        <v>187.05</v>
      </c>
      <c r="D11">
        <v>0.34399999999999997</v>
      </c>
      <c r="E11">
        <v>0.152</v>
      </c>
      <c r="F11" s="77">
        <v>8949</v>
      </c>
      <c r="G11">
        <v>220</v>
      </c>
      <c r="H11">
        <v>25.430799999999998</v>
      </c>
      <c r="I11">
        <v>3</v>
      </c>
    </row>
    <row r="12" spans="1:12" ht="17.25" x14ac:dyDescent="0.25">
      <c r="B12" s="2" t="s">
        <v>140</v>
      </c>
      <c r="C12" s="3">
        <f>'[1]Dados Típicos'!O23</f>
        <v>221.85</v>
      </c>
      <c r="D12">
        <v>0.248</v>
      </c>
      <c r="E12">
        <v>0.14399999999999999</v>
      </c>
      <c r="F12" s="77">
        <v>8025</v>
      </c>
      <c r="G12">
        <v>248.6</v>
      </c>
      <c r="H12">
        <v>26.620799999999999</v>
      </c>
      <c r="I12">
        <v>4</v>
      </c>
      <c r="L12" t="s">
        <v>179</v>
      </c>
    </row>
    <row r="13" spans="1:12" ht="18" customHeight="1" x14ac:dyDescent="0.25">
      <c r="B13" s="2" t="s">
        <v>84</v>
      </c>
      <c r="C13" s="3">
        <f>'[1]Dados Típicos'!G32</f>
        <v>250.85</v>
      </c>
      <c r="D13" s="76">
        <v>0.1582895</v>
      </c>
      <c r="E13">
        <v>0.13900000000000001</v>
      </c>
      <c r="F13" s="77">
        <v>7363</v>
      </c>
      <c r="G13">
        <v>273.89999999999998</v>
      </c>
      <c r="H13">
        <v>27.984000000000002</v>
      </c>
      <c r="I13">
        <v>5</v>
      </c>
      <c r="J13">
        <v>23.2</v>
      </c>
      <c r="K13">
        <f>J13-G13</f>
        <v>-250.7</v>
      </c>
      <c r="L13">
        <v>39.369999999999997</v>
      </c>
    </row>
    <row r="14" spans="1:12" ht="18" customHeight="1" x14ac:dyDescent="0.25">
      <c r="B14" s="2" t="s">
        <v>85</v>
      </c>
      <c r="C14" s="3">
        <f>'[1]Dados Típicos'!O32</f>
        <v>278.39999999999998</v>
      </c>
      <c r="D14" s="76">
        <v>0.12936349999999999</v>
      </c>
      <c r="E14">
        <v>0.13500000000000001</v>
      </c>
      <c r="F14" s="77">
        <v>6803</v>
      </c>
      <c r="G14">
        <v>299.2</v>
      </c>
      <c r="H14">
        <v>29.520400000000002</v>
      </c>
      <c r="I14">
        <v>6</v>
      </c>
    </row>
    <row r="15" spans="1:12" ht="18" customHeight="1" x14ac:dyDescent="0.25">
      <c r="B15" s="2" t="s">
        <v>86</v>
      </c>
      <c r="C15" s="3">
        <f>'[1]Dados Típicos'!G41</f>
        <v>311.02500000000003</v>
      </c>
      <c r="D15" s="76">
        <v>0.10365150000000001</v>
      </c>
      <c r="E15">
        <v>0.13</v>
      </c>
      <c r="F15" s="77">
        <v>6292</v>
      </c>
      <c r="G15">
        <v>341</v>
      </c>
      <c r="H15">
        <v>31.229999999999997</v>
      </c>
      <c r="I15">
        <v>7</v>
      </c>
    </row>
    <row r="16" spans="1:12" ht="18" customHeight="1" x14ac:dyDescent="0.25">
      <c r="B16" s="2" t="s">
        <v>87</v>
      </c>
      <c r="C16" s="3">
        <f>'[1]Dados Típicos'!O41</f>
        <v>362.5</v>
      </c>
      <c r="D16" s="76">
        <v>8.0350000000000005E-2</v>
      </c>
      <c r="E16">
        <v>0.125</v>
      </c>
      <c r="F16" s="77">
        <v>6253</v>
      </c>
      <c r="G16">
        <v>382.8</v>
      </c>
      <c r="H16">
        <v>33.1128</v>
      </c>
      <c r="I16">
        <v>8</v>
      </c>
      <c r="J16">
        <v>33.64</v>
      </c>
      <c r="K16">
        <f>J16-G16</f>
        <v>-349.16</v>
      </c>
    </row>
    <row r="17" spans="2:9" ht="18" customHeight="1" x14ac:dyDescent="0.25">
      <c r="B17" s="2" t="s">
        <v>88</v>
      </c>
      <c r="C17" s="3">
        <f>'[1]Dados Típicos'!G50</f>
        <v>395.125</v>
      </c>
      <c r="D17" s="76">
        <v>6.5083500000000002E-2</v>
      </c>
      <c r="E17">
        <v>0.121</v>
      </c>
      <c r="F17" s="77">
        <v>5746</v>
      </c>
      <c r="G17">
        <v>478.5</v>
      </c>
      <c r="H17">
        <v>35.168799999999997</v>
      </c>
      <c r="I17">
        <v>9</v>
      </c>
    </row>
    <row r="18" spans="2:9" ht="18" customHeight="1" x14ac:dyDescent="0.25">
      <c r="B18" s="2" t="s">
        <v>89</v>
      </c>
      <c r="C18" s="3">
        <f>'[1]Dados Típicos'!O50</f>
        <v>435</v>
      </c>
      <c r="D18" s="76">
        <v>5.3031000000000002E-2</v>
      </c>
      <c r="E18">
        <v>0.11700000000000001</v>
      </c>
      <c r="F18" s="77">
        <v>5105</v>
      </c>
      <c r="G18">
        <v>526.78899082568807</v>
      </c>
      <c r="H18">
        <v>37.398000000000003</v>
      </c>
      <c r="I18">
        <v>10</v>
      </c>
    </row>
    <row r="19" spans="2:9" ht="18" customHeight="1" x14ac:dyDescent="0.25">
      <c r="B19" s="2" t="s">
        <v>90</v>
      </c>
      <c r="C19" s="3">
        <f>'[1]Dados Típicos'!G60</f>
        <v>477.77500000000003</v>
      </c>
      <c r="D19" s="76">
        <v>4.7490500000000005E-2</v>
      </c>
      <c r="E19">
        <v>0.114</v>
      </c>
      <c r="F19" s="77">
        <v>4669</v>
      </c>
      <c r="G19">
        <v>578.58990825688068</v>
      </c>
      <c r="H19">
        <v>39.800400000000003</v>
      </c>
      <c r="I19">
        <v>11</v>
      </c>
    </row>
    <row r="20" spans="2:9" ht="18" customHeight="1" x14ac:dyDescent="0.25">
      <c r="B20" s="2" t="s">
        <v>137</v>
      </c>
      <c r="C20" s="3">
        <f>'[1]Dados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>
        <v>42.375999999999998</v>
      </c>
      <c r="I20">
        <v>12</v>
      </c>
    </row>
    <row r="21" spans="2:9" ht="18" customHeight="1" x14ac:dyDescent="0.25">
      <c r="B21" s="2" t="s">
        <v>147</v>
      </c>
      <c r="C21" s="3">
        <v>131</v>
      </c>
      <c r="D21" s="76">
        <v>0.53834500000000007</v>
      </c>
      <c r="E21">
        <v>0.1852</v>
      </c>
      <c r="F21" s="77">
        <v>20314.34</v>
      </c>
      <c r="G21">
        <v>282.57979999999998</v>
      </c>
      <c r="H21">
        <v>26.5</v>
      </c>
    </row>
    <row r="22" spans="2:9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296.97199999999998</v>
      </c>
      <c r="H22">
        <v>26.812999999999999</v>
      </c>
      <c r="I22">
        <v>1</v>
      </c>
    </row>
    <row r="23" spans="2:9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316.91660000000002</v>
      </c>
      <c r="H23">
        <v>26.994399999999999</v>
      </c>
      <c r="I23">
        <v>2</v>
      </c>
    </row>
    <row r="24" spans="2:9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342.41359999999997</v>
      </c>
      <c r="H24">
        <v>27.676200000000001</v>
      </c>
      <c r="I24">
        <v>3</v>
      </c>
    </row>
    <row r="25" spans="2:9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0.155</v>
      </c>
      <c r="F25" s="96">
        <v>14663</v>
      </c>
      <c r="G25">
        <v>373.46300000000002</v>
      </c>
      <c r="H25">
        <v>28.8584</v>
      </c>
      <c r="I25">
        <v>4</v>
      </c>
    </row>
    <row r="26" spans="2:9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0.14899999999999999</v>
      </c>
      <c r="F26" s="96">
        <v>13715</v>
      </c>
      <c r="G26">
        <v>410.06479999999999</v>
      </c>
      <c r="H26">
        <v>30.540999999999997</v>
      </c>
      <c r="I26">
        <v>5</v>
      </c>
    </row>
    <row r="27" spans="2:9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0.14499999999999999</v>
      </c>
      <c r="F27" s="96">
        <v>12781</v>
      </c>
      <c r="G27">
        <v>452.21899999999999</v>
      </c>
      <c r="H27">
        <v>32.723999999999997</v>
      </c>
      <c r="I27">
        <v>6</v>
      </c>
    </row>
    <row r="28" spans="2:9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0.13800000000000001</v>
      </c>
      <c r="F28" s="96">
        <v>11528</v>
      </c>
      <c r="G28">
        <v>499.92560000000003</v>
      </c>
      <c r="H28">
        <v>35.407399999999996</v>
      </c>
      <c r="I28">
        <v>7</v>
      </c>
    </row>
    <row r="29" spans="2:9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0.13300000000000001</v>
      </c>
      <c r="F29" s="96">
        <v>10665</v>
      </c>
      <c r="G29">
        <v>553.18460000000005</v>
      </c>
      <c r="H29">
        <v>38.591200000000001</v>
      </c>
      <c r="I29">
        <v>8</v>
      </c>
    </row>
    <row r="30" spans="2:9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0.129</v>
      </c>
      <c r="F30" s="96">
        <v>9879</v>
      </c>
      <c r="G30">
        <v>611.99600000000009</v>
      </c>
      <c r="H30">
        <v>42.275399999999998</v>
      </c>
      <c r="I30">
        <v>9</v>
      </c>
    </row>
    <row r="31" spans="2:9" ht="18" customHeight="1" x14ac:dyDescent="0.25">
      <c r="B31" s="2" t="s">
        <v>15</v>
      </c>
      <c r="C31" s="93">
        <f>C19</f>
        <v>477.77500000000003</v>
      </c>
      <c r="D31" s="95">
        <v>4.7490500000000005E-2</v>
      </c>
      <c r="E31" s="95">
        <v>0.124</v>
      </c>
      <c r="F31" s="95">
        <v>9145.1924066778101</v>
      </c>
      <c r="G31">
        <v>676.35979999999995</v>
      </c>
      <c r="H31">
        <v>46.459999999999994</v>
      </c>
      <c r="I31">
        <v>10</v>
      </c>
    </row>
    <row r="32" spans="2:9" ht="18" customHeight="1" x14ac:dyDescent="0.25">
      <c r="B32" s="2" t="s">
        <v>162</v>
      </c>
      <c r="C32" s="93">
        <f>C20</f>
        <v>522.72500000000002</v>
      </c>
      <c r="D32" s="95">
        <v>4.1950000000000001E-2</v>
      </c>
      <c r="E32" s="95">
        <v>0.11480000000000003</v>
      </c>
      <c r="F32" s="95">
        <v>8442.0766014552264</v>
      </c>
      <c r="G32">
        <v>746.27599999999995</v>
      </c>
      <c r="H32">
        <v>51.144999999999996</v>
      </c>
      <c r="I32">
        <v>11</v>
      </c>
    </row>
    <row r="33" spans="2:11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1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1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1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1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1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1" ht="18" customHeight="1" x14ac:dyDescent="0.25">
      <c r="B39" s="2" t="s">
        <v>27</v>
      </c>
      <c r="C39" s="93"/>
      <c r="D39" s="94"/>
      <c r="E39" s="95"/>
      <c r="F39" s="95"/>
    </row>
    <row r="40" spans="2:11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1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1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1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1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1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1" ht="18" customHeight="1" x14ac:dyDescent="0.25">
      <c r="B46" s="2" t="s">
        <v>116</v>
      </c>
      <c r="C46" s="93"/>
      <c r="D46" s="94"/>
      <c r="E46" s="95"/>
      <c r="F46" s="95"/>
    </row>
    <row r="47" spans="2:11" ht="18" customHeight="1" x14ac:dyDescent="0.25"/>
    <row r="48" spans="2:11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84</v>
      </c>
      <c r="I48">
        <v>80</v>
      </c>
      <c r="J48">
        <v>75</v>
      </c>
      <c r="K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64" si="5">C9</f>
        <v>130.5</v>
      </c>
      <c r="D49">
        <f t="shared" si="5"/>
        <v>0.53834500000000007</v>
      </c>
      <c r="E49" s="152">
        <f t="shared" si="5"/>
        <v>0.16800000000000001</v>
      </c>
      <c r="F49" s="3">
        <f t="shared" si="5"/>
        <v>11132</v>
      </c>
      <c r="H49">
        <f>($E49)*$I$48/60</f>
        <v>0.22400000000000003</v>
      </c>
      <c r="I49">
        <f>($E49)*$J$48/60</f>
        <v>0.21000000000000002</v>
      </c>
      <c r="J49">
        <f>($E49)*$K$48/60</f>
        <v>0.16800000000000001</v>
      </c>
      <c r="K49">
        <f>($E49)*$L$48/60</f>
        <v>0</v>
      </c>
      <c r="L49">
        <f>$F49*60/$H$48</f>
        <v>7951.4285714285716</v>
      </c>
      <c r="M49">
        <f>$F49*60/$H$48</f>
        <v>7951.4285714285716</v>
      </c>
      <c r="N49">
        <f>$F49*60/$I$48</f>
        <v>8349</v>
      </c>
      <c r="O49">
        <f>$F49*60/$J$48</f>
        <v>8905.6</v>
      </c>
      <c r="P49">
        <f>$F49*60/$K$48</f>
        <v>11132</v>
      </c>
      <c r="Q49" t="e">
        <f>$F49*60/$L$48</f>
        <v>#DIV/0!</v>
      </c>
      <c r="R49">
        <f>$D49*(1+(1-(60/$H$48)))</f>
        <v>0.69215785714285716</v>
      </c>
      <c r="S49">
        <f>$D49*(1+(1-(60/$I$48)))</f>
        <v>0.67293125000000009</v>
      </c>
      <c r="T49">
        <f>$D49*(1+(1-(60/$J$48)))</f>
        <v>0.64601400000000009</v>
      </c>
      <c r="U49">
        <f>$D49*(1+(1-(60/$K$48)))</f>
        <v>0.53834500000000007</v>
      </c>
      <c r="V49" t="e">
        <f>$D49*(1+(1-(60/$L$48)))</f>
        <v>#DIV/0!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0.161</v>
      </c>
      <c r="F50" s="3">
        <f t="shared" si="5"/>
        <v>9958</v>
      </c>
      <c r="H50">
        <f t="shared" ref="H50:H60" si="6">($E50)*$I$48/60</f>
        <v>0.21466666666666667</v>
      </c>
      <c r="I50">
        <f t="shared" ref="I50:I60" si="7">($E50)*$J$48/60</f>
        <v>0.20125000000000001</v>
      </c>
      <c r="J50">
        <f t="shared" ref="J50:J60" si="8">($E50)*$K$48/60</f>
        <v>0.161</v>
      </c>
      <c r="K50">
        <f t="shared" ref="K50:K60" si="9">($E50)*$L$48/60</f>
        <v>0</v>
      </c>
      <c r="L50">
        <f t="shared" ref="L50:M60" si="10">$F50*60/$H$48</f>
        <v>7112.8571428571431</v>
      </c>
      <c r="M50">
        <f t="shared" si="10"/>
        <v>7112.8571428571431</v>
      </c>
      <c r="N50">
        <f t="shared" ref="N50:N60" si="11">$F50*60/$I$48</f>
        <v>7468.5</v>
      </c>
      <c r="O50">
        <f t="shared" ref="O50:O60" si="12">$F50*60/$J$48</f>
        <v>7966.4</v>
      </c>
      <c r="P50">
        <f t="shared" ref="P50:P60" si="13">$F50*60/$K$48</f>
        <v>9958</v>
      </c>
      <c r="Q50" t="e">
        <f t="shared" ref="Q50:Q60" si="14">$F50*60/$L$48</f>
        <v>#DIV/0!</v>
      </c>
      <c r="R50">
        <f t="shared" ref="R50:R59" si="15">$D50*(1+(1-(60/$H$48)))</f>
        <v>0.63642857142857134</v>
      </c>
      <c r="S50">
        <f t="shared" ref="S50:S60" si="16">$D50*(1+(1-(60/$I$48)))</f>
        <v>0.61875000000000002</v>
      </c>
      <c r="T50">
        <f t="shared" ref="T50:T60" si="17">$D50*(1+(1-(60/$J$48)))</f>
        <v>0.59399999999999997</v>
      </c>
      <c r="U50">
        <f t="shared" ref="U50:U60" si="18">$D50*(1+(1-(60/$K$48)))</f>
        <v>0.495</v>
      </c>
      <c r="V50" t="e">
        <f t="shared" ref="V50:V60" si="19">$D50*(1+(1-(60/$L$48)))</f>
        <v>#DIV/0!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0.152</v>
      </c>
      <c r="F51" s="3">
        <f t="shared" si="5"/>
        <v>8949</v>
      </c>
      <c r="H51">
        <f t="shared" si="6"/>
        <v>0.20266666666666666</v>
      </c>
      <c r="I51">
        <f t="shared" si="7"/>
        <v>0.19</v>
      </c>
      <c r="J51">
        <f t="shared" si="8"/>
        <v>0.152</v>
      </c>
      <c r="K51">
        <f t="shared" si="9"/>
        <v>0</v>
      </c>
      <c r="L51">
        <f t="shared" si="10"/>
        <v>6392.1428571428569</v>
      </c>
      <c r="M51">
        <f t="shared" si="10"/>
        <v>6392.1428571428569</v>
      </c>
      <c r="N51">
        <f t="shared" si="11"/>
        <v>6711.75</v>
      </c>
      <c r="O51">
        <f t="shared" si="12"/>
        <v>7159.2</v>
      </c>
      <c r="P51">
        <f t="shared" si="13"/>
        <v>8949</v>
      </c>
      <c r="Q51" t="e">
        <f t="shared" si="14"/>
        <v>#DIV/0!</v>
      </c>
      <c r="R51">
        <f t="shared" si="15"/>
        <v>0.44228571428571423</v>
      </c>
      <c r="S51">
        <f t="shared" si="16"/>
        <v>0.42999999999999994</v>
      </c>
      <c r="T51">
        <f t="shared" si="17"/>
        <v>0.41279999999999994</v>
      </c>
      <c r="U51">
        <f t="shared" si="18"/>
        <v>0.34399999999999997</v>
      </c>
      <c r="V51" t="e">
        <f t="shared" si="19"/>
        <v>#DIV/0!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0.14399999999999999</v>
      </c>
      <c r="F52" s="3">
        <f t="shared" si="5"/>
        <v>8025</v>
      </c>
      <c r="H52">
        <f t="shared" si="6"/>
        <v>0.192</v>
      </c>
      <c r="I52">
        <f t="shared" si="7"/>
        <v>0.18</v>
      </c>
      <c r="J52">
        <f t="shared" si="8"/>
        <v>0.14399999999999999</v>
      </c>
      <c r="K52">
        <f t="shared" si="9"/>
        <v>0</v>
      </c>
      <c r="L52">
        <f t="shared" si="10"/>
        <v>5732.1428571428569</v>
      </c>
      <c r="M52">
        <f t="shared" si="10"/>
        <v>5732.1428571428569</v>
      </c>
      <c r="N52">
        <f t="shared" si="11"/>
        <v>6018.75</v>
      </c>
      <c r="O52">
        <f t="shared" si="12"/>
        <v>6420</v>
      </c>
      <c r="P52">
        <f t="shared" si="13"/>
        <v>8025</v>
      </c>
      <c r="Q52" t="e">
        <f t="shared" si="14"/>
        <v>#DIV/0!</v>
      </c>
      <c r="R52">
        <f t="shared" si="15"/>
        <v>0.31885714285714284</v>
      </c>
      <c r="S52">
        <f t="shared" si="16"/>
        <v>0.31</v>
      </c>
      <c r="T52">
        <f t="shared" si="17"/>
        <v>0.29759999999999998</v>
      </c>
      <c r="U52">
        <f t="shared" si="18"/>
        <v>0.248</v>
      </c>
      <c r="V52" t="e">
        <f t="shared" si="19"/>
        <v>#DIV/0!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0.13900000000000001</v>
      </c>
      <c r="F53" s="3">
        <f t="shared" si="5"/>
        <v>7363</v>
      </c>
      <c r="H53">
        <f t="shared" si="6"/>
        <v>0.18533333333333335</v>
      </c>
      <c r="I53">
        <f t="shared" si="7"/>
        <v>0.17375000000000002</v>
      </c>
      <c r="J53">
        <f t="shared" si="8"/>
        <v>0.13899999999999998</v>
      </c>
      <c r="K53">
        <f t="shared" si="9"/>
        <v>0</v>
      </c>
      <c r="L53">
        <f t="shared" si="10"/>
        <v>5259.2857142857147</v>
      </c>
      <c r="M53">
        <f t="shared" si="10"/>
        <v>5259.2857142857147</v>
      </c>
      <c r="N53">
        <f t="shared" si="11"/>
        <v>5522.25</v>
      </c>
      <c r="O53">
        <f t="shared" si="12"/>
        <v>5890.4</v>
      </c>
      <c r="P53">
        <f t="shared" si="13"/>
        <v>7363</v>
      </c>
      <c r="Q53" t="e">
        <f t="shared" si="14"/>
        <v>#DIV/0!</v>
      </c>
      <c r="R53">
        <f t="shared" si="15"/>
        <v>0.20351507142857142</v>
      </c>
      <c r="S53">
        <f t="shared" si="16"/>
        <v>0.19786187499999999</v>
      </c>
      <c r="T53">
        <f t="shared" si="17"/>
        <v>0.18994739999999999</v>
      </c>
      <c r="U53">
        <f t="shared" si="18"/>
        <v>0.1582895</v>
      </c>
      <c r="V53" t="e">
        <f t="shared" si="19"/>
        <v>#DIV/0!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0.13500000000000001</v>
      </c>
      <c r="F54" s="3">
        <f t="shared" si="5"/>
        <v>6803</v>
      </c>
      <c r="H54">
        <f t="shared" si="6"/>
        <v>0.18000000000000002</v>
      </c>
      <c r="I54">
        <f t="shared" si="7"/>
        <v>0.16875000000000001</v>
      </c>
      <c r="J54">
        <f t="shared" si="8"/>
        <v>0.13500000000000004</v>
      </c>
      <c r="K54">
        <f t="shared" si="9"/>
        <v>0</v>
      </c>
      <c r="L54">
        <f t="shared" si="10"/>
        <v>4859.2857142857147</v>
      </c>
      <c r="M54">
        <f t="shared" si="10"/>
        <v>4859.2857142857147</v>
      </c>
      <c r="N54">
        <f t="shared" si="11"/>
        <v>5102.25</v>
      </c>
      <c r="O54">
        <f t="shared" si="12"/>
        <v>5442.4</v>
      </c>
      <c r="P54">
        <f t="shared" si="13"/>
        <v>6803</v>
      </c>
      <c r="Q54" t="e">
        <f t="shared" si="14"/>
        <v>#DIV/0!</v>
      </c>
      <c r="R54">
        <f t="shared" si="15"/>
        <v>0.16632449999999999</v>
      </c>
      <c r="S54">
        <f t="shared" si="16"/>
        <v>0.16170437499999998</v>
      </c>
      <c r="T54">
        <f t="shared" si="17"/>
        <v>0.15523619999999999</v>
      </c>
      <c r="U54">
        <f t="shared" si="18"/>
        <v>0.12936349999999999</v>
      </c>
      <c r="V54" t="e">
        <f t="shared" si="19"/>
        <v>#DIV/0!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0.13</v>
      </c>
      <c r="F55" s="3">
        <f t="shared" si="5"/>
        <v>6292</v>
      </c>
      <c r="H55">
        <f t="shared" si="6"/>
        <v>0.17333333333333334</v>
      </c>
      <c r="I55">
        <f t="shared" si="7"/>
        <v>0.16250000000000001</v>
      </c>
      <c r="J55">
        <f t="shared" si="8"/>
        <v>0.13</v>
      </c>
      <c r="K55">
        <f t="shared" si="9"/>
        <v>0</v>
      </c>
      <c r="L55">
        <f t="shared" si="10"/>
        <v>4494.2857142857147</v>
      </c>
      <c r="M55">
        <f t="shared" si="10"/>
        <v>4494.2857142857147</v>
      </c>
      <c r="N55">
        <f t="shared" si="11"/>
        <v>4719</v>
      </c>
      <c r="O55">
        <f t="shared" si="12"/>
        <v>5033.6000000000004</v>
      </c>
      <c r="P55">
        <f t="shared" si="13"/>
        <v>6292</v>
      </c>
      <c r="Q55" t="e">
        <f t="shared" si="14"/>
        <v>#DIV/0!</v>
      </c>
      <c r="R55">
        <f t="shared" si="15"/>
        <v>0.13326621428571428</v>
      </c>
      <c r="S55">
        <f t="shared" si="16"/>
        <v>0.12956437500000001</v>
      </c>
      <c r="T55">
        <f t="shared" si="17"/>
        <v>0.1243818</v>
      </c>
      <c r="U55">
        <f t="shared" si="18"/>
        <v>0.10365150000000001</v>
      </c>
      <c r="V55" t="e">
        <f t="shared" si="19"/>
        <v>#DIV/0!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0.125</v>
      </c>
      <c r="F56" s="3">
        <f t="shared" si="5"/>
        <v>6253</v>
      </c>
      <c r="H56">
        <f t="shared" si="6"/>
        <v>0.16666666666666666</v>
      </c>
      <c r="I56">
        <f t="shared" si="7"/>
        <v>0.15625</v>
      </c>
      <c r="J56">
        <f t="shared" si="8"/>
        <v>0.125</v>
      </c>
      <c r="K56">
        <f t="shared" si="9"/>
        <v>0</v>
      </c>
      <c r="L56">
        <f t="shared" si="10"/>
        <v>4466.4285714285716</v>
      </c>
      <c r="M56">
        <f t="shared" si="10"/>
        <v>4466.4285714285716</v>
      </c>
      <c r="N56">
        <f t="shared" si="11"/>
        <v>4689.75</v>
      </c>
      <c r="O56">
        <f t="shared" si="12"/>
        <v>5002.3999999999996</v>
      </c>
      <c r="P56">
        <f t="shared" si="13"/>
        <v>6253</v>
      </c>
      <c r="Q56" t="e">
        <f t="shared" si="14"/>
        <v>#DIV/0!</v>
      </c>
      <c r="R56">
        <f t="shared" si="15"/>
        <v>0.10330714285714285</v>
      </c>
      <c r="S56">
        <f t="shared" si="16"/>
        <v>0.10043750000000001</v>
      </c>
      <c r="T56">
        <f t="shared" si="17"/>
        <v>9.6420000000000006E-2</v>
      </c>
      <c r="U56">
        <f t="shared" si="18"/>
        <v>8.0350000000000005E-2</v>
      </c>
      <c r="V56" t="e">
        <f t="shared" si="19"/>
        <v>#DIV/0!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0.121</v>
      </c>
      <c r="F57" s="3">
        <f t="shared" si="5"/>
        <v>5746</v>
      </c>
      <c r="H57">
        <f t="shared" si="6"/>
        <v>0.16133333333333333</v>
      </c>
      <c r="I57">
        <f t="shared" si="7"/>
        <v>0.15125</v>
      </c>
      <c r="J57">
        <f t="shared" si="8"/>
        <v>0.121</v>
      </c>
      <c r="K57">
        <f t="shared" si="9"/>
        <v>0</v>
      </c>
      <c r="L57">
        <f t="shared" si="10"/>
        <v>4104.2857142857147</v>
      </c>
      <c r="M57">
        <f t="shared" si="10"/>
        <v>4104.2857142857147</v>
      </c>
      <c r="N57">
        <f t="shared" si="11"/>
        <v>4309.5</v>
      </c>
      <c r="O57">
        <f t="shared" si="12"/>
        <v>4596.8</v>
      </c>
      <c r="P57">
        <f t="shared" si="13"/>
        <v>5746</v>
      </c>
      <c r="Q57" t="e">
        <f t="shared" si="14"/>
        <v>#DIV/0!</v>
      </c>
      <c r="R57">
        <f t="shared" si="15"/>
        <v>8.3678785714285706E-2</v>
      </c>
      <c r="S57">
        <f t="shared" si="16"/>
        <v>8.1354375000000007E-2</v>
      </c>
      <c r="T57">
        <f t="shared" si="17"/>
        <v>7.8100199999999995E-2</v>
      </c>
      <c r="U57">
        <f t="shared" si="18"/>
        <v>6.5083500000000002E-2</v>
      </c>
      <c r="V57" t="e">
        <f t="shared" si="19"/>
        <v>#DIV/0!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0.11700000000000001</v>
      </c>
      <c r="F58" s="3">
        <f t="shared" si="5"/>
        <v>5105</v>
      </c>
      <c r="H58">
        <f t="shared" si="6"/>
        <v>0.15600000000000003</v>
      </c>
      <c r="I58">
        <f t="shared" si="7"/>
        <v>0.14625000000000002</v>
      </c>
      <c r="J58">
        <f t="shared" si="8"/>
        <v>0.11700000000000001</v>
      </c>
      <c r="K58">
        <f t="shared" si="9"/>
        <v>0</v>
      </c>
      <c r="L58">
        <f t="shared" si="10"/>
        <v>3646.4285714285716</v>
      </c>
      <c r="M58">
        <f t="shared" si="10"/>
        <v>3646.4285714285716</v>
      </c>
      <c r="N58">
        <f t="shared" si="11"/>
        <v>3828.75</v>
      </c>
      <c r="O58">
        <f t="shared" si="12"/>
        <v>4084</v>
      </c>
      <c r="P58">
        <f t="shared" si="13"/>
        <v>5105</v>
      </c>
      <c r="Q58" t="e">
        <f t="shared" si="14"/>
        <v>#DIV/0!</v>
      </c>
      <c r="R58">
        <f t="shared" si="15"/>
        <v>6.8182714285714277E-2</v>
      </c>
      <c r="S58">
        <f t="shared" si="16"/>
        <v>6.6288750000000007E-2</v>
      </c>
      <c r="T58">
        <f t="shared" si="17"/>
        <v>6.3637200000000005E-2</v>
      </c>
      <c r="U58">
        <f t="shared" si="18"/>
        <v>5.3031000000000002E-2</v>
      </c>
      <c r="V58" t="e">
        <f t="shared" si="19"/>
        <v>#DIV/0!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0.114</v>
      </c>
      <c r="F59" s="3">
        <f t="shared" si="5"/>
        <v>4669</v>
      </c>
      <c r="H59">
        <f t="shared" si="6"/>
        <v>0.15200000000000002</v>
      </c>
      <c r="I59">
        <f t="shared" si="7"/>
        <v>0.14250000000000002</v>
      </c>
      <c r="J59">
        <f t="shared" si="8"/>
        <v>0.114</v>
      </c>
      <c r="K59">
        <f t="shared" si="9"/>
        <v>0</v>
      </c>
      <c r="L59">
        <f t="shared" si="10"/>
        <v>3335</v>
      </c>
      <c r="M59">
        <f t="shared" si="10"/>
        <v>3335</v>
      </c>
      <c r="N59">
        <f t="shared" si="11"/>
        <v>3501.75</v>
      </c>
      <c r="O59">
        <f t="shared" si="12"/>
        <v>3735.2</v>
      </c>
      <c r="P59">
        <f t="shared" si="13"/>
        <v>4669</v>
      </c>
      <c r="Q59" t="e">
        <f t="shared" si="14"/>
        <v>#DIV/0!</v>
      </c>
      <c r="R59">
        <f t="shared" si="15"/>
        <v>6.1059214285714286E-2</v>
      </c>
      <c r="S59">
        <f t="shared" si="16"/>
        <v>5.9363125000000003E-2</v>
      </c>
      <c r="T59">
        <f t="shared" si="17"/>
        <v>5.69886E-2</v>
      </c>
      <c r="U59">
        <f t="shared" si="18"/>
        <v>4.7490500000000005E-2</v>
      </c>
      <c r="V59" t="e">
        <f t="shared" si="19"/>
        <v>#DIV/0!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0.15160000000000001</v>
      </c>
      <c r="I60">
        <f t="shared" si="7"/>
        <v>0.142125</v>
      </c>
      <c r="J60">
        <f t="shared" si="8"/>
        <v>0.1137</v>
      </c>
      <c r="K60">
        <f t="shared" si="9"/>
        <v>0</v>
      </c>
      <c r="L60">
        <f t="shared" si="10"/>
        <v>3273.5714285714284</v>
      </c>
      <c r="M60">
        <f t="shared" si="10"/>
        <v>3273.5714285714284</v>
      </c>
      <c r="N60">
        <f t="shared" si="11"/>
        <v>3437.25</v>
      </c>
      <c r="O60">
        <f t="shared" si="12"/>
        <v>3666.4</v>
      </c>
      <c r="P60">
        <f t="shared" si="13"/>
        <v>4583</v>
      </c>
      <c r="Q60" t="e">
        <f t="shared" si="14"/>
        <v>#DIV/0!</v>
      </c>
      <c r="R60">
        <f>$D60*(1+(1-(60/$H$48)))</f>
        <v>5.3935714285714281E-2</v>
      </c>
      <c r="S60">
        <f t="shared" si="16"/>
        <v>5.2437499999999998E-2</v>
      </c>
      <c r="T60">
        <f t="shared" si="17"/>
        <v>5.0340000000000003E-2</v>
      </c>
      <c r="U60">
        <f t="shared" si="18"/>
        <v>4.1950000000000001E-2</v>
      </c>
      <c r="V60" t="e">
        <f t="shared" si="19"/>
        <v>#DIV/0!</v>
      </c>
    </row>
    <row r="61" spans="1:22" ht="18" customHeight="1" x14ac:dyDescent="0.25">
      <c r="B61" s="3" t="str">
        <f>B21</f>
        <v>20/35kV EPR 35mm2 Cu</v>
      </c>
      <c r="C61" s="3">
        <f t="shared" si="5"/>
        <v>131</v>
      </c>
      <c r="D61" s="152">
        <f t="shared" si="5"/>
        <v>0.53834500000000007</v>
      </c>
      <c r="E61" s="152">
        <f t="shared" si="5"/>
        <v>0.1852</v>
      </c>
      <c r="F61" s="3">
        <f t="shared" si="5"/>
        <v>20314.34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ref="C65:F71" si="20">C25</f>
        <v>250.85</v>
      </c>
      <c r="D65" s="152">
        <f t="shared" si="20"/>
        <v>0.1582895</v>
      </c>
      <c r="E65" s="152">
        <f t="shared" si="20"/>
        <v>0.155</v>
      </c>
      <c r="F65" s="3">
        <f t="shared" si="20"/>
        <v>14663</v>
      </c>
    </row>
    <row r="66" spans="2:6" ht="18" customHeight="1" x14ac:dyDescent="0.25">
      <c r="B66" s="2" t="s">
        <v>11</v>
      </c>
      <c r="C66" s="3">
        <f t="shared" si="20"/>
        <v>278.39999999999998</v>
      </c>
      <c r="D66" s="152">
        <f t="shared" si="20"/>
        <v>0.12936349999999999</v>
      </c>
      <c r="E66" s="152">
        <f t="shared" si="20"/>
        <v>0.14899999999999999</v>
      </c>
      <c r="F66" s="3">
        <f t="shared" si="20"/>
        <v>13715</v>
      </c>
    </row>
    <row r="67" spans="2:6" ht="18" customHeight="1" x14ac:dyDescent="0.25">
      <c r="B67" s="2" t="s">
        <v>12</v>
      </c>
      <c r="C67" s="3">
        <f t="shared" si="20"/>
        <v>311.02500000000003</v>
      </c>
      <c r="D67" s="152">
        <f t="shared" si="20"/>
        <v>0.10365150000000001</v>
      </c>
      <c r="E67" s="152">
        <f t="shared" si="20"/>
        <v>0.14499999999999999</v>
      </c>
      <c r="F67" s="3">
        <f t="shared" si="20"/>
        <v>12781</v>
      </c>
    </row>
    <row r="68" spans="2:6" ht="18" customHeight="1" x14ac:dyDescent="0.25">
      <c r="B68" s="2" t="s">
        <v>13</v>
      </c>
      <c r="C68" s="3">
        <f t="shared" si="20"/>
        <v>362.5</v>
      </c>
      <c r="D68" s="152">
        <f t="shared" si="20"/>
        <v>8.0350000000000005E-2</v>
      </c>
      <c r="E68" s="152">
        <f t="shared" si="20"/>
        <v>0.13800000000000001</v>
      </c>
      <c r="F68" s="3">
        <f t="shared" si="20"/>
        <v>11528</v>
      </c>
    </row>
    <row r="69" spans="2:6" ht="18" customHeight="1" x14ac:dyDescent="0.25">
      <c r="B69" s="2" t="s">
        <v>14</v>
      </c>
      <c r="C69" s="3">
        <f t="shared" si="20"/>
        <v>395.125</v>
      </c>
      <c r="D69" s="152">
        <f t="shared" si="20"/>
        <v>6.5083500000000002E-2</v>
      </c>
      <c r="E69" s="152">
        <f t="shared" si="20"/>
        <v>0.13300000000000001</v>
      </c>
      <c r="F69" s="3">
        <f t="shared" si="20"/>
        <v>10665</v>
      </c>
    </row>
    <row r="70" spans="2:6" ht="18" customHeight="1" x14ac:dyDescent="0.25">
      <c r="B70" s="2" t="s">
        <v>16</v>
      </c>
      <c r="C70" s="3">
        <f t="shared" si="20"/>
        <v>435</v>
      </c>
      <c r="D70" s="152">
        <f t="shared" si="20"/>
        <v>5.3031000000000002E-2</v>
      </c>
      <c r="E70" s="152">
        <f t="shared" si="20"/>
        <v>0.129</v>
      </c>
      <c r="F70" s="3">
        <f t="shared" si="20"/>
        <v>9879</v>
      </c>
    </row>
    <row r="71" spans="2:6" ht="18" customHeight="1" x14ac:dyDescent="0.25">
      <c r="B71" s="2" t="s">
        <v>15</v>
      </c>
      <c r="C71" s="3">
        <f t="shared" si="20"/>
        <v>477.77500000000003</v>
      </c>
      <c r="D71" s="152">
        <f t="shared" si="20"/>
        <v>4.7490500000000005E-2</v>
      </c>
      <c r="E71" s="152">
        <f t="shared" si="20"/>
        <v>0.124</v>
      </c>
      <c r="F71" s="3">
        <f t="shared" si="20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64" t="s">
        <v>28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6"/>
      <c r="Q2" s="11"/>
      <c r="R2" s="12"/>
      <c r="S2" s="264" t="s">
        <v>29</v>
      </c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6"/>
      <c r="AH2" s="13"/>
      <c r="AI2" s="12"/>
      <c r="AJ2" s="255" t="s">
        <v>30</v>
      </c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7"/>
      <c r="AY2" s="13"/>
      <c r="AZ2" s="12"/>
      <c r="BA2" s="264" t="s">
        <v>31</v>
      </c>
      <c r="BB2" s="265"/>
      <c r="BC2" s="265"/>
      <c r="BD2" s="265"/>
      <c r="BE2" s="265"/>
      <c r="BF2" s="265"/>
      <c r="BG2" s="265"/>
      <c r="BH2" s="265"/>
      <c r="BI2" s="265"/>
      <c r="BJ2" s="265"/>
      <c r="BK2" s="265"/>
      <c r="BL2" s="265"/>
      <c r="BM2" s="265"/>
      <c r="BN2" s="265"/>
      <c r="BO2" s="266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67"/>
      <c r="AK3" s="268"/>
      <c r="AL3" s="268"/>
      <c r="AM3" s="268"/>
      <c r="AN3" s="268"/>
      <c r="AO3" s="268"/>
      <c r="AP3" s="268"/>
      <c r="AQ3" s="268"/>
      <c r="AR3" s="268"/>
      <c r="AS3" s="268"/>
      <c r="AT3" s="268"/>
      <c r="AU3" s="268"/>
      <c r="AV3" s="268"/>
      <c r="AW3" s="268"/>
      <c r="AX3" s="269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70" t="s">
        <v>32</v>
      </c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  <c r="Q4" s="20"/>
      <c r="R4" s="21"/>
      <c r="S4" s="270" t="s">
        <v>33</v>
      </c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80"/>
      <c r="AH4" s="22"/>
      <c r="AI4" s="21"/>
      <c r="AJ4" s="258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U4" s="259"/>
      <c r="AV4" s="259"/>
      <c r="AW4" s="259"/>
      <c r="AX4" s="260"/>
      <c r="AY4" s="22"/>
      <c r="AZ4" s="21"/>
      <c r="BA4" s="287" t="s">
        <v>34</v>
      </c>
      <c r="BB4" s="287"/>
      <c r="BC4" s="287"/>
      <c r="BD4" s="287"/>
      <c r="BE4" s="287"/>
      <c r="BF4" s="287"/>
      <c r="BG4" s="287"/>
      <c r="BH4" s="287"/>
      <c r="BI4" s="287"/>
      <c r="BJ4" s="287"/>
      <c r="BK4" s="287"/>
      <c r="BL4" s="287"/>
      <c r="BM4" s="287"/>
      <c r="BN4" s="287"/>
      <c r="BO4" s="287"/>
      <c r="BP4" s="22"/>
    </row>
    <row r="5" spans="1:68" s="23" customFormat="1" ht="15" customHeight="1" thickBot="1" x14ac:dyDescent="0.3">
      <c r="A5" s="19"/>
      <c r="B5" s="273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5"/>
      <c r="Q5" s="20"/>
      <c r="R5" s="21"/>
      <c r="S5" s="281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3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87" t="s">
        <v>35</v>
      </c>
      <c r="BB5" s="287"/>
      <c r="BC5" s="287" t="s">
        <v>36</v>
      </c>
      <c r="BD5" s="287"/>
      <c r="BE5" s="287"/>
      <c r="BF5" s="287"/>
      <c r="BG5" s="287"/>
      <c r="BH5" s="287"/>
      <c r="BI5" s="287"/>
      <c r="BJ5" s="287"/>
      <c r="BK5" s="287"/>
      <c r="BL5" s="287"/>
      <c r="BM5" s="287"/>
      <c r="BN5" s="287"/>
      <c r="BO5" s="287"/>
      <c r="BP5" s="22"/>
    </row>
    <row r="6" spans="1:68" s="23" customFormat="1" ht="15" customHeight="1" thickBot="1" x14ac:dyDescent="0.3">
      <c r="A6" s="19"/>
      <c r="B6" s="273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5"/>
      <c r="Q6" s="20"/>
      <c r="R6" s="21"/>
      <c r="S6" s="281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3"/>
      <c r="AH6" s="22"/>
      <c r="AI6" s="21"/>
      <c r="AJ6" s="243" t="s">
        <v>37</v>
      </c>
      <c r="AK6" s="244"/>
      <c r="AL6" s="244"/>
      <c r="AM6" s="244"/>
      <c r="AN6" s="244"/>
      <c r="AO6" s="245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76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8"/>
      <c r="Q7" s="20"/>
      <c r="R7" s="21"/>
      <c r="S7" s="284"/>
      <c r="T7" s="285"/>
      <c r="U7" s="285"/>
      <c r="V7" s="285"/>
      <c r="W7" s="285"/>
      <c r="X7" s="285"/>
      <c r="Y7" s="285"/>
      <c r="Z7" s="285"/>
      <c r="AA7" s="285"/>
      <c r="AB7" s="285"/>
      <c r="AC7" s="285"/>
      <c r="AD7" s="285"/>
      <c r="AE7" s="285"/>
      <c r="AF7" s="285"/>
      <c r="AG7" s="286"/>
      <c r="AH7" s="22"/>
      <c r="AI7" s="21"/>
      <c r="AJ7" s="252" t="s">
        <v>39</v>
      </c>
      <c r="AK7" s="253"/>
      <c r="AL7" s="253"/>
      <c r="AM7" s="253"/>
      <c r="AN7" s="253"/>
      <c r="AO7" s="254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22" t="s">
        <v>41</v>
      </c>
      <c r="AK8" s="223"/>
      <c r="AL8" s="223"/>
      <c r="AM8" s="223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61" t="s">
        <v>43</v>
      </c>
      <c r="C9" s="262"/>
      <c r="D9" s="262"/>
      <c r="E9" s="262"/>
      <c r="F9" s="262"/>
      <c r="G9" s="262"/>
      <c r="H9" s="263"/>
      <c r="I9" s="11"/>
      <c r="J9" s="243" t="s">
        <v>44</v>
      </c>
      <c r="K9" s="244"/>
      <c r="L9" s="244"/>
      <c r="M9" s="244"/>
      <c r="N9" s="244"/>
      <c r="O9" s="244"/>
      <c r="P9" s="245"/>
      <c r="Q9" s="11"/>
      <c r="R9" s="12"/>
      <c r="S9" s="243" t="s">
        <v>43</v>
      </c>
      <c r="T9" s="244"/>
      <c r="U9" s="244"/>
      <c r="V9" s="244"/>
      <c r="W9" s="244"/>
      <c r="X9" s="244"/>
      <c r="Y9" s="245"/>
      <c r="Z9" s="11"/>
      <c r="AA9" s="243" t="s">
        <v>44</v>
      </c>
      <c r="AB9" s="244"/>
      <c r="AC9" s="244"/>
      <c r="AD9" s="244"/>
      <c r="AE9" s="244"/>
      <c r="AF9" s="244"/>
      <c r="AG9" s="245"/>
      <c r="AH9" s="13"/>
      <c r="AI9" s="12"/>
      <c r="AJ9" s="222" t="s">
        <v>5</v>
      </c>
      <c r="AK9" s="223"/>
      <c r="AL9" s="223"/>
      <c r="AM9" s="223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20" t="s">
        <v>46</v>
      </c>
      <c r="C10" s="221"/>
      <c r="D10" s="221"/>
      <c r="E10" s="221"/>
      <c r="F10" s="221"/>
      <c r="G10" s="30">
        <v>35</v>
      </c>
      <c r="H10" s="31" t="s">
        <v>47</v>
      </c>
      <c r="I10" s="29"/>
      <c r="J10" s="220" t="s">
        <v>46</v>
      </c>
      <c r="K10" s="221"/>
      <c r="L10" s="221"/>
      <c r="M10" s="221"/>
      <c r="N10" s="221"/>
      <c r="O10" s="30">
        <v>50</v>
      </c>
      <c r="P10" s="31" t="s">
        <v>47</v>
      </c>
      <c r="Q10" s="29"/>
      <c r="R10" s="32"/>
      <c r="S10" s="234" t="s">
        <v>46</v>
      </c>
      <c r="T10" s="235"/>
      <c r="U10" s="235"/>
      <c r="V10" s="235"/>
      <c r="W10" s="236"/>
      <c r="X10" s="30">
        <v>35</v>
      </c>
      <c r="Y10" s="31" t="s">
        <v>47</v>
      </c>
      <c r="Z10" s="29"/>
      <c r="AA10" s="234" t="s">
        <v>46</v>
      </c>
      <c r="AB10" s="235"/>
      <c r="AC10" s="235"/>
      <c r="AD10" s="235"/>
      <c r="AE10" s="236"/>
      <c r="AF10" s="30">
        <v>50</v>
      </c>
      <c r="AG10" s="31" t="s">
        <v>47</v>
      </c>
      <c r="AH10" s="33"/>
      <c r="AI10" s="32"/>
      <c r="AJ10" s="222" t="s">
        <v>41</v>
      </c>
      <c r="AK10" s="223"/>
      <c r="AL10" s="223"/>
      <c r="AM10" s="223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22" t="s">
        <v>49</v>
      </c>
      <c r="C11" s="223"/>
      <c r="D11" s="223"/>
      <c r="E11" s="223"/>
      <c r="F11" s="223"/>
      <c r="G11" s="34">
        <v>180</v>
      </c>
      <c r="H11" s="27" t="s">
        <v>50</v>
      </c>
      <c r="I11" s="29"/>
      <c r="J11" s="222" t="s">
        <v>49</v>
      </c>
      <c r="K11" s="223"/>
      <c r="L11" s="223"/>
      <c r="M11" s="223"/>
      <c r="N11" s="223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22" t="s">
        <v>53</v>
      </c>
      <c r="AK11" s="223"/>
      <c r="AL11" s="223"/>
      <c r="AM11" s="223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22" t="s">
        <v>55</v>
      </c>
      <c r="C12" s="223"/>
      <c r="D12" s="223"/>
      <c r="E12" s="223"/>
      <c r="F12" s="223"/>
      <c r="G12" s="38">
        <f>G11/1.2</f>
        <v>150</v>
      </c>
      <c r="H12" s="27" t="s">
        <v>50</v>
      </c>
      <c r="I12" s="29"/>
      <c r="J12" s="222" t="s">
        <v>55</v>
      </c>
      <c r="K12" s="223"/>
      <c r="L12" s="223"/>
      <c r="M12" s="223"/>
      <c r="N12" s="223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22" t="s">
        <v>57</v>
      </c>
      <c r="AK12" s="223"/>
      <c r="AL12" s="223"/>
      <c r="AM12" s="223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18" t="s">
        <v>58</v>
      </c>
      <c r="C13" s="219"/>
      <c r="D13" s="219"/>
      <c r="E13" s="219"/>
      <c r="F13" s="219"/>
      <c r="G13" s="41">
        <f>G11*0.87</f>
        <v>156.6</v>
      </c>
      <c r="H13" s="42" t="s">
        <v>50</v>
      </c>
      <c r="I13" s="29"/>
      <c r="J13" s="218" t="s">
        <v>58</v>
      </c>
      <c r="K13" s="219"/>
      <c r="L13" s="219"/>
      <c r="M13" s="219"/>
      <c r="N13" s="219"/>
      <c r="O13" s="41">
        <f>O11*0.87</f>
        <v>184.44</v>
      </c>
      <c r="P13" s="42" t="s">
        <v>50</v>
      </c>
      <c r="Q13" s="43"/>
      <c r="R13" s="44"/>
      <c r="S13" s="231" t="s">
        <v>59</v>
      </c>
      <c r="T13" s="232"/>
      <c r="U13" s="232"/>
      <c r="V13" s="232"/>
      <c r="W13" s="233"/>
      <c r="X13" s="45">
        <v>0.157</v>
      </c>
      <c r="Y13" s="46" t="s">
        <v>52</v>
      </c>
      <c r="Z13" s="29"/>
      <c r="AA13" s="231" t="s">
        <v>59</v>
      </c>
      <c r="AB13" s="232"/>
      <c r="AC13" s="232"/>
      <c r="AD13" s="232"/>
      <c r="AE13" s="233"/>
      <c r="AF13" s="45">
        <v>0.14899999999999999</v>
      </c>
      <c r="AG13" s="46" t="s">
        <v>52</v>
      </c>
      <c r="AH13" s="47"/>
      <c r="AI13" s="44"/>
      <c r="AJ13" s="222" t="s">
        <v>60</v>
      </c>
      <c r="AK13" s="223"/>
      <c r="AL13" s="223"/>
      <c r="AM13" s="223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18" t="s">
        <v>62</v>
      </c>
      <c r="C14" s="219"/>
      <c r="D14" s="219"/>
      <c r="E14" s="219"/>
      <c r="F14" s="219"/>
      <c r="G14" s="41">
        <f>G13/1.2</f>
        <v>130.5</v>
      </c>
      <c r="H14" s="42" t="s">
        <v>50</v>
      </c>
      <c r="I14" s="29"/>
      <c r="J14" s="218" t="s">
        <v>62</v>
      </c>
      <c r="K14" s="219"/>
      <c r="L14" s="219"/>
      <c r="M14" s="219"/>
      <c r="N14" s="219"/>
      <c r="O14" s="41">
        <f>O13/1.2</f>
        <v>153.70000000000002</v>
      </c>
      <c r="P14" s="42" t="s">
        <v>50</v>
      </c>
      <c r="Q14" s="43"/>
      <c r="R14" s="44"/>
      <c r="S14" s="228">
        <v>60</v>
      </c>
      <c r="T14" s="228"/>
      <c r="U14" s="228"/>
      <c r="V14" s="228"/>
      <c r="W14" s="228"/>
      <c r="X14" s="48"/>
      <c r="Y14" s="29"/>
      <c r="Z14" s="29"/>
      <c r="AA14" s="228"/>
      <c r="AB14" s="228"/>
      <c r="AC14" s="228"/>
      <c r="AD14" s="228"/>
      <c r="AE14" s="228"/>
      <c r="AF14" s="48"/>
      <c r="AG14" s="29"/>
      <c r="AH14" s="47"/>
      <c r="AI14" s="44"/>
      <c r="AJ14" s="222" t="s">
        <v>63</v>
      </c>
      <c r="AK14" s="223"/>
      <c r="AL14" s="223"/>
      <c r="AM14" s="223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29" t="s">
        <v>64</v>
      </c>
      <c r="C15" s="230"/>
      <c r="D15" s="230"/>
      <c r="E15" s="230"/>
      <c r="F15" s="230"/>
      <c r="G15" s="51">
        <f>G11*0.76</f>
        <v>136.80000000000001</v>
      </c>
      <c r="H15" s="52" t="s">
        <v>50</v>
      </c>
      <c r="I15" s="29"/>
      <c r="J15" s="229" t="s">
        <v>64</v>
      </c>
      <c r="K15" s="230"/>
      <c r="L15" s="230"/>
      <c r="M15" s="230"/>
      <c r="N15" s="230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22" t="s">
        <v>65</v>
      </c>
      <c r="AK15" s="223"/>
      <c r="AL15" s="223"/>
      <c r="AM15" s="223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16" t="s">
        <v>66</v>
      </c>
      <c r="C16" s="217"/>
      <c r="D16" s="217"/>
      <c r="E16" s="217"/>
      <c r="F16" s="217"/>
      <c r="G16" s="56">
        <f>G15/1.2</f>
        <v>114.00000000000001</v>
      </c>
      <c r="H16" s="57" t="s">
        <v>50</v>
      </c>
      <c r="I16" s="29"/>
      <c r="J16" s="216" t="s">
        <v>66</v>
      </c>
      <c r="K16" s="217"/>
      <c r="L16" s="217"/>
      <c r="M16" s="217"/>
      <c r="N16" s="217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46" t="s">
        <v>67</v>
      </c>
      <c r="AK16" s="247"/>
      <c r="AL16" s="247"/>
      <c r="AM16" s="247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14" t="s">
        <v>158</v>
      </c>
      <c r="C17" s="215"/>
      <c r="D17" s="215"/>
      <c r="E17" s="215"/>
      <c r="F17" s="215"/>
      <c r="G17" s="191">
        <f>G11*0.708</f>
        <v>127.44</v>
      </c>
      <c r="H17" s="190" t="s">
        <v>50</v>
      </c>
      <c r="I17" s="29"/>
      <c r="J17" s="214" t="s">
        <v>158</v>
      </c>
      <c r="K17" s="215"/>
      <c r="L17" s="215"/>
      <c r="M17" s="215"/>
      <c r="N17" s="215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43" t="s">
        <v>69</v>
      </c>
      <c r="C18" s="244"/>
      <c r="D18" s="244"/>
      <c r="E18" s="244"/>
      <c r="F18" s="244"/>
      <c r="G18" s="244"/>
      <c r="H18" s="245"/>
      <c r="I18" s="11"/>
      <c r="J18" s="243" t="s">
        <v>70</v>
      </c>
      <c r="K18" s="244"/>
      <c r="L18" s="244"/>
      <c r="M18" s="244"/>
      <c r="N18" s="244"/>
      <c r="O18" s="244"/>
      <c r="P18" s="245"/>
      <c r="Q18" s="11"/>
      <c r="R18" s="12"/>
      <c r="S18" s="243" t="s">
        <v>69</v>
      </c>
      <c r="T18" s="244"/>
      <c r="U18" s="244"/>
      <c r="V18" s="244"/>
      <c r="W18" s="244"/>
      <c r="X18" s="244"/>
      <c r="Y18" s="245"/>
      <c r="Z18" s="11"/>
      <c r="AA18" s="243" t="s">
        <v>70</v>
      </c>
      <c r="AB18" s="244"/>
      <c r="AC18" s="244"/>
      <c r="AD18" s="244"/>
      <c r="AE18" s="244"/>
      <c r="AF18" s="244"/>
      <c r="AG18" s="245"/>
      <c r="AH18" s="13"/>
      <c r="AI18" s="12"/>
      <c r="AJ18" s="255" t="s">
        <v>71</v>
      </c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7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20" t="s">
        <v>46</v>
      </c>
      <c r="C19" s="221"/>
      <c r="D19" s="221"/>
      <c r="E19" s="221"/>
      <c r="F19" s="221"/>
      <c r="G19" s="30">
        <v>70</v>
      </c>
      <c r="H19" s="31" t="s">
        <v>47</v>
      </c>
      <c r="I19" s="29"/>
      <c r="J19" s="220" t="s">
        <v>46</v>
      </c>
      <c r="K19" s="221"/>
      <c r="L19" s="221"/>
      <c r="M19" s="221"/>
      <c r="N19" s="221"/>
      <c r="O19" s="30">
        <v>95</v>
      </c>
      <c r="P19" s="31" t="s">
        <v>47</v>
      </c>
      <c r="Q19" s="29"/>
      <c r="R19" s="32"/>
      <c r="S19" s="234" t="s">
        <v>46</v>
      </c>
      <c r="T19" s="235"/>
      <c r="U19" s="235"/>
      <c r="V19" s="235"/>
      <c r="W19" s="236"/>
      <c r="X19" s="30">
        <v>70</v>
      </c>
      <c r="Y19" s="31" t="s">
        <v>47</v>
      </c>
      <c r="Z19" s="29"/>
      <c r="AA19" s="234" t="s">
        <v>46</v>
      </c>
      <c r="AB19" s="235"/>
      <c r="AC19" s="235"/>
      <c r="AD19" s="235"/>
      <c r="AE19" s="236"/>
      <c r="AF19" s="30">
        <v>95</v>
      </c>
      <c r="AG19" s="31" t="s">
        <v>47</v>
      </c>
      <c r="AH19" s="33"/>
      <c r="AI19" s="32"/>
      <c r="AJ19" s="258"/>
      <c r="AK19" s="259"/>
      <c r="AL19" s="259"/>
      <c r="AM19" s="259"/>
      <c r="AN19" s="259"/>
      <c r="AO19" s="259"/>
      <c r="AP19" s="259"/>
      <c r="AQ19" s="259"/>
      <c r="AR19" s="259"/>
      <c r="AS19" s="259"/>
      <c r="AT19" s="259"/>
      <c r="AU19" s="259"/>
      <c r="AV19" s="259"/>
      <c r="AW19" s="259"/>
      <c r="AX19" s="260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22" t="s">
        <v>49</v>
      </c>
      <c r="C20" s="223"/>
      <c r="D20" s="223"/>
      <c r="E20" s="223"/>
      <c r="F20" s="223"/>
      <c r="G20" s="34">
        <v>258</v>
      </c>
      <c r="H20" s="27" t="s">
        <v>50</v>
      </c>
      <c r="I20" s="29"/>
      <c r="J20" s="222" t="s">
        <v>49</v>
      </c>
      <c r="K20" s="223"/>
      <c r="L20" s="223"/>
      <c r="M20" s="223"/>
      <c r="N20" s="223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22" t="s">
        <v>55</v>
      </c>
      <c r="C21" s="223"/>
      <c r="D21" s="223"/>
      <c r="E21" s="223"/>
      <c r="F21" s="223"/>
      <c r="G21" s="38">
        <f>G20/1.2</f>
        <v>215</v>
      </c>
      <c r="H21" s="27" t="s">
        <v>50</v>
      </c>
      <c r="I21" s="29"/>
      <c r="J21" s="222" t="s">
        <v>55</v>
      </c>
      <c r="K21" s="223"/>
      <c r="L21" s="223"/>
      <c r="M21" s="223"/>
      <c r="N21" s="223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43" t="s">
        <v>72</v>
      </c>
      <c r="AK21" s="244"/>
      <c r="AL21" s="244"/>
      <c r="AM21" s="244"/>
      <c r="AN21" s="245"/>
      <c r="AO21" s="29"/>
      <c r="AP21" s="243" t="s">
        <v>73</v>
      </c>
      <c r="AQ21" s="244"/>
      <c r="AR21" s="244"/>
      <c r="AS21" s="244"/>
      <c r="AT21" s="245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18" t="s">
        <v>58</v>
      </c>
      <c r="C22" s="219"/>
      <c r="D22" s="219"/>
      <c r="E22" s="219"/>
      <c r="F22" s="219"/>
      <c r="G22" s="41">
        <f>G20*0.87</f>
        <v>224.46</v>
      </c>
      <c r="H22" s="42" t="s">
        <v>50</v>
      </c>
      <c r="I22" s="29"/>
      <c r="J22" s="218" t="s">
        <v>58</v>
      </c>
      <c r="K22" s="219"/>
      <c r="L22" s="219"/>
      <c r="M22" s="219"/>
      <c r="N22" s="219"/>
      <c r="O22" s="41">
        <f>O20*0.87</f>
        <v>266.21999999999997</v>
      </c>
      <c r="P22" s="42" t="s">
        <v>50</v>
      </c>
      <c r="Q22" s="43"/>
      <c r="R22" s="44"/>
      <c r="S22" s="231" t="s">
        <v>59</v>
      </c>
      <c r="T22" s="232"/>
      <c r="U22" s="232"/>
      <c r="V22" s="232"/>
      <c r="W22" s="233"/>
      <c r="X22" s="45">
        <v>0.14099999999999999</v>
      </c>
      <c r="Y22" s="46" t="s">
        <v>52</v>
      </c>
      <c r="Z22" s="29"/>
      <c r="AA22" s="231" t="s">
        <v>59</v>
      </c>
      <c r="AB22" s="232"/>
      <c r="AC22" s="232"/>
      <c r="AD22" s="232"/>
      <c r="AE22" s="233"/>
      <c r="AF22" s="45">
        <v>0.13500000000000001</v>
      </c>
      <c r="AG22" s="46" t="s">
        <v>52</v>
      </c>
      <c r="AH22" s="47"/>
      <c r="AI22" s="44"/>
      <c r="AJ22" s="252" t="s">
        <v>39</v>
      </c>
      <c r="AK22" s="253"/>
      <c r="AL22" s="253"/>
      <c r="AM22" s="253"/>
      <c r="AN22" s="254"/>
      <c r="AO22" s="43"/>
      <c r="AP22" s="252" t="s">
        <v>39</v>
      </c>
      <c r="AQ22" s="253"/>
      <c r="AR22" s="253"/>
      <c r="AS22" s="253"/>
      <c r="AT22" s="254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18" t="s">
        <v>62</v>
      </c>
      <c r="C23" s="219"/>
      <c r="D23" s="219"/>
      <c r="E23" s="219"/>
      <c r="F23" s="219"/>
      <c r="G23" s="41">
        <f>G22/1.2</f>
        <v>187.05</v>
      </c>
      <c r="H23" s="42" t="s">
        <v>50</v>
      </c>
      <c r="I23" s="29"/>
      <c r="J23" s="218" t="s">
        <v>62</v>
      </c>
      <c r="K23" s="219"/>
      <c r="L23" s="219"/>
      <c r="M23" s="219"/>
      <c r="N23" s="219"/>
      <c r="O23" s="41">
        <f>O22/1.2</f>
        <v>221.85</v>
      </c>
      <c r="P23" s="42" t="s">
        <v>50</v>
      </c>
      <c r="Q23" s="43"/>
      <c r="R23" s="44"/>
      <c r="S23" s="228"/>
      <c r="T23" s="228"/>
      <c r="U23" s="228"/>
      <c r="V23" s="228"/>
      <c r="W23" s="228"/>
      <c r="X23" s="48"/>
      <c r="Y23" s="29"/>
      <c r="Z23" s="29"/>
      <c r="AA23" s="228"/>
      <c r="AB23" s="228"/>
      <c r="AC23" s="228"/>
      <c r="AD23" s="228"/>
      <c r="AE23" s="228"/>
      <c r="AF23" s="48"/>
      <c r="AG23" s="29"/>
      <c r="AH23" s="47"/>
      <c r="AI23" s="44"/>
      <c r="AJ23" s="222" t="s">
        <v>41</v>
      </c>
      <c r="AK23" s="223"/>
      <c r="AL23" s="223"/>
      <c r="AM23" s="26">
        <v>1119</v>
      </c>
      <c r="AN23" s="60" t="s">
        <v>48</v>
      </c>
      <c r="AO23" s="43"/>
      <c r="AP23" s="222" t="s">
        <v>41</v>
      </c>
      <c r="AQ23" s="223"/>
      <c r="AR23" s="223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29" t="s">
        <v>64</v>
      </c>
      <c r="C24" s="230"/>
      <c r="D24" s="230"/>
      <c r="E24" s="230"/>
      <c r="F24" s="230"/>
      <c r="G24" s="51">
        <f>G20*0.76</f>
        <v>196.08</v>
      </c>
      <c r="H24" s="52" t="s">
        <v>50</v>
      </c>
      <c r="I24" s="29"/>
      <c r="J24" s="229" t="s">
        <v>64</v>
      </c>
      <c r="K24" s="230"/>
      <c r="L24" s="230"/>
      <c r="M24" s="230"/>
      <c r="N24" s="230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22" t="s">
        <v>5</v>
      </c>
      <c r="AK24" s="223"/>
      <c r="AL24" s="223"/>
      <c r="AM24" s="26">
        <v>6600</v>
      </c>
      <c r="AN24" s="60" t="s">
        <v>45</v>
      </c>
      <c r="AO24" s="53"/>
      <c r="AP24" s="222" t="s">
        <v>5</v>
      </c>
      <c r="AQ24" s="223"/>
      <c r="AR24" s="223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16" t="s">
        <v>66</v>
      </c>
      <c r="C25" s="217"/>
      <c r="D25" s="217"/>
      <c r="E25" s="217"/>
      <c r="F25" s="217"/>
      <c r="G25" s="56">
        <f>G24/1.2</f>
        <v>163.4</v>
      </c>
      <c r="H25" s="57" t="s">
        <v>50</v>
      </c>
      <c r="I25" s="29"/>
      <c r="J25" s="216" t="s">
        <v>66</v>
      </c>
      <c r="K25" s="217"/>
      <c r="L25" s="217"/>
      <c r="M25" s="217"/>
      <c r="N25" s="217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22" t="s">
        <v>74</v>
      </c>
      <c r="AK25" s="223"/>
      <c r="AL25" s="223"/>
      <c r="AM25" s="61">
        <v>86</v>
      </c>
      <c r="AN25" s="60" t="s">
        <v>54</v>
      </c>
      <c r="AO25" s="53"/>
      <c r="AP25" s="222" t="s">
        <v>74</v>
      </c>
      <c r="AQ25" s="223"/>
      <c r="AR25" s="223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14" t="s">
        <v>158</v>
      </c>
      <c r="C26" s="215"/>
      <c r="D26" s="215"/>
      <c r="E26" s="215"/>
      <c r="F26" s="215"/>
      <c r="G26" s="191">
        <f>G20*0.708</f>
        <v>182.66399999999999</v>
      </c>
      <c r="H26" s="190" t="s">
        <v>50</v>
      </c>
      <c r="I26" s="29"/>
      <c r="J26" s="214" t="s">
        <v>158</v>
      </c>
      <c r="K26" s="215"/>
      <c r="L26" s="215"/>
      <c r="M26" s="215"/>
      <c r="N26" s="215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48" t="s">
        <v>75</v>
      </c>
      <c r="AK26" s="249"/>
      <c r="AL26" s="250"/>
      <c r="AM26" s="61">
        <f>71/AM25*100</f>
        <v>82.558139534883722</v>
      </c>
      <c r="AN26" s="60" t="s">
        <v>54</v>
      </c>
      <c r="AO26" s="29"/>
      <c r="AP26" s="248" t="s">
        <v>75</v>
      </c>
      <c r="AQ26" s="249"/>
      <c r="AR26" s="250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43" t="s">
        <v>76</v>
      </c>
      <c r="C27" s="244"/>
      <c r="D27" s="244"/>
      <c r="E27" s="244"/>
      <c r="F27" s="244"/>
      <c r="G27" s="244"/>
      <c r="H27" s="245"/>
      <c r="I27" s="11"/>
      <c r="J27" s="243" t="s">
        <v>77</v>
      </c>
      <c r="K27" s="244"/>
      <c r="L27" s="244"/>
      <c r="M27" s="244"/>
      <c r="N27" s="244"/>
      <c r="O27" s="244"/>
      <c r="P27" s="245"/>
      <c r="Q27" s="11"/>
      <c r="R27" s="12"/>
      <c r="S27" s="243" t="s">
        <v>76</v>
      </c>
      <c r="T27" s="244"/>
      <c r="U27" s="244"/>
      <c r="V27" s="244"/>
      <c r="W27" s="244"/>
      <c r="X27" s="244"/>
      <c r="Y27" s="245"/>
      <c r="Z27" s="11"/>
      <c r="AA27" s="243" t="s">
        <v>77</v>
      </c>
      <c r="AB27" s="244"/>
      <c r="AC27" s="244"/>
      <c r="AD27" s="244"/>
      <c r="AE27" s="244"/>
      <c r="AF27" s="244"/>
      <c r="AG27" s="245"/>
      <c r="AH27" s="13"/>
      <c r="AI27" s="12"/>
      <c r="AJ27" s="222" t="s">
        <v>60</v>
      </c>
      <c r="AK27" s="223"/>
      <c r="AL27" s="223"/>
      <c r="AM27" s="26">
        <f>AM23/AM25/AM26*10000</f>
        <v>1576.056338028169</v>
      </c>
      <c r="AN27" s="60" t="s">
        <v>61</v>
      </c>
      <c r="AO27" s="11"/>
      <c r="AP27" s="222" t="s">
        <v>60</v>
      </c>
      <c r="AQ27" s="223"/>
      <c r="AR27" s="223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20" t="s">
        <v>46</v>
      </c>
      <c r="C28" s="221"/>
      <c r="D28" s="221"/>
      <c r="E28" s="221"/>
      <c r="F28" s="221"/>
      <c r="G28" s="30">
        <v>120</v>
      </c>
      <c r="H28" s="31" t="s">
        <v>47</v>
      </c>
      <c r="I28" s="29"/>
      <c r="J28" s="220" t="s">
        <v>46</v>
      </c>
      <c r="K28" s="221"/>
      <c r="L28" s="221"/>
      <c r="M28" s="221"/>
      <c r="N28" s="221"/>
      <c r="O28" s="30">
        <v>150</v>
      </c>
      <c r="P28" s="31" t="s">
        <v>47</v>
      </c>
      <c r="Q28" s="29"/>
      <c r="R28" s="32"/>
      <c r="S28" s="234" t="s">
        <v>46</v>
      </c>
      <c r="T28" s="235"/>
      <c r="U28" s="235"/>
      <c r="V28" s="235"/>
      <c r="W28" s="236"/>
      <c r="X28" s="30">
        <v>120</v>
      </c>
      <c r="Y28" s="31" t="s">
        <v>47</v>
      </c>
      <c r="Z28" s="29"/>
      <c r="AA28" s="234" t="s">
        <v>46</v>
      </c>
      <c r="AB28" s="235"/>
      <c r="AC28" s="235"/>
      <c r="AD28" s="235"/>
      <c r="AE28" s="236"/>
      <c r="AF28" s="30">
        <v>150</v>
      </c>
      <c r="AG28" s="31" t="s">
        <v>47</v>
      </c>
      <c r="AH28" s="33"/>
      <c r="AI28" s="32"/>
      <c r="AJ28" s="222" t="s">
        <v>19</v>
      </c>
      <c r="AK28" s="223"/>
      <c r="AL28" s="223"/>
      <c r="AM28" s="62">
        <f>AM27/SQRT(3)/AM24*1000</f>
        <v>137.86917439675443</v>
      </c>
      <c r="AN28" s="60" t="s">
        <v>50</v>
      </c>
      <c r="AO28" s="29"/>
      <c r="AP28" s="222" t="s">
        <v>19</v>
      </c>
      <c r="AQ28" s="223"/>
      <c r="AR28" s="223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22" t="s">
        <v>49</v>
      </c>
      <c r="C29" s="223"/>
      <c r="D29" s="223"/>
      <c r="E29" s="223"/>
      <c r="F29" s="223"/>
      <c r="G29" s="34">
        <v>346</v>
      </c>
      <c r="H29" s="27" t="s">
        <v>50</v>
      </c>
      <c r="I29" s="29"/>
      <c r="J29" s="222" t="s">
        <v>49</v>
      </c>
      <c r="K29" s="223"/>
      <c r="L29" s="223"/>
      <c r="M29" s="223"/>
      <c r="N29" s="223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22" t="s">
        <v>65</v>
      </c>
      <c r="AK29" s="223"/>
      <c r="AL29" s="223"/>
      <c r="AM29" s="64">
        <f>AM23/AM26*100</f>
        <v>1355.4084507042253</v>
      </c>
      <c r="AN29" s="60" t="s">
        <v>48</v>
      </c>
      <c r="AO29" s="29"/>
      <c r="AP29" s="222" t="s">
        <v>65</v>
      </c>
      <c r="AQ29" s="223"/>
      <c r="AR29" s="223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22" t="s">
        <v>55</v>
      </c>
      <c r="C30" s="223"/>
      <c r="D30" s="223"/>
      <c r="E30" s="223"/>
      <c r="F30" s="223"/>
      <c r="G30" s="38">
        <f>G29/1.2</f>
        <v>288.33333333333337</v>
      </c>
      <c r="H30" s="27" t="s">
        <v>50</v>
      </c>
      <c r="I30" s="29"/>
      <c r="J30" s="222" t="s">
        <v>55</v>
      </c>
      <c r="K30" s="223"/>
      <c r="L30" s="223"/>
      <c r="M30" s="223"/>
      <c r="N30" s="223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46" t="s">
        <v>67</v>
      </c>
      <c r="AK30" s="247"/>
      <c r="AL30" s="247"/>
      <c r="AM30" s="65">
        <f>SQRT(AM27^2-AM29^2)</f>
        <v>804.25214478938983</v>
      </c>
      <c r="AN30" s="66" t="s">
        <v>68</v>
      </c>
      <c r="AO30" s="29"/>
      <c r="AP30" s="246" t="s">
        <v>67</v>
      </c>
      <c r="AQ30" s="247"/>
      <c r="AR30" s="247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18" t="s">
        <v>58</v>
      </c>
      <c r="C31" s="219"/>
      <c r="D31" s="219"/>
      <c r="E31" s="219"/>
      <c r="F31" s="219"/>
      <c r="G31" s="41">
        <f>G29*0.87</f>
        <v>301.02</v>
      </c>
      <c r="H31" s="42" t="s">
        <v>50</v>
      </c>
      <c r="I31" s="29"/>
      <c r="J31" s="218" t="s">
        <v>58</v>
      </c>
      <c r="K31" s="219"/>
      <c r="L31" s="219"/>
      <c r="M31" s="219"/>
      <c r="N31" s="219"/>
      <c r="O31" s="41">
        <f>O29*0.87</f>
        <v>334.08</v>
      </c>
      <c r="P31" s="42" t="s">
        <v>50</v>
      </c>
      <c r="Q31" s="43"/>
      <c r="R31" s="44"/>
      <c r="S31" s="231" t="s">
        <v>59</v>
      </c>
      <c r="T31" s="232"/>
      <c r="U31" s="232"/>
      <c r="V31" s="232"/>
      <c r="W31" s="233"/>
      <c r="X31" s="45">
        <v>0.13</v>
      </c>
      <c r="Y31" s="46" t="s">
        <v>52</v>
      </c>
      <c r="Z31" s="29"/>
      <c r="AA31" s="231" t="s">
        <v>59</v>
      </c>
      <c r="AB31" s="232"/>
      <c r="AC31" s="232"/>
      <c r="AD31" s="232"/>
      <c r="AE31" s="233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18" t="s">
        <v>62</v>
      </c>
      <c r="C32" s="219"/>
      <c r="D32" s="219"/>
      <c r="E32" s="219"/>
      <c r="F32" s="219"/>
      <c r="G32" s="41">
        <f>G31/1.2</f>
        <v>250.85</v>
      </c>
      <c r="H32" s="42" t="s">
        <v>50</v>
      </c>
      <c r="I32" s="29"/>
      <c r="J32" s="218" t="s">
        <v>62</v>
      </c>
      <c r="K32" s="219"/>
      <c r="L32" s="219"/>
      <c r="M32" s="219"/>
      <c r="N32" s="219"/>
      <c r="O32" s="41">
        <f>O31/1.2</f>
        <v>278.39999999999998</v>
      </c>
      <c r="P32" s="42" t="s">
        <v>50</v>
      </c>
      <c r="Q32" s="43"/>
      <c r="R32" s="44"/>
      <c r="S32" s="228"/>
      <c r="T32" s="228"/>
      <c r="U32" s="228"/>
      <c r="V32" s="228"/>
      <c r="W32" s="228"/>
      <c r="X32" s="48"/>
      <c r="Y32" s="29"/>
      <c r="Z32" s="29"/>
      <c r="AA32" s="228"/>
      <c r="AB32" s="228"/>
      <c r="AC32" s="228"/>
      <c r="AD32" s="228"/>
      <c r="AE32" s="228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43" t="s">
        <v>78</v>
      </c>
      <c r="AQ32" s="244"/>
      <c r="AR32" s="244"/>
      <c r="AS32" s="244"/>
      <c r="AT32" s="245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29" t="s">
        <v>64</v>
      </c>
      <c r="C33" s="230"/>
      <c r="D33" s="230"/>
      <c r="E33" s="230"/>
      <c r="F33" s="230"/>
      <c r="G33" s="51">
        <f>G29*0.76</f>
        <v>262.95999999999998</v>
      </c>
      <c r="H33" s="52" t="s">
        <v>50</v>
      </c>
      <c r="I33" s="29"/>
      <c r="J33" s="229" t="s">
        <v>64</v>
      </c>
      <c r="K33" s="230"/>
      <c r="L33" s="230"/>
      <c r="M33" s="230"/>
      <c r="N33" s="230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51"/>
      <c r="AN33" s="251"/>
      <c r="AO33" s="53"/>
      <c r="AP33" s="252" t="s">
        <v>39</v>
      </c>
      <c r="AQ33" s="253"/>
      <c r="AR33" s="253"/>
      <c r="AS33" s="253"/>
      <c r="AT33" s="254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16" t="s">
        <v>66</v>
      </c>
      <c r="C34" s="217"/>
      <c r="D34" s="217"/>
      <c r="E34" s="217"/>
      <c r="F34" s="217"/>
      <c r="G34" s="56">
        <f>G33/1.2</f>
        <v>219.13333333333333</v>
      </c>
      <c r="H34" s="57" t="s">
        <v>50</v>
      </c>
      <c r="I34" s="29"/>
      <c r="J34" s="216" t="s">
        <v>66</v>
      </c>
      <c r="K34" s="217"/>
      <c r="L34" s="217"/>
      <c r="M34" s="217"/>
      <c r="N34" s="217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22" t="s">
        <v>41</v>
      </c>
      <c r="AQ34" s="223"/>
      <c r="AR34" s="223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14" t="s">
        <v>158</v>
      </c>
      <c r="C35" s="215"/>
      <c r="D35" s="215"/>
      <c r="E35" s="215"/>
      <c r="F35" s="215"/>
      <c r="G35" s="191">
        <f>G29*0.708</f>
        <v>244.96799999999999</v>
      </c>
      <c r="H35" s="190" t="s">
        <v>50</v>
      </c>
      <c r="I35" s="29"/>
      <c r="J35" s="214" t="s">
        <v>158</v>
      </c>
      <c r="K35" s="215"/>
      <c r="L35" s="215"/>
      <c r="M35" s="215"/>
      <c r="N35" s="215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22" t="s">
        <v>5</v>
      </c>
      <c r="AQ35" s="223"/>
      <c r="AR35" s="223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43" t="s">
        <v>79</v>
      </c>
      <c r="C36" s="244"/>
      <c r="D36" s="244"/>
      <c r="E36" s="244"/>
      <c r="F36" s="244"/>
      <c r="G36" s="244"/>
      <c r="H36" s="245"/>
      <c r="I36" s="11"/>
      <c r="J36" s="243" t="s">
        <v>80</v>
      </c>
      <c r="K36" s="244"/>
      <c r="L36" s="244"/>
      <c r="M36" s="244"/>
      <c r="N36" s="244"/>
      <c r="O36" s="244"/>
      <c r="P36" s="245"/>
      <c r="Q36" s="11"/>
      <c r="R36" s="12"/>
      <c r="S36" s="243" t="s">
        <v>79</v>
      </c>
      <c r="T36" s="244"/>
      <c r="U36" s="244"/>
      <c r="V36" s="244"/>
      <c r="W36" s="244"/>
      <c r="X36" s="244"/>
      <c r="Y36" s="245"/>
      <c r="Z36" s="11"/>
      <c r="AA36" s="243" t="s">
        <v>80</v>
      </c>
      <c r="AB36" s="244"/>
      <c r="AC36" s="244"/>
      <c r="AD36" s="244"/>
      <c r="AE36" s="244"/>
      <c r="AF36" s="244"/>
      <c r="AG36" s="245"/>
      <c r="AH36" s="13"/>
      <c r="AI36" s="12"/>
      <c r="AJ36" s="29"/>
      <c r="AK36" s="29"/>
      <c r="AL36" s="29"/>
      <c r="AM36" s="29"/>
      <c r="AN36" s="29"/>
      <c r="AO36" s="11"/>
      <c r="AP36" s="222" t="s">
        <v>74</v>
      </c>
      <c r="AQ36" s="223"/>
      <c r="AR36" s="223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20" t="s">
        <v>46</v>
      </c>
      <c r="C37" s="221"/>
      <c r="D37" s="221"/>
      <c r="E37" s="221"/>
      <c r="F37" s="221"/>
      <c r="G37" s="30">
        <v>185</v>
      </c>
      <c r="H37" s="31" t="s">
        <v>47</v>
      </c>
      <c r="I37" s="29"/>
      <c r="J37" s="220" t="s">
        <v>46</v>
      </c>
      <c r="K37" s="221"/>
      <c r="L37" s="221"/>
      <c r="M37" s="221"/>
      <c r="N37" s="221"/>
      <c r="O37" s="30">
        <v>240</v>
      </c>
      <c r="P37" s="31" t="s">
        <v>47</v>
      </c>
      <c r="Q37" s="29"/>
      <c r="R37" s="32"/>
      <c r="S37" s="234" t="s">
        <v>46</v>
      </c>
      <c r="T37" s="235"/>
      <c r="U37" s="235"/>
      <c r="V37" s="235"/>
      <c r="W37" s="236"/>
      <c r="X37" s="30">
        <v>185</v>
      </c>
      <c r="Y37" s="31" t="s">
        <v>47</v>
      </c>
      <c r="Z37" s="29"/>
      <c r="AA37" s="234" t="s">
        <v>46</v>
      </c>
      <c r="AB37" s="235"/>
      <c r="AC37" s="235"/>
      <c r="AD37" s="235"/>
      <c r="AE37" s="236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48" t="s">
        <v>75</v>
      </c>
      <c r="AQ37" s="249"/>
      <c r="AR37" s="250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22" t="s">
        <v>49</v>
      </c>
      <c r="C38" s="223"/>
      <c r="D38" s="223"/>
      <c r="E38" s="223"/>
      <c r="F38" s="223"/>
      <c r="G38" s="34">
        <v>429</v>
      </c>
      <c r="H38" s="27" t="s">
        <v>50</v>
      </c>
      <c r="I38" s="29"/>
      <c r="J38" s="222" t="s">
        <v>49</v>
      </c>
      <c r="K38" s="223"/>
      <c r="L38" s="223"/>
      <c r="M38" s="223"/>
      <c r="N38" s="223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22" t="s">
        <v>60</v>
      </c>
      <c r="AQ38" s="223"/>
      <c r="AR38" s="223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22" t="s">
        <v>55</v>
      </c>
      <c r="C39" s="223"/>
      <c r="D39" s="223"/>
      <c r="E39" s="223"/>
      <c r="F39" s="223"/>
      <c r="G39" s="38">
        <f>G38/1.2</f>
        <v>357.5</v>
      </c>
      <c r="H39" s="27" t="s">
        <v>50</v>
      </c>
      <c r="I39" s="29"/>
      <c r="J39" s="222" t="s">
        <v>55</v>
      </c>
      <c r="K39" s="223"/>
      <c r="L39" s="223"/>
      <c r="M39" s="223"/>
      <c r="N39" s="223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22" t="s">
        <v>19</v>
      </c>
      <c r="AQ39" s="223"/>
      <c r="AR39" s="223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18" t="s">
        <v>58</v>
      </c>
      <c r="C40" s="219"/>
      <c r="D40" s="219"/>
      <c r="E40" s="219"/>
      <c r="F40" s="219"/>
      <c r="G40" s="41">
        <f>G38*0.87</f>
        <v>373.23</v>
      </c>
      <c r="H40" s="42" t="s">
        <v>50</v>
      </c>
      <c r="I40" s="29"/>
      <c r="J40" s="218" t="s">
        <v>58</v>
      </c>
      <c r="K40" s="219"/>
      <c r="L40" s="219"/>
      <c r="M40" s="219"/>
      <c r="N40" s="219"/>
      <c r="O40" s="41">
        <f>O38*0.87</f>
        <v>435</v>
      </c>
      <c r="P40" s="42" t="s">
        <v>50</v>
      </c>
      <c r="Q40" s="43"/>
      <c r="R40" s="44"/>
      <c r="S40" s="231" t="s">
        <v>59</v>
      </c>
      <c r="T40" s="232"/>
      <c r="U40" s="232"/>
      <c r="V40" s="232"/>
      <c r="W40" s="233"/>
      <c r="X40" s="45">
        <v>0.122</v>
      </c>
      <c r="Y40" s="46" t="s">
        <v>52</v>
      </c>
      <c r="Z40" s="29"/>
      <c r="AA40" s="231" t="s">
        <v>59</v>
      </c>
      <c r="AB40" s="232"/>
      <c r="AC40" s="232"/>
      <c r="AD40" s="232"/>
      <c r="AE40" s="233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22" t="s">
        <v>65</v>
      </c>
      <c r="AQ40" s="223"/>
      <c r="AR40" s="223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18" t="s">
        <v>62</v>
      </c>
      <c r="C41" s="219"/>
      <c r="D41" s="219"/>
      <c r="E41" s="219"/>
      <c r="F41" s="219"/>
      <c r="G41" s="41">
        <f>G40/1.2</f>
        <v>311.02500000000003</v>
      </c>
      <c r="H41" s="42" t="s">
        <v>50</v>
      </c>
      <c r="I41" s="29"/>
      <c r="J41" s="218" t="s">
        <v>62</v>
      </c>
      <c r="K41" s="219"/>
      <c r="L41" s="219"/>
      <c r="M41" s="219"/>
      <c r="N41" s="219"/>
      <c r="O41" s="41">
        <f>O40/1.2</f>
        <v>362.5</v>
      </c>
      <c r="P41" s="42" t="s">
        <v>50</v>
      </c>
      <c r="Q41" s="43"/>
      <c r="R41" s="44"/>
      <c r="S41" s="228"/>
      <c r="T41" s="228"/>
      <c r="U41" s="228"/>
      <c r="V41" s="228"/>
      <c r="W41" s="228"/>
      <c r="X41" s="48"/>
      <c r="Y41" s="29"/>
      <c r="Z41" s="29"/>
      <c r="AA41" s="228"/>
      <c r="AB41" s="228"/>
      <c r="AC41" s="228"/>
      <c r="AD41" s="228"/>
      <c r="AE41" s="228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46" t="s">
        <v>67</v>
      </c>
      <c r="AQ41" s="247"/>
      <c r="AR41" s="247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29" t="s">
        <v>64</v>
      </c>
      <c r="C42" s="230"/>
      <c r="D42" s="230"/>
      <c r="E42" s="230"/>
      <c r="F42" s="230"/>
      <c r="G42" s="51">
        <f>G38*0.76</f>
        <v>326.04000000000002</v>
      </c>
      <c r="H42" s="52" t="s">
        <v>50</v>
      </c>
      <c r="I42" s="29"/>
      <c r="J42" s="229" t="s">
        <v>64</v>
      </c>
      <c r="K42" s="230"/>
      <c r="L42" s="230"/>
      <c r="M42" s="230"/>
      <c r="N42" s="230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16" t="s">
        <v>66</v>
      </c>
      <c r="C43" s="217"/>
      <c r="D43" s="217"/>
      <c r="E43" s="217"/>
      <c r="F43" s="217"/>
      <c r="G43" s="56">
        <f>G42/1.2</f>
        <v>271.70000000000005</v>
      </c>
      <c r="H43" s="57" t="s">
        <v>50</v>
      </c>
      <c r="I43" s="29"/>
      <c r="J43" s="216" t="s">
        <v>66</v>
      </c>
      <c r="K43" s="217"/>
      <c r="L43" s="217"/>
      <c r="M43" s="217"/>
      <c r="N43" s="217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37" t="s">
        <v>81</v>
      </c>
      <c r="AK43" s="238"/>
      <c r="AL43" s="238"/>
      <c r="AM43" s="238"/>
      <c r="AN43" s="238"/>
      <c r="AO43" s="238"/>
      <c r="AP43" s="238"/>
      <c r="AQ43" s="238"/>
      <c r="AR43" s="238"/>
      <c r="AS43" s="238"/>
      <c r="AT43" s="238"/>
      <c r="AU43" s="238"/>
      <c r="AV43" s="238"/>
      <c r="AW43" s="238"/>
      <c r="AX43" s="239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14" t="s">
        <v>158</v>
      </c>
      <c r="C44" s="215"/>
      <c r="D44" s="215"/>
      <c r="E44" s="215"/>
      <c r="F44" s="215"/>
      <c r="G44" s="191">
        <f>G38*0.708</f>
        <v>303.73199999999997</v>
      </c>
      <c r="H44" s="190" t="s">
        <v>50</v>
      </c>
      <c r="I44" s="29"/>
      <c r="J44" s="214" t="s">
        <v>158</v>
      </c>
      <c r="K44" s="215"/>
      <c r="L44" s="215"/>
      <c r="M44" s="215"/>
      <c r="N44" s="215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40"/>
      <c r="AK44" s="241"/>
      <c r="AL44" s="241"/>
      <c r="AM44" s="241"/>
      <c r="AN44" s="241"/>
      <c r="AO44" s="241"/>
      <c r="AP44" s="241"/>
      <c r="AQ44" s="241"/>
      <c r="AR44" s="241"/>
      <c r="AS44" s="241"/>
      <c r="AT44" s="241"/>
      <c r="AU44" s="241"/>
      <c r="AV44" s="241"/>
      <c r="AW44" s="241"/>
      <c r="AX44" s="242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43" t="s">
        <v>82</v>
      </c>
      <c r="C45" s="244"/>
      <c r="D45" s="244"/>
      <c r="E45" s="244"/>
      <c r="F45" s="244"/>
      <c r="G45" s="244"/>
      <c r="H45" s="245"/>
      <c r="I45" s="11"/>
      <c r="J45" s="243" t="s">
        <v>83</v>
      </c>
      <c r="K45" s="244"/>
      <c r="L45" s="244"/>
      <c r="M45" s="244"/>
      <c r="N45" s="244"/>
      <c r="O45" s="244"/>
      <c r="P45" s="245"/>
      <c r="Q45" s="11"/>
      <c r="R45" s="12"/>
      <c r="S45" s="243" t="s">
        <v>82</v>
      </c>
      <c r="T45" s="244"/>
      <c r="U45" s="244"/>
      <c r="V45" s="244"/>
      <c r="W45" s="244"/>
      <c r="X45" s="244"/>
      <c r="Y45" s="245"/>
      <c r="Z45" s="11"/>
      <c r="AA45" s="243" t="s">
        <v>83</v>
      </c>
      <c r="AB45" s="244"/>
      <c r="AC45" s="244"/>
      <c r="AD45" s="244"/>
      <c r="AE45" s="244"/>
      <c r="AF45" s="244"/>
      <c r="AG45" s="245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20" t="s">
        <v>46</v>
      </c>
      <c r="C46" s="221"/>
      <c r="D46" s="221"/>
      <c r="E46" s="221"/>
      <c r="F46" s="221"/>
      <c r="G46" s="30">
        <v>300</v>
      </c>
      <c r="H46" s="31" t="s">
        <v>47</v>
      </c>
      <c r="I46" s="29"/>
      <c r="J46" s="220" t="s">
        <v>46</v>
      </c>
      <c r="K46" s="221"/>
      <c r="L46" s="221"/>
      <c r="M46" s="221"/>
      <c r="N46" s="221"/>
      <c r="O46" s="30">
        <v>400</v>
      </c>
      <c r="P46" s="31" t="s">
        <v>47</v>
      </c>
      <c r="Q46" s="29"/>
      <c r="R46" s="32"/>
      <c r="S46" s="234" t="s">
        <v>46</v>
      </c>
      <c r="T46" s="235"/>
      <c r="U46" s="235"/>
      <c r="V46" s="235"/>
      <c r="W46" s="236"/>
      <c r="X46" s="30">
        <v>300</v>
      </c>
      <c r="Y46" s="31" t="s">
        <v>47</v>
      </c>
      <c r="Z46" s="29"/>
      <c r="AA46" s="234" t="s">
        <v>46</v>
      </c>
      <c r="AB46" s="235"/>
      <c r="AC46" s="235"/>
      <c r="AD46" s="235"/>
      <c r="AE46" s="236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22" t="s">
        <v>49</v>
      </c>
      <c r="C47" s="223"/>
      <c r="D47" s="223"/>
      <c r="E47" s="223"/>
      <c r="F47" s="223"/>
      <c r="G47" s="34">
        <v>545</v>
      </c>
      <c r="H47" s="27" t="s">
        <v>50</v>
      </c>
      <c r="I47" s="29"/>
      <c r="J47" s="222" t="s">
        <v>49</v>
      </c>
      <c r="K47" s="223"/>
      <c r="L47" s="223"/>
      <c r="M47" s="223"/>
      <c r="N47" s="223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22" t="s">
        <v>55</v>
      </c>
      <c r="C48" s="223"/>
      <c r="D48" s="223"/>
      <c r="E48" s="223"/>
      <c r="F48" s="223"/>
      <c r="G48" s="38">
        <f>G47/1.2</f>
        <v>454.16666666666669</v>
      </c>
      <c r="H48" s="27" t="s">
        <v>50</v>
      </c>
      <c r="I48" s="29"/>
      <c r="J48" s="222" t="s">
        <v>55</v>
      </c>
      <c r="K48" s="223"/>
      <c r="L48" s="223"/>
      <c r="M48" s="223"/>
      <c r="N48" s="223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18" t="s">
        <v>58</v>
      </c>
      <c r="C49" s="219"/>
      <c r="D49" s="219"/>
      <c r="E49" s="219"/>
      <c r="F49" s="219"/>
      <c r="G49" s="41">
        <f>G47*0.87</f>
        <v>474.15</v>
      </c>
      <c r="H49" s="42" t="s">
        <v>50</v>
      </c>
      <c r="I49" s="29"/>
      <c r="J49" s="218" t="s">
        <v>58</v>
      </c>
      <c r="K49" s="219"/>
      <c r="L49" s="219"/>
      <c r="M49" s="219"/>
      <c r="N49" s="219"/>
      <c r="O49" s="41">
        <f>O47*0.87</f>
        <v>522</v>
      </c>
      <c r="P49" s="42" t="s">
        <v>50</v>
      </c>
      <c r="Q49" s="43"/>
      <c r="R49" s="44"/>
      <c r="S49" s="231" t="s">
        <v>59</v>
      </c>
      <c r="T49" s="232"/>
      <c r="U49" s="232"/>
      <c r="V49" s="232"/>
      <c r="W49" s="233"/>
      <c r="X49" s="45">
        <v>0.11700000000000001</v>
      </c>
      <c r="Y49" s="46" t="s">
        <v>52</v>
      </c>
      <c r="Z49" s="29"/>
      <c r="AA49" s="231" t="s">
        <v>59</v>
      </c>
      <c r="AB49" s="232"/>
      <c r="AC49" s="232"/>
      <c r="AD49" s="232"/>
      <c r="AE49" s="233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18" t="s">
        <v>62</v>
      </c>
      <c r="C50" s="219"/>
      <c r="D50" s="219"/>
      <c r="E50" s="219"/>
      <c r="F50" s="219"/>
      <c r="G50" s="41">
        <f>G49/1.2</f>
        <v>395.125</v>
      </c>
      <c r="H50" s="42" t="s">
        <v>50</v>
      </c>
      <c r="I50" s="29"/>
      <c r="J50" s="218" t="s">
        <v>62</v>
      </c>
      <c r="K50" s="219"/>
      <c r="L50" s="219"/>
      <c r="M50" s="219"/>
      <c r="N50" s="219"/>
      <c r="O50" s="41">
        <f>O49/1.2</f>
        <v>435</v>
      </c>
      <c r="P50" s="42" t="s">
        <v>50</v>
      </c>
      <c r="Q50" s="43"/>
      <c r="R50" s="44"/>
      <c r="S50" s="228"/>
      <c r="T50" s="228"/>
      <c r="U50" s="228"/>
      <c r="V50" s="228"/>
      <c r="W50" s="228"/>
      <c r="X50" s="48"/>
      <c r="Y50" s="29"/>
      <c r="Z50" s="29"/>
      <c r="AA50" s="228"/>
      <c r="AB50" s="228"/>
      <c r="AC50" s="228"/>
      <c r="AD50" s="228"/>
      <c r="AE50" s="228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29" t="s">
        <v>64</v>
      </c>
      <c r="C51" s="230"/>
      <c r="D51" s="230"/>
      <c r="E51" s="230"/>
      <c r="F51" s="230"/>
      <c r="G51" s="51">
        <f>G47*0.76</f>
        <v>414.2</v>
      </c>
      <c r="H51" s="52" t="s">
        <v>50</v>
      </c>
      <c r="I51" s="29"/>
      <c r="J51" s="229" t="s">
        <v>64</v>
      </c>
      <c r="K51" s="230"/>
      <c r="L51" s="230"/>
      <c r="M51" s="230"/>
      <c r="N51" s="230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16" t="s">
        <v>66</v>
      </c>
      <c r="C52" s="217"/>
      <c r="D52" s="217"/>
      <c r="E52" s="217"/>
      <c r="F52" s="217"/>
      <c r="G52" s="56">
        <f>G51/1.2</f>
        <v>345.16666666666669</v>
      </c>
      <c r="H52" s="57" t="s">
        <v>50</v>
      </c>
      <c r="I52" s="69"/>
      <c r="J52" s="216" t="s">
        <v>66</v>
      </c>
      <c r="K52" s="217"/>
      <c r="L52" s="217"/>
      <c r="M52" s="217"/>
      <c r="N52" s="217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14" t="s">
        <v>158</v>
      </c>
      <c r="C53" s="215"/>
      <c r="D53" s="215"/>
      <c r="E53" s="215"/>
      <c r="F53" s="215"/>
      <c r="G53" s="191">
        <f>G47*0.708</f>
        <v>385.85999999999996</v>
      </c>
      <c r="H53" s="190" t="s">
        <v>50</v>
      </c>
      <c r="J53" s="214" t="s">
        <v>158</v>
      </c>
      <c r="K53" s="215"/>
      <c r="L53" s="215"/>
      <c r="M53" s="215"/>
      <c r="N53" s="215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90" t="s">
        <v>138</v>
      </c>
      <c r="C55" s="291"/>
      <c r="D55" s="291"/>
      <c r="E55" s="291"/>
      <c r="F55" s="291"/>
      <c r="G55" s="291"/>
      <c r="H55" s="292"/>
      <c r="J55" s="243" t="s">
        <v>139</v>
      </c>
      <c r="K55" s="244"/>
      <c r="L55" s="244"/>
      <c r="M55" s="244"/>
      <c r="N55" s="244"/>
      <c r="O55" s="244"/>
      <c r="P55" s="245"/>
      <c r="S55" s="290" t="s">
        <v>138</v>
      </c>
      <c r="T55" s="291"/>
      <c r="U55" s="291"/>
      <c r="V55" s="291"/>
      <c r="W55" s="291"/>
      <c r="X55" s="291"/>
      <c r="Y55" s="292"/>
      <c r="AA55" s="243" t="s">
        <v>139</v>
      </c>
      <c r="AB55" s="244"/>
      <c r="AC55" s="244"/>
      <c r="AD55" s="244"/>
      <c r="AE55" s="244"/>
      <c r="AF55" s="244"/>
      <c r="AG55" s="245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99" t="s">
        <v>46</v>
      </c>
      <c r="C56" s="300"/>
      <c r="D56" s="300"/>
      <c r="E56" s="300"/>
      <c r="F56" s="300"/>
      <c r="G56" s="134">
        <v>400</v>
      </c>
      <c r="H56" s="135" t="s">
        <v>47</v>
      </c>
      <c r="J56" s="220" t="s">
        <v>46</v>
      </c>
      <c r="K56" s="221"/>
      <c r="L56" s="221"/>
      <c r="M56" s="221"/>
      <c r="N56" s="221"/>
      <c r="O56" s="30">
        <v>630</v>
      </c>
      <c r="P56" s="31" t="s">
        <v>47</v>
      </c>
      <c r="S56" s="293" t="s">
        <v>46</v>
      </c>
      <c r="T56" s="294"/>
      <c r="U56" s="294"/>
      <c r="V56" s="294"/>
      <c r="W56" s="295"/>
      <c r="X56" s="134">
        <v>500</v>
      </c>
      <c r="Y56" s="135" t="s">
        <v>47</v>
      </c>
      <c r="AA56" s="234" t="s">
        <v>46</v>
      </c>
      <c r="AB56" s="235"/>
      <c r="AC56" s="235"/>
      <c r="AD56" s="235"/>
      <c r="AE56" s="236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301" t="s">
        <v>49</v>
      </c>
      <c r="C57" s="302"/>
      <c r="D57" s="302"/>
      <c r="E57" s="302"/>
      <c r="F57" s="302"/>
      <c r="G57" s="144">
        <v>659</v>
      </c>
      <c r="H57" s="140" t="s">
        <v>50</v>
      </c>
      <c r="J57" s="222" t="s">
        <v>49</v>
      </c>
      <c r="K57" s="223"/>
      <c r="L57" s="223"/>
      <c r="M57" s="223"/>
      <c r="N57" s="223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301" t="s">
        <v>55</v>
      </c>
      <c r="C58" s="302"/>
      <c r="D58" s="302"/>
      <c r="E58" s="302"/>
      <c r="F58" s="302"/>
      <c r="G58" s="145">
        <f>G57/1.2</f>
        <v>549.16666666666674</v>
      </c>
      <c r="H58" s="140" t="s">
        <v>50</v>
      </c>
      <c r="J58" s="222" t="s">
        <v>55</v>
      </c>
      <c r="K58" s="223"/>
      <c r="L58" s="223"/>
      <c r="M58" s="223"/>
      <c r="N58" s="223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24" t="s">
        <v>58</v>
      </c>
      <c r="C59" s="225"/>
      <c r="D59" s="225"/>
      <c r="E59" s="225"/>
      <c r="F59" s="225"/>
      <c r="G59" s="146">
        <f>G57*0.87</f>
        <v>573.33000000000004</v>
      </c>
      <c r="H59" s="147" t="s">
        <v>50</v>
      </c>
      <c r="J59" s="218" t="s">
        <v>58</v>
      </c>
      <c r="K59" s="219"/>
      <c r="L59" s="219"/>
      <c r="M59" s="219"/>
      <c r="N59" s="219"/>
      <c r="O59" s="41">
        <f>O57*0.87</f>
        <v>627.27</v>
      </c>
      <c r="P59" s="42" t="s">
        <v>50</v>
      </c>
      <c r="S59" s="296" t="s">
        <v>59</v>
      </c>
      <c r="T59" s="297"/>
      <c r="U59" s="297"/>
      <c r="V59" s="297"/>
      <c r="W59" s="298"/>
      <c r="X59" s="142">
        <v>0.112</v>
      </c>
      <c r="Y59" s="143" t="s">
        <v>52</v>
      </c>
      <c r="AA59" s="231" t="s">
        <v>59</v>
      </c>
      <c r="AB59" s="232"/>
      <c r="AC59" s="232"/>
      <c r="AD59" s="232"/>
      <c r="AE59" s="233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24" t="s">
        <v>62</v>
      </c>
      <c r="C60" s="225"/>
      <c r="D60" s="225"/>
      <c r="E60" s="225"/>
      <c r="F60" s="225"/>
      <c r="G60" s="146">
        <f>G59/1.2</f>
        <v>477.77500000000003</v>
      </c>
      <c r="H60" s="147" t="s">
        <v>50</v>
      </c>
      <c r="J60" s="218" t="s">
        <v>62</v>
      </c>
      <c r="K60" s="219"/>
      <c r="L60" s="219"/>
      <c r="M60" s="219"/>
      <c r="N60" s="219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26" t="s">
        <v>64</v>
      </c>
      <c r="C61" s="227"/>
      <c r="D61" s="227"/>
      <c r="E61" s="227"/>
      <c r="F61" s="227"/>
      <c r="G61" s="148">
        <f>G57*0.76</f>
        <v>500.84000000000003</v>
      </c>
      <c r="H61" s="149" t="s">
        <v>50</v>
      </c>
      <c r="J61" s="229" t="s">
        <v>64</v>
      </c>
      <c r="K61" s="230"/>
      <c r="L61" s="230"/>
      <c r="M61" s="230"/>
      <c r="N61" s="230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88" t="s">
        <v>66</v>
      </c>
      <c r="C62" s="289"/>
      <c r="D62" s="289"/>
      <c r="E62" s="289"/>
      <c r="F62" s="289"/>
      <c r="G62" s="150">
        <f>G61/1.2</f>
        <v>417.36666666666673</v>
      </c>
      <c r="H62" s="151" t="s">
        <v>50</v>
      </c>
      <c r="J62" s="216" t="s">
        <v>66</v>
      </c>
      <c r="K62" s="217"/>
      <c r="L62" s="217"/>
      <c r="M62" s="217"/>
      <c r="N62" s="217"/>
      <c r="O62" s="56">
        <f>O61/1.2</f>
        <v>456.63333333333338</v>
      </c>
      <c r="P62" s="57" t="s">
        <v>50</v>
      </c>
    </row>
    <row r="63" spans="1:68" ht="15" customHeight="1" x14ac:dyDescent="0.25">
      <c r="B63" s="214" t="s">
        <v>158</v>
      </c>
      <c r="C63" s="215"/>
      <c r="D63" s="215"/>
      <c r="E63" s="215"/>
      <c r="F63" s="215"/>
      <c r="G63" s="191">
        <f>G57*0.708</f>
        <v>466.572</v>
      </c>
      <c r="H63" s="190" t="s">
        <v>50</v>
      </c>
      <c r="J63" s="214" t="s">
        <v>158</v>
      </c>
      <c r="K63" s="215"/>
      <c r="L63" s="215"/>
      <c r="M63" s="215"/>
      <c r="N63" s="215"/>
      <c r="O63" s="191">
        <f>O57*0.708</f>
        <v>510.46799999999996</v>
      </c>
      <c r="P63" s="190" t="s">
        <v>50</v>
      </c>
    </row>
  </sheetData>
  <mergeCells count="207"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2020-11-17T01:48:03Z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