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617" documentId="8_{7C064CB9-FA0B-4FC8-97DD-BC9A0C7F7E36}" xr6:coauthVersionLast="45" xr6:coauthVersionMax="45" xr10:uidLastSave="{3B075F96-72C7-4C28-ABD9-966CC1292276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3" l="1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T60" i="3"/>
  <c r="S60" i="3"/>
  <c r="K60" i="3"/>
  <c r="I60" i="3"/>
  <c r="H60" i="3"/>
  <c r="F60" i="3"/>
  <c r="E60" i="3"/>
  <c r="J60" i="3" s="1"/>
  <c r="D60" i="3"/>
  <c r="V60" i="3" s="1"/>
  <c r="V59" i="3"/>
  <c r="T59" i="3"/>
  <c r="S59" i="3"/>
  <c r="R59" i="3"/>
  <c r="N59" i="3"/>
  <c r="F59" i="3"/>
  <c r="Q59" i="3" s="1"/>
  <c r="E59" i="3"/>
  <c r="D59" i="3"/>
  <c r="U59" i="3" s="1"/>
  <c r="Q58" i="3"/>
  <c r="N58" i="3"/>
  <c r="M58" i="3"/>
  <c r="I58" i="3"/>
  <c r="F58" i="3"/>
  <c r="P58" i="3" s="1"/>
  <c r="E58" i="3"/>
  <c r="H58" i="3" s="1"/>
  <c r="D58" i="3"/>
  <c r="T57" i="3"/>
  <c r="Q57" i="3"/>
  <c r="P57" i="3"/>
  <c r="N57" i="3"/>
  <c r="M57" i="3"/>
  <c r="L57" i="3"/>
  <c r="I57" i="3"/>
  <c r="H57" i="3"/>
  <c r="F57" i="3"/>
  <c r="O57" i="3" s="1"/>
  <c r="E57" i="3"/>
  <c r="K57" i="3" s="1"/>
  <c r="D57" i="3"/>
  <c r="S57" i="3" s="1"/>
  <c r="T56" i="3"/>
  <c r="S56" i="3"/>
  <c r="K56" i="3"/>
  <c r="I56" i="3"/>
  <c r="H56" i="3"/>
  <c r="F56" i="3"/>
  <c r="E56" i="3"/>
  <c r="J56" i="3" s="1"/>
  <c r="D56" i="3"/>
  <c r="V56" i="3" s="1"/>
  <c r="C56" i="3"/>
  <c r="V55" i="3"/>
  <c r="T55" i="3"/>
  <c r="S55" i="3"/>
  <c r="R55" i="3"/>
  <c r="N55" i="3"/>
  <c r="J55" i="3"/>
  <c r="F55" i="3"/>
  <c r="Q55" i="3" s="1"/>
  <c r="E55" i="3"/>
  <c r="D55" i="3"/>
  <c r="U55" i="3" s="1"/>
  <c r="U54" i="3"/>
  <c r="Q54" i="3"/>
  <c r="N54" i="3"/>
  <c r="M54" i="3"/>
  <c r="I54" i="3"/>
  <c r="F54" i="3"/>
  <c r="P54" i="3" s="1"/>
  <c r="E54" i="3"/>
  <c r="H54" i="3" s="1"/>
  <c r="D54" i="3"/>
  <c r="T53" i="3"/>
  <c r="Q53" i="3"/>
  <c r="P53" i="3"/>
  <c r="N53" i="3"/>
  <c r="M53" i="3"/>
  <c r="L53" i="3"/>
  <c r="I53" i="3"/>
  <c r="H53" i="3"/>
  <c r="F53" i="3"/>
  <c r="O53" i="3" s="1"/>
  <c r="E53" i="3"/>
  <c r="K53" i="3" s="1"/>
  <c r="D53" i="3"/>
  <c r="S53" i="3" s="1"/>
  <c r="T52" i="3"/>
  <c r="S52" i="3"/>
  <c r="K52" i="3"/>
  <c r="I52" i="3"/>
  <c r="H52" i="3"/>
  <c r="F52" i="3"/>
  <c r="E52" i="3"/>
  <c r="J52" i="3" s="1"/>
  <c r="D52" i="3"/>
  <c r="V52" i="3" s="1"/>
  <c r="V51" i="3"/>
  <c r="T51" i="3"/>
  <c r="S51" i="3"/>
  <c r="R51" i="3"/>
  <c r="N51" i="3"/>
  <c r="J51" i="3"/>
  <c r="F51" i="3"/>
  <c r="Q51" i="3" s="1"/>
  <c r="E51" i="3"/>
  <c r="D51" i="3"/>
  <c r="U51" i="3" s="1"/>
  <c r="U50" i="3"/>
  <c r="Q50" i="3"/>
  <c r="N50" i="3"/>
  <c r="M50" i="3"/>
  <c r="I50" i="3"/>
  <c r="F50" i="3"/>
  <c r="P50" i="3" s="1"/>
  <c r="E50" i="3"/>
  <c r="D50" i="3"/>
  <c r="U49" i="3"/>
  <c r="T49" i="3"/>
  <c r="Q49" i="3"/>
  <c r="P49" i="3"/>
  <c r="N49" i="3"/>
  <c r="M49" i="3"/>
  <c r="L49" i="3"/>
  <c r="I49" i="3"/>
  <c r="H49" i="3"/>
  <c r="F49" i="3"/>
  <c r="O49" i="3" s="1"/>
  <c r="E49" i="3"/>
  <c r="K49" i="3" s="1"/>
  <c r="D49" i="3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20" i="3"/>
  <c r="C19" i="3"/>
  <c r="C59" i="3" s="1"/>
  <c r="C18" i="3"/>
  <c r="C58" i="3" s="1"/>
  <c r="C17" i="3"/>
  <c r="C29" i="3" s="1"/>
  <c r="K16" i="3"/>
  <c r="C16" i="3"/>
  <c r="C28" i="3" s="1"/>
  <c r="C36" i="3" s="1"/>
  <c r="C43" i="3" s="1"/>
  <c r="C82" i="3" s="1"/>
  <c r="C15" i="3"/>
  <c r="C55" i="3" s="1"/>
  <c r="C14" i="3"/>
  <c r="C54" i="3" s="1"/>
  <c r="K13" i="3"/>
  <c r="C13" i="3"/>
  <c r="C53" i="3" s="1"/>
  <c r="C12" i="3"/>
  <c r="C24" i="3" s="1"/>
  <c r="C64" i="3" s="1"/>
  <c r="C11" i="3"/>
  <c r="C10" i="3"/>
  <c r="C50" i="3" s="1"/>
  <c r="C9" i="3"/>
  <c r="C49" i="3" s="1"/>
  <c r="D5" i="3"/>
  <c r="D4" i="3"/>
  <c r="AY2" i="9"/>
  <c r="C30" i="3" l="1"/>
  <c r="C38" i="3" s="1"/>
  <c r="C45" i="3" s="1"/>
  <c r="C84" i="3" s="1"/>
  <c r="C25" i="3"/>
  <c r="C33" i="3" s="1"/>
  <c r="C37" i="3"/>
  <c r="C76" i="3" s="1"/>
  <c r="C69" i="3"/>
  <c r="C70" i="3"/>
  <c r="C26" i="3"/>
  <c r="C34" i="3" s="1"/>
  <c r="C41" i="3" s="1"/>
  <c r="C80" i="3" s="1"/>
  <c r="C57" i="3"/>
  <c r="C52" i="3"/>
  <c r="C72" i="3"/>
  <c r="C40" i="3"/>
  <c r="C79" i="3" s="1"/>
  <c r="C44" i="3"/>
  <c r="C83" i="3" s="1"/>
  <c r="T58" i="3"/>
  <c r="V58" i="3"/>
  <c r="R58" i="3"/>
  <c r="S58" i="3"/>
  <c r="C66" i="3"/>
  <c r="C68" i="3"/>
  <c r="C32" i="3"/>
  <c r="C60" i="3"/>
  <c r="T54" i="3"/>
  <c r="V54" i="3"/>
  <c r="R54" i="3"/>
  <c r="S54" i="3"/>
  <c r="N56" i="3"/>
  <c r="P56" i="3"/>
  <c r="L56" i="3"/>
  <c r="Q56" i="3"/>
  <c r="M56" i="3"/>
  <c r="O56" i="3"/>
  <c r="I59" i="3"/>
  <c r="K59" i="3"/>
  <c r="H59" i="3"/>
  <c r="C75" i="3"/>
  <c r="C51" i="3"/>
  <c r="C23" i="3"/>
  <c r="C63" i="3" s="1"/>
  <c r="C22" i="3"/>
  <c r="C62" i="3" s="1"/>
  <c r="S49" i="3"/>
  <c r="V49" i="3"/>
  <c r="R49" i="3"/>
  <c r="T50" i="3"/>
  <c r="R50" i="3"/>
  <c r="S50" i="3"/>
  <c r="V50" i="3"/>
  <c r="N52" i="3"/>
  <c r="Q52" i="3"/>
  <c r="M52" i="3"/>
  <c r="P52" i="3"/>
  <c r="L52" i="3"/>
  <c r="O52" i="3"/>
  <c r="I55" i="3"/>
  <c r="K55" i="3"/>
  <c r="H55" i="3"/>
  <c r="H50" i="3"/>
  <c r="J50" i="3"/>
  <c r="K50" i="3"/>
  <c r="I51" i="3"/>
  <c r="H51" i="3"/>
  <c r="K51" i="3"/>
  <c r="U58" i="3"/>
  <c r="J59" i="3"/>
  <c r="N60" i="3"/>
  <c r="P60" i="3"/>
  <c r="L60" i="3"/>
  <c r="Q60" i="3"/>
  <c r="M60" i="3"/>
  <c r="O60" i="3"/>
  <c r="C77" i="3"/>
  <c r="U53" i="3"/>
  <c r="C27" i="3"/>
  <c r="C31" i="3"/>
  <c r="C71" i="3" s="1"/>
  <c r="J49" i="3"/>
  <c r="O50" i="3"/>
  <c r="L51" i="3"/>
  <c r="P51" i="3"/>
  <c r="U52" i="3"/>
  <c r="J53" i="3"/>
  <c r="R53" i="3"/>
  <c r="V53" i="3"/>
  <c r="K54" i="3"/>
  <c r="O54" i="3"/>
  <c r="L55" i="3"/>
  <c r="P55" i="3"/>
  <c r="U56" i="3"/>
  <c r="J57" i="3"/>
  <c r="R57" i="3"/>
  <c r="V57" i="3"/>
  <c r="K58" i="3"/>
  <c r="O58" i="3"/>
  <c r="L59" i="3"/>
  <c r="P59" i="3"/>
  <c r="U60" i="3"/>
  <c r="O51" i="3"/>
  <c r="J54" i="3"/>
  <c r="O55" i="3"/>
  <c r="U57" i="3"/>
  <c r="J58" i="3"/>
  <c r="O59" i="3"/>
  <c r="L50" i="3"/>
  <c r="M51" i="3"/>
  <c r="R52" i="3"/>
  <c r="L54" i="3"/>
  <c r="M55" i="3"/>
  <c r="R56" i="3"/>
  <c r="L58" i="3"/>
  <c r="M59" i="3"/>
  <c r="R60" i="3"/>
  <c r="C73" i="3" l="1"/>
  <c r="C65" i="3"/>
  <c r="C35" i="3"/>
  <c r="C67" i="3"/>
  <c r="K6" i="9"/>
  <c r="G4" i="9"/>
  <c r="H4" i="9"/>
  <c r="G5" i="9"/>
  <c r="H5" i="9"/>
  <c r="AU6" i="9" l="1"/>
  <c r="AT6" i="9"/>
  <c r="AZ6" i="9"/>
  <c r="AY6" i="9"/>
  <c r="C42" i="3"/>
  <c r="C81" i="3" s="1"/>
  <c r="C74" i="3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AV6" i="9" l="1"/>
  <c r="AW6" i="9"/>
  <c r="AX6" i="9" s="1"/>
  <c r="AU4" i="9"/>
  <c r="AT4" i="9"/>
  <c r="AZ4" i="9"/>
  <c r="AY4" i="9"/>
  <c r="AU5" i="9"/>
  <c r="AT5" i="9"/>
  <c r="AY5" i="9"/>
  <c r="AZ5" i="9"/>
  <c r="T6" i="9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T7" i="9" l="1"/>
  <c r="BA6" i="9"/>
  <c r="BB6" i="9" s="1"/>
  <c r="AW4" i="9"/>
  <c r="AX4" i="9" s="1"/>
  <c r="AV4" i="9"/>
  <c r="AW5" i="9"/>
  <c r="AX5" i="9" s="1"/>
  <c r="AV5" i="9"/>
  <c r="U6" i="9"/>
  <c r="V4" i="9"/>
  <c r="U4" i="9"/>
  <c r="V5" i="9"/>
  <c r="U5" i="9"/>
  <c r="V6" i="9"/>
  <c r="BA4" i="9" l="1"/>
  <c r="BB4" i="9" s="1"/>
  <c r="BA5" i="9"/>
  <c r="BB5" i="9" s="1"/>
  <c r="X5" i="9"/>
  <c r="W5" i="9"/>
  <c r="X6" i="9"/>
  <c r="W6" i="9"/>
  <c r="W4" i="9"/>
  <c r="X4" i="9"/>
  <c r="BB7" i="9" l="1"/>
  <c r="Z4" i="9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D6" i="9" s="1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6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5" i="9" l="1"/>
  <c r="Q4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AO6" i="9" l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<sst xmlns="http://schemas.openxmlformats.org/spreadsheetml/2006/main" count="643" uniqueCount="181">
  <si>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</si>
  <si>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</si>
  <si>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</si>
  <si>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</si>
  <si>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</si>
  <si>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</si>
  <si>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</si>
  <si>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</si>
  <si>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</si>
  <si>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</si>
  <si>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</si>
  <si>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</si>
  <si>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</si>
  <si>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</si>
  <si>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</si>
  <si>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</si>
  <si>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</si>
  <si>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</si>
  <si>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</si>
  <si>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</si>
  <si>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</si>
  <si>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</si>
  <si>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</si>
  <si>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</si>
  <si>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</si>
  <si>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</si>
  <si>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</si>
  <si>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</si>
  <si>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</si>
  <si>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</si>
  <si>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</si>
  <si>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</si>
  <si>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</si>
  <si>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</si>
  <si>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</si>
  <si>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</si>
  <si>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</si>
  <si>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</si>
  <si>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</si>
  <si>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</si>
  <si>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</si>
  <si>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</si>
  <si>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</si>
  <si>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</si>
  <si>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</si>
  <si>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</si>
  <si>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</si>
  <si>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</si>
  <si>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</si>
  <si>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</si>
  <si>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</si>
  <si>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</si>
  <si>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</si>
  <si>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</si>
  <si>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</si>
  <si>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</si>
  <si>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</si>
  <si>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</si>
  <si>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</si>
  <si>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</si>
  <si>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</si>
  <si>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</si>
  <si>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</si>
  <si>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</si>
  <si>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</si>
  <si>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</si>
  <si>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</si>
  <si>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</si>
  <si>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</si>
  <si>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</si>
  <si>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</si>
  <si>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</si>
  <si>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</si>
  <si>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</si>
  <si>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</si>
  <si>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</si>
  <si>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</si>
  <si>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</si>
  <si>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</si>
  <si>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</si>
  <si>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</si>
  <si>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</si>
  <si>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</si>
  <si>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</si>
  <si>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</si>
  <si>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</si>
  <si>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</si>
  <si>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</si>
  <si>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</si>
  <si>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</si>
  <si>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</si>
  <si>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</si>
  <si>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</si>
  <si>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</si>
  <si>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</si>
  <si>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</si>
  <si>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</si>
  <si>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</si>
  <si>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</si>
  <si>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</si>
  <si>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</si>
  <si>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</si>
  <si>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</si>
  <si>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</si>
  <si>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</si>
  <si>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</si>
  <si>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</si>
  <si>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</si>
  <si>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</si>
  <si>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</si>
  <si>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</si>
  <si>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</si>
  <si>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</si>
  <si>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</si>
  <si>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</si>
  <si>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</si>
  <si>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</si>
  <si>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</si>
  <si>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</si>
  <si>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</si>
  <si>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</si>
  <si>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</si>
  <si>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</si>
  <si>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</si>
  <si>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</si>
  <si>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</si>
  <si>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</si>
  <si>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</si>
  <si>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</si>
  <si>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</si>
  <si>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</si>
  <si>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</si>
  <si>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</si>
  <si>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</si>
  <si>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</si>
  <si>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</si>
  <si>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</si>
  <si>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</si>
  <si>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</si>
  <si>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</si>
  <si>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</si>
  <si>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</si>
  <si>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</si>
  <si>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</si>
  <si>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</si>
  <si>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</si>
  <si>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</si>
  <si>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</si>
  <si>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</si>
  <si>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</si>
  <si>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</si>
  <si>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</si>
  <si>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</si>
  <si>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</si>
  <si>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</si>
  <si>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</si>
  <si>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</si>
  <si>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</si>
  <si>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</si>
  <si>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</si>
  <si>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</si>
  <si>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</si>
  <si>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</si>
  <si>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</si>
  <si>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</si>
  <si>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</si>
  <si>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</si>
  <si>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</si>
  <si>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</si>
  <si>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</si>
  <si>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</si>
  <si>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</si>
  <si>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$ Instalação</t>
  </si>
  <si>
    <t>peso umb</t>
  </si>
  <si>
    <t>dias viagem</t>
  </si>
  <si>
    <t>n° emendas</t>
  </si>
  <si>
    <t>dias emenda</t>
  </si>
  <si>
    <t>dias spool</t>
  </si>
  <si>
    <t>dias instalação</t>
  </si>
  <si>
    <t>26/45</t>
  </si>
  <si>
    <t>20/35kV EPR 150mm2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</si>
</sst>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10" fillId="7" borderId="0" xfId="0" applyFont="1" applyFill="1" applyAlignment="1">
      <alignment horizontal="center"/>
    </xf>
    <xf numFmtId="1" fontId="0" fillId="0" borderId="0" xfId="4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419100</xdr:colOff>
      <xdr:row>5</xdr:row>
      <xdr:rowOff>104775</xdr:rowOff>
    </xdr:from>
    <xdr:to>
      <xdr:col>48</xdr:col>
      <xdr:colOff>28395</xdr:colOff>
      <xdr:row>5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3</xdr:row>
      <xdr:rowOff>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7EA8E332-4DCC-4776-AEE2-A181BC11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7" name="Imagem 26">
          <a:extLst>
            <a:ext uri="{FF2B5EF4-FFF2-40B4-BE49-F238E27FC236}">
              <a16:creationId xmlns:a16="http://schemas.microsoft.com/office/drawing/2014/main" id="{BE66B8ED-CD3A-4BD6-A1E1-9BAF6B10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8" name="Imagem 27">
          <a:extLst>
            <a:ext uri="{FF2B5EF4-FFF2-40B4-BE49-F238E27FC236}">
              <a16:creationId xmlns:a16="http://schemas.microsoft.com/office/drawing/2014/main" id="{FE9651E1-B095-4215-9EFD-F1DEB727A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9" name="Imagem 28">
          <a:extLst>
            <a:ext uri="{FF2B5EF4-FFF2-40B4-BE49-F238E27FC236}">
              <a16:creationId xmlns:a16="http://schemas.microsoft.com/office/drawing/2014/main" id="{152FB0C7-4063-4C02-815F-C281E8C53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69AD57A2-169D-47D7-83B7-A747F915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1" name="Imagem 30">
          <a:extLst>
            <a:ext uri="{FF2B5EF4-FFF2-40B4-BE49-F238E27FC236}">
              <a16:creationId xmlns:a16="http://schemas.microsoft.com/office/drawing/2014/main" id="{719CDD5E-07BE-4A94-80AB-1AD73559D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2" name="Imagem 31">
          <a:extLst>
            <a:ext uri="{FF2B5EF4-FFF2-40B4-BE49-F238E27FC236}">
              <a16:creationId xmlns:a16="http://schemas.microsoft.com/office/drawing/2014/main" id="{6BB73A58-66DE-4060-A406-C34335363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3" name="Imagem 32">
          <a:extLst>
            <a:ext uri="{FF2B5EF4-FFF2-40B4-BE49-F238E27FC236}">
              <a16:creationId xmlns:a16="http://schemas.microsoft.com/office/drawing/2014/main" id="{7AB2CEB8-7D0E-4948-8447-06C52F7B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1A00B28B-01E3-4EE4-868D-ACCE2D9E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5" name="Imagem 34">
          <a:extLst>
            <a:ext uri="{FF2B5EF4-FFF2-40B4-BE49-F238E27FC236}">
              <a16:creationId xmlns:a16="http://schemas.microsoft.com/office/drawing/2014/main" id="{A8ABB633-8772-4FA7-8F37-05CAAA57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6" name="Imagem 35">
          <a:extLst>
            <a:ext uri="{FF2B5EF4-FFF2-40B4-BE49-F238E27FC236}">
              <a16:creationId xmlns:a16="http://schemas.microsoft.com/office/drawing/2014/main" id="{D3AD51AA-5B93-4FDE-B7AC-06873C82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0651816B-4608-4F7D-A5AE-CA47A42BE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9C8580A1-0F82-4F06-B744-18C00828F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4F318AD1-C9CD-4D49-BE03-D1FC2329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0" name="Imagem 39">
          <a:extLst>
            <a:ext uri="{FF2B5EF4-FFF2-40B4-BE49-F238E27FC236}">
              <a16:creationId xmlns:a16="http://schemas.microsoft.com/office/drawing/2014/main" id="{9BA25A86-DC96-458C-91DF-9C7597E1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1" name="Imagem 40">
          <a:extLst>
            <a:ext uri="{FF2B5EF4-FFF2-40B4-BE49-F238E27FC236}">
              <a16:creationId xmlns:a16="http://schemas.microsoft.com/office/drawing/2014/main" id="{8D68FDBF-A6E0-4415-ABD9-78368D592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C0B16E1D-2E13-47C9-9A5D-3BBF96619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3" name="Imagem 42">
          <a:extLst>
            <a:ext uri="{FF2B5EF4-FFF2-40B4-BE49-F238E27FC236}">
              <a16:creationId xmlns:a16="http://schemas.microsoft.com/office/drawing/2014/main" id="{6870A630-7BB0-459F-B84E-A9FCB6362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4" name="Imagem 43">
          <a:extLst>
            <a:ext uri="{FF2B5EF4-FFF2-40B4-BE49-F238E27FC236}">
              <a16:creationId xmlns:a16="http://schemas.microsoft.com/office/drawing/2014/main" id="{1B32703A-EC3A-4AAE-BC15-C529EA1A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60609499-B067-4627-BC4A-B1B10ACB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CF3281BA-5F45-4AE5-8783-1562EB46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AE7E14AD-ACBD-4794-92C5-C357F59A7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C9C6873E-7727-44FA-9722-EDB5948DD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72A4C269-F8D0-4166-98F7-77949748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C97CBD0F-88EF-4A41-B930-8D6E5A17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1" name="Imagem 50">
          <a:extLst>
            <a:ext uri="{FF2B5EF4-FFF2-40B4-BE49-F238E27FC236}">
              <a16:creationId xmlns:a16="http://schemas.microsoft.com/office/drawing/2014/main" id="{CE2DFEEF-DE6B-4AF6-ADF9-E7B88F19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52" name="Imagem 51">
          <a:extLst>
            <a:ext uri="{FF2B5EF4-FFF2-40B4-BE49-F238E27FC236}">
              <a16:creationId xmlns:a16="http://schemas.microsoft.com/office/drawing/2014/main" id="{AF71ED7F-AFDA-454F-A1E7-5271C2A2F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5229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53" name="Imagem 52">
          <a:extLst>
            <a:ext uri="{FF2B5EF4-FFF2-40B4-BE49-F238E27FC236}">
              <a16:creationId xmlns:a16="http://schemas.microsoft.com/office/drawing/2014/main" id="{4D335947-DD0D-4B20-A6C6-7EDED9B7A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6287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54" name="Imagem 53">
          <a:extLst>
            <a:ext uri="{FF2B5EF4-FFF2-40B4-BE49-F238E27FC236}">
              <a16:creationId xmlns:a16="http://schemas.microsoft.com/office/drawing/2014/main" id="{8C955B03-6DFA-4A1C-B358-38CBD2AD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8942" y="40735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55" name="Imagem 54">
          <a:extLst>
            <a:ext uri="{FF2B5EF4-FFF2-40B4-BE49-F238E27FC236}">
              <a16:creationId xmlns:a16="http://schemas.microsoft.com/office/drawing/2014/main" id="{84C744B3-2072-4B03-8674-46A4610E4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4191" y="32408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57" name="Imagem 56">
          <a:extLst>
            <a:ext uri="{FF2B5EF4-FFF2-40B4-BE49-F238E27FC236}">
              <a16:creationId xmlns:a16="http://schemas.microsoft.com/office/drawing/2014/main" id="{0E92350C-D22E-4531-A464-443FFD52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1579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58" name="Imagem 57">
          <a:extLst>
            <a:ext uri="{FF2B5EF4-FFF2-40B4-BE49-F238E27FC236}">
              <a16:creationId xmlns:a16="http://schemas.microsoft.com/office/drawing/2014/main" id="{A6E45AC1-673C-4174-B2BA-E2008908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08341" y="13853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59" name="Imagem 58">
          <a:extLst>
            <a:ext uri="{FF2B5EF4-FFF2-40B4-BE49-F238E27FC236}">
              <a16:creationId xmlns:a16="http://schemas.microsoft.com/office/drawing/2014/main" id="{9A0E7BC5-613D-4FBE-9B1D-E16DF19E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97758" y="14911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509BB266-3007-4B5B-BADC-2276DCBDB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5342" y="1671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6" name="Imagem 55">
          <a:extLst>
            <a:ext uri="{FF2B5EF4-FFF2-40B4-BE49-F238E27FC236}">
              <a16:creationId xmlns:a16="http://schemas.microsoft.com/office/drawing/2014/main" id="{CAE06DE4-A263-4A09-979D-64054E5C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1" name="Imagem 60">
          <a:extLst>
            <a:ext uri="{FF2B5EF4-FFF2-40B4-BE49-F238E27FC236}">
              <a16:creationId xmlns:a16="http://schemas.microsoft.com/office/drawing/2014/main" id="{A386C280-FAC1-4691-B584-AF2659E7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2" name="Imagem 61">
          <a:extLst>
            <a:ext uri="{FF2B5EF4-FFF2-40B4-BE49-F238E27FC236}">
              <a16:creationId xmlns:a16="http://schemas.microsoft.com/office/drawing/2014/main" id="{51E95ABA-1731-42F5-91E1-3C24F577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3" name="Imagem 62">
          <a:extLst>
            <a:ext uri="{FF2B5EF4-FFF2-40B4-BE49-F238E27FC236}">
              <a16:creationId xmlns:a16="http://schemas.microsoft.com/office/drawing/2014/main" id="{C1788455-0E3A-4008-B60F-9322D3DBF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4" name="Imagem 63">
          <a:extLst>
            <a:ext uri="{FF2B5EF4-FFF2-40B4-BE49-F238E27FC236}">
              <a16:creationId xmlns:a16="http://schemas.microsoft.com/office/drawing/2014/main" id="{E2EE4D1C-995E-472A-95C9-CAAA96E64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5" name="Imagem 64">
          <a:extLst>
            <a:ext uri="{FF2B5EF4-FFF2-40B4-BE49-F238E27FC236}">
              <a16:creationId xmlns:a16="http://schemas.microsoft.com/office/drawing/2014/main" id="{BAF0C5C5-7A1F-4954-9231-1313E2FD2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6" name="Imagem 65">
          <a:extLst>
            <a:ext uri="{FF2B5EF4-FFF2-40B4-BE49-F238E27FC236}">
              <a16:creationId xmlns:a16="http://schemas.microsoft.com/office/drawing/2014/main" id="{97F0C0BB-2EBD-47E9-8596-559CA473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7" name="Imagem 66">
          <a:extLst>
            <a:ext uri="{FF2B5EF4-FFF2-40B4-BE49-F238E27FC236}">
              <a16:creationId xmlns:a16="http://schemas.microsoft.com/office/drawing/2014/main" id="{0A88DA64-CD5B-4AEE-9884-FAB21046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8" name="Imagem 67">
          <a:extLst>
            <a:ext uri="{FF2B5EF4-FFF2-40B4-BE49-F238E27FC236}">
              <a16:creationId xmlns:a16="http://schemas.microsoft.com/office/drawing/2014/main" id="{31BD4F0D-7E24-4665-B630-87B31F71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9" name="Imagem 68">
          <a:extLst>
            <a:ext uri="{FF2B5EF4-FFF2-40B4-BE49-F238E27FC236}">
              <a16:creationId xmlns:a16="http://schemas.microsoft.com/office/drawing/2014/main" id="{5673314C-3A7C-49BB-B2C4-71572158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0" name="Imagem 69">
          <a:extLst>
            <a:ext uri="{FF2B5EF4-FFF2-40B4-BE49-F238E27FC236}">
              <a16:creationId xmlns:a16="http://schemas.microsoft.com/office/drawing/2014/main" id="{F845E871-B638-46E5-B0D3-F1316C20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1" name="Imagem 70">
          <a:extLst>
            <a:ext uri="{FF2B5EF4-FFF2-40B4-BE49-F238E27FC236}">
              <a16:creationId xmlns:a16="http://schemas.microsoft.com/office/drawing/2014/main" id="{23FC98B2-66BC-4099-8E21-503C13907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2" name="Imagem 71">
          <a:extLst>
            <a:ext uri="{FF2B5EF4-FFF2-40B4-BE49-F238E27FC236}">
              <a16:creationId xmlns:a16="http://schemas.microsoft.com/office/drawing/2014/main" id="{922A8120-F6CF-4395-900F-BD13B259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3" name="Imagem 72">
          <a:extLst>
            <a:ext uri="{FF2B5EF4-FFF2-40B4-BE49-F238E27FC236}">
              <a16:creationId xmlns:a16="http://schemas.microsoft.com/office/drawing/2014/main" id="{CEDBED05-3B15-4356-97A5-12A81F6C2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74" name="Imagem 73">
          <a:extLst>
            <a:ext uri="{FF2B5EF4-FFF2-40B4-BE49-F238E27FC236}">
              <a16:creationId xmlns:a16="http://schemas.microsoft.com/office/drawing/2014/main" id="{6740ACD7-1470-4456-8EEE-A66A6792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5" name="Imagem 74">
          <a:extLst>
            <a:ext uri="{FF2B5EF4-FFF2-40B4-BE49-F238E27FC236}">
              <a16:creationId xmlns:a16="http://schemas.microsoft.com/office/drawing/2014/main" id="{F3C0CB3F-3593-4022-9DDC-C6A38F054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6" name="Imagem 75">
          <a:extLst>
            <a:ext uri="{FF2B5EF4-FFF2-40B4-BE49-F238E27FC236}">
              <a16:creationId xmlns:a16="http://schemas.microsoft.com/office/drawing/2014/main" id="{17E6598B-DF91-4E4F-896E-BBA57D79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7" name="Imagem 76">
          <a:extLst>
            <a:ext uri="{FF2B5EF4-FFF2-40B4-BE49-F238E27FC236}">
              <a16:creationId xmlns:a16="http://schemas.microsoft.com/office/drawing/2014/main" id="{4FA049A5-6096-44D3-AA18-0E88A0C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78" name="Imagem 77">
          <a:extLst>
            <a:ext uri="{FF2B5EF4-FFF2-40B4-BE49-F238E27FC236}">
              <a16:creationId xmlns:a16="http://schemas.microsoft.com/office/drawing/2014/main" id="{1D57041D-8EDB-4C02-8ACE-1285B98E5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9" name="Imagem 78">
          <a:extLst>
            <a:ext uri="{FF2B5EF4-FFF2-40B4-BE49-F238E27FC236}">
              <a16:creationId xmlns:a16="http://schemas.microsoft.com/office/drawing/2014/main" id="{2123CA5D-CC91-4B3C-93E1-6EA630806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80" name="Imagem 79">
          <a:extLst>
            <a:ext uri="{FF2B5EF4-FFF2-40B4-BE49-F238E27FC236}">
              <a16:creationId xmlns:a16="http://schemas.microsoft.com/office/drawing/2014/main" id="{A3494AFD-62BB-482E-B318-4AFFD0CB3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81" name="Imagem 80">
          <a:extLst>
            <a:ext uri="{FF2B5EF4-FFF2-40B4-BE49-F238E27FC236}">
              <a16:creationId xmlns:a16="http://schemas.microsoft.com/office/drawing/2014/main" id="{29490460-1B1A-4495-99CF-A6AF7015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82" name="Imagem 81">
          <a:extLst>
            <a:ext uri="{FF2B5EF4-FFF2-40B4-BE49-F238E27FC236}">
              <a16:creationId xmlns:a16="http://schemas.microsoft.com/office/drawing/2014/main" id="{FCCF105B-C08A-463A-B5D9-5F101CE6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83" name="Imagem 82">
          <a:extLst>
            <a:ext uri="{FF2B5EF4-FFF2-40B4-BE49-F238E27FC236}">
              <a16:creationId xmlns:a16="http://schemas.microsoft.com/office/drawing/2014/main" id="{2094698B-E751-402E-B7FE-C7EDE69C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84" name="Imagem 83">
          <a:extLst>
            <a:ext uri="{FF2B5EF4-FFF2-40B4-BE49-F238E27FC236}">
              <a16:creationId xmlns:a16="http://schemas.microsoft.com/office/drawing/2014/main" id="{21187149-D40B-4AF6-8734-BBA108B5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85" name="Imagem 84">
          <a:extLst>
            <a:ext uri="{FF2B5EF4-FFF2-40B4-BE49-F238E27FC236}">
              <a16:creationId xmlns:a16="http://schemas.microsoft.com/office/drawing/2014/main" id="{A81AC309-B16A-4C35-B8C4-7D5E37352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86" name="Imagem 85">
          <a:extLst>
            <a:ext uri="{FF2B5EF4-FFF2-40B4-BE49-F238E27FC236}">
              <a16:creationId xmlns:a16="http://schemas.microsoft.com/office/drawing/2014/main" id="{C123BF2B-CDFB-4F6D-A0B3-3A3AA682E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87" name="Imagem 86">
          <a:extLst>
            <a:ext uri="{FF2B5EF4-FFF2-40B4-BE49-F238E27FC236}">
              <a16:creationId xmlns:a16="http://schemas.microsoft.com/office/drawing/2014/main" id="{D289EC83-950A-4EB9-8C5E-01BAF0999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88" name="Imagem 87">
          <a:extLst>
            <a:ext uri="{FF2B5EF4-FFF2-40B4-BE49-F238E27FC236}">
              <a16:creationId xmlns:a16="http://schemas.microsoft.com/office/drawing/2014/main" id="{B7605361-C0F5-4D12-A59B-F81EE3FCD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8</xdr:row>
      <xdr:rowOff>152400</xdr:rowOff>
    </xdr:from>
    <xdr:to>
      <xdr:col>47</xdr:col>
      <xdr:colOff>716339</xdr:colOff>
      <xdr:row>8</xdr:row>
      <xdr:rowOff>152400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0928EF85-115A-41C0-8965-FD5E731E4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6859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10</xdr:row>
      <xdr:rowOff>104775</xdr:rowOff>
    </xdr:from>
    <xdr:to>
      <xdr:col>48</xdr:col>
      <xdr:colOff>28395</xdr:colOff>
      <xdr:row>10</xdr:row>
      <xdr:rowOff>104775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010060FB-DADE-4A1B-8AC3-872B922D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0193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152400</xdr:rowOff>
    </xdr:from>
    <xdr:ext cx="1219048" cy="0"/>
    <xdr:pic>
      <xdr:nvPicPr>
        <xdr:cNvPr id="91" name="Imagem 90">
          <a:extLst>
            <a:ext uri="{FF2B5EF4-FFF2-40B4-BE49-F238E27FC236}">
              <a16:creationId xmlns:a16="http://schemas.microsoft.com/office/drawing/2014/main" id="{787318B3-117F-4E3A-948A-D6932E676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2" name="Imagem 91">
          <a:extLst>
            <a:ext uri="{FF2B5EF4-FFF2-40B4-BE49-F238E27FC236}">
              <a16:creationId xmlns:a16="http://schemas.microsoft.com/office/drawing/2014/main" id="{0F0A9949-2CB8-4BD5-8D49-AABE1436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93" name="Imagem 92">
          <a:extLst>
            <a:ext uri="{FF2B5EF4-FFF2-40B4-BE49-F238E27FC236}">
              <a16:creationId xmlns:a16="http://schemas.microsoft.com/office/drawing/2014/main" id="{09BF8D05-374D-4D99-90D6-63CA7B712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94" name="Imagem 93">
          <a:extLst>
            <a:ext uri="{FF2B5EF4-FFF2-40B4-BE49-F238E27FC236}">
              <a16:creationId xmlns:a16="http://schemas.microsoft.com/office/drawing/2014/main" id="{D724D66E-245F-4FD0-83D3-BE4B6983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5" name="Imagem 94">
          <a:extLst>
            <a:ext uri="{FF2B5EF4-FFF2-40B4-BE49-F238E27FC236}">
              <a16:creationId xmlns:a16="http://schemas.microsoft.com/office/drawing/2014/main" id="{EA4013EE-9819-4FC2-A006-652200E0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6" name="Imagem 95">
          <a:extLst>
            <a:ext uri="{FF2B5EF4-FFF2-40B4-BE49-F238E27FC236}">
              <a16:creationId xmlns:a16="http://schemas.microsoft.com/office/drawing/2014/main" id="{ACBA0172-7F44-434B-B21D-4698B097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97" name="Imagem 96">
          <a:extLst>
            <a:ext uri="{FF2B5EF4-FFF2-40B4-BE49-F238E27FC236}">
              <a16:creationId xmlns:a16="http://schemas.microsoft.com/office/drawing/2014/main" id="{9E98ECE3-502E-4380-AB19-EB469A79C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98" name="Imagem 97">
          <a:extLst>
            <a:ext uri="{FF2B5EF4-FFF2-40B4-BE49-F238E27FC236}">
              <a16:creationId xmlns:a16="http://schemas.microsoft.com/office/drawing/2014/main" id="{459493FD-EA6F-4DD1-A048-CDCE6C81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9" name="Imagem 98">
          <a:extLst>
            <a:ext uri="{FF2B5EF4-FFF2-40B4-BE49-F238E27FC236}">
              <a16:creationId xmlns:a16="http://schemas.microsoft.com/office/drawing/2014/main" id="{9022791B-7B73-4294-9B73-5D2A4AA4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0" name="Imagem 99">
          <a:extLst>
            <a:ext uri="{FF2B5EF4-FFF2-40B4-BE49-F238E27FC236}">
              <a16:creationId xmlns:a16="http://schemas.microsoft.com/office/drawing/2014/main" id="{1F68A9C7-8F3A-4AAF-BA8A-21490DE8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101" name="Imagem 100">
          <a:extLst>
            <a:ext uri="{FF2B5EF4-FFF2-40B4-BE49-F238E27FC236}">
              <a16:creationId xmlns:a16="http://schemas.microsoft.com/office/drawing/2014/main" id="{DC357289-5244-4125-9B30-EB26B1F22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102" name="Imagem 101">
          <a:extLst>
            <a:ext uri="{FF2B5EF4-FFF2-40B4-BE49-F238E27FC236}">
              <a16:creationId xmlns:a16="http://schemas.microsoft.com/office/drawing/2014/main" id="{BB63B1A6-94A1-4A10-A682-56FB7D3D4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3" name="Imagem 102">
          <a:extLst>
            <a:ext uri="{FF2B5EF4-FFF2-40B4-BE49-F238E27FC236}">
              <a16:creationId xmlns:a16="http://schemas.microsoft.com/office/drawing/2014/main" id="{133A52D1-F892-4EDF-96E5-8071D5FF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4" name="Imagem 103">
          <a:extLst>
            <a:ext uri="{FF2B5EF4-FFF2-40B4-BE49-F238E27FC236}">
              <a16:creationId xmlns:a16="http://schemas.microsoft.com/office/drawing/2014/main" id="{2DF7733E-99BF-43CA-95A5-23629A2CF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7</xdr:row>
      <xdr:rowOff>152400</xdr:rowOff>
    </xdr:from>
    <xdr:to>
      <xdr:col>48</xdr:col>
      <xdr:colOff>421064</xdr:colOff>
      <xdr:row>7</xdr:row>
      <xdr:rowOff>152400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C088FBF6-0014-4D1B-9E60-1B880482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859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9</xdr:row>
      <xdr:rowOff>104775</xdr:rowOff>
    </xdr:from>
    <xdr:to>
      <xdr:col>49</xdr:col>
      <xdr:colOff>47444</xdr:colOff>
      <xdr:row>9</xdr:row>
      <xdr:rowOff>104775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E45438CC-A2ED-4906-9484-F1BE497C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828800"/>
          <a:ext cx="2295344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152400</xdr:rowOff>
    </xdr:from>
    <xdr:ext cx="1219048" cy="0"/>
    <xdr:pic>
      <xdr:nvPicPr>
        <xdr:cNvPr id="107" name="Imagem 106">
          <a:extLst>
            <a:ext uri="{FF2B5EF4-FFF2-40B4-BE49-F238E27FC236}">
              <a16:creationId xmlns:a16="http://schemas.microsoft.com/office/drawing/2014/main" id="{1E15589E-3DDC-4B46-B00C-34EE82FD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304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08" name="Imagem 107">
          <a:extLst>
            <a:ext uri="{FF2B5EF4-FFF2-40B4-BE49-F238E27FC236}">
              <a16:creationId xmlns:a16="http://schemas.microsoft.com/office/drawing/2014/main" id="{BF7F3E6D-8C40-43F7-ADC5-86E68D7CB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09" name="Imagem 108">
          <a:extLst>
            <a:ext uri="{FF2B5EF4-FFF2-40B4-BE49-F238E27FC236}">
              <a16:creationId xmlns:a16="http://schemas.microsoft.com/office/drawing/2014/main" id="{79114B2A-1735-4901-85D0-5BC479FC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0" name="Imagem 109">
          <a:extLst>
            <a:ext uri="{FF2B5EF4-FFF2-40B4-BE49-F238E27FC236}">
              <a16:creationId xmlns:a16="http://schemas.microsoft.com/office/drawing/2014/main" id="{EA7C9DDC-5A2C-4BA9-AEA8-10310565B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1" name="Imagem 110">
          <a:extLst>
            <a:ext uri="{FF2B5EF4-FFF2-40B4-BE49-F238E27FC236}">
              <a16:creationId xmlns:a16="http://schemas.microsoft.com/office/drawing/2014/main" id="{A246D4B6-26AC-4DE0-B276-B2A0AF43E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2" name="Imagem 111">
          <a:extLst>
            <a:ext uri="{FF2B5EF4-FFF2-40B4-BE49-F238E27FC236}">
              <a16:creationId xmlns:a16="http://schemas.microsoft.com/office/drawing/2014/main" id="{0E8F3DA0-7D86-4663-A189-6894F4915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13" name="Imagem 112">
          <a:extLst>
            <a:ext uri="{FF2B5EF4-FFF2-40B4-BE49-F238E27FC236}">
              <a16:creationId xmlns:a16="http://schemas.microsoft.com/office/drawing/2014/main" id="{97A00620-3E5F-4A0B-BE5E-8A2C44D7A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4" name="Imagem 113">
          <a:extLst>
            <a:ext uri="{FF2B5EF4-FFF2-40B4-BE49-F238E27FC236}">
              <a16:creationId xmlns:a16="http://schemas.microsoft.com/office/drawing/2014/main" id="{26DBCE07-D8A1-4800-BA54-9035F40A1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5" name="Imagem 114">
          <a:extLst>
            <a:ext uri="{FF2B5EF4-FFF2-40B4-BE49-F238E27FC236}">
              <a16:creationId xmlns:a16="http://schemas.microsoft.com/office/drawing/2014/main" id="{67C767E5-AB8F-4EAC-9BB6-6D20A4B3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6" name="Imagem 115">
          <a:extLst>
            <a:ext uri="{FF2B5EF4-FFF2-40B4-BE49-F238E27FC236}">
              <a16:creationId xmlns:a16="http://schemas.microsoft.com/office/drawing/2014/main" id="{F04A9891-F4EA-4477-9BF3-3AA19E8E5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17" name="Imagem 116">
          <a:extLst>
            <a:ext uri="{FF2B5EF4-FFF2-40B4-BE49-F238E27FC236}">
              <a16:creationId xmlns:a16="http://schemas.microsoft.com/office/drawing/2014/main" id="{1BD8458F-B1D4-46FB-BB95-6E72C6CE3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8" name="Imagem 117">
          <a:extLst>
            <a:ext uri="{FF2B5EF4-FFF2-40B4-BE49-F238E27FC236}">
              <a16:creationId xmlns:a16="http://schemas.microsoft.com/office/drawing/2014/main" id="{667BE278-9088-4110-8D69-05B175DF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9" name="Imagem 118">
          <a:extLst>
            <a:ext uri="{FF2B5EF4-FFF2-40B4-BE49-F238E27FC236}">
              <a16:creationId xmlns:a16="http://schemas.microsoft.com/office/drawing/2014/main" id="{B958BB07-EE2C-485C-AFBC-4DA2FE007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20" name="Imagem 119">
          <a:extLst>
            <a:ext uri="{FF2B5EF4-FFF2-40B4-BE49-F238E27FC236}">
              <a16:creationId xmlns:a16="http://schemas.microsoft.com/office/drawing/2014/main" id="{AE4FA010-669B-4445-A4A9-7C7F07610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52</xdr:col>
      <xdr:colOff>240089</xdr:colOff>
      <xdr:row>5</xdr:row>
      <xdr:rowOff>152400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7139F0AF-8492-4CDB-8F58-4E58A243F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114425"/>
          <a:ext cx="4907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52</xdr:col>
      <xdr:colOff>523695</xdr:colOff>
      <xdr:row>7</xdr:row>
      <xdr:rowOff>104775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EB26035A-C73A-4D17-B0A0-1D5B1354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447800"/>
          <a:ext cx="5181420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123" name="Imagem 122">
          <a:extLst>
            <a:ext uri="{FF2B5EF4-FFF2-40B4-BE49-F238E27FC236}">
              <a16:creationId xmlns:a16="http://schemas.microsoft.com/office/drawing/2014/main" id="{2FC26EEB-C153-4BB9-AA82-E1E5D825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4" name="Imagem 123">
          <a:extLst>
            <a:ext uri="{FF2B5EF4-FFF2-40B4-BE49-F238E27FC236}">
              <a16:creationId xmlns:a16="http://schemas.microsoft.com/office/drawing/2014/main" id="{C7FB545A-F3E5-4ED3-80CF-ABB014CF9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25" name="Imagem 124">
          <a:extLst>
            <a:ext uri="{FF2B5EF4-FFF2-40B4-BE49-F238E27FC236}">
              <a16:creationId xmlns:a16="http://schemas.microsoft.com/office/drawing/2014/main" id="{0AE86B42-BF81-49C4-8C7F-DECEC560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26" name="Imagem 125">
          <a:extLst>
            <a:ext uri="{FF2B5EF4-FFF2-40B4-BE49-F238E27FC236}">
              <a16:creationId xmlns:a16="http://schemas.microsoft.com/office/drawing/2014/main" id="{68E90060-EA65-427D-9A28-02B19364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7" name="Imagem 126">
          <a:extLst>
            <a:ext uri="{FF2B5EF4-FFF2-40B4-BE49-F238E27FC236}">
              <a16:creationId xmlns:a16="http://schemas.microsoft.com/office/drawing/2014/main" id="{EFA8E589-7BE6-4D23-95DB-82B2D94CF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8" name="Imagem 127">
          <a:extLst>
            <a:ext uri="{FF2B5EF4-FFF2-40B4-BE49-F238E27FC236}">
              <a16:creationId xmlns:a16="http://schemas.microsoft.com/office/drawing/2014/main" id="{BBB138D0-5639-4991-9E5B-D410119A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29" name="Imagem 128">
          <a:extLst>
            <a:ext uri="{FF2B5EF4-FFF2-40B4-BE49-F238E27FC236}">
              <a16:creationId xmlns:a16="http://schemas.microsoft.com/office/drawing/2014/main" id="{978F743C-1FE2-4D17-9554-B80D9933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30" name="Imagem 129">
          <a:extLst>
            <a:ext uri="{FF2B5EF4-FFF2-40B4-BE49-F238E27FC236}">
              <a16:creationId xmlns:a16="http://schemas.microsoft.com/office/drawing/2014/main" id="{45A16953-2863-41BB-ABDE-2E7DBAF54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1" name="Imagem 130">
          <a:extLst>
            <a:ext uri="{FF2B5EF4-FFF2-40B4-BE49-F238E27FC236}">
              <a16:creationId xmlns:a16="http://schemas.microsoft.com/office/drawing/2014/main" id="{D1CAC0A6-CA78-473A-9B66-EE206C3B9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2" name="Imagem 131">
          <a:extLst>
            <a:ext uri="{FF2B5EF4-FFF2-40B4-BE49-F238E27FC236}">
              <a16:creationId xmlns:a16="http://schemas.microsoft.com/office/drawing/2014/main" id="{C4BCEC82-4F4B-43FE-BA4F-6E04D4F70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33" name="Imagem 132">
          <a:extLst>
            <a:ext uri="{FF2B5EF4-FFF2-40B4-BE49-F238E27FC236}">
              <a16:creationId xmlns:a16="http://schemas.microsoft.com/office/drawing/2014/main" id="{D256F5F7-EDA8-4200-8813-DCEE3BBED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34" name="Imagem 133">
          <a:extLst>
            <a:ext uri="{FF2B5EF4-FFF2-40B4-BE49-F238E27FC236}">
              <a16:creationId xmlns:a16="http://schemas.microsoft.com/office/drawing/2014/main" id="{8E07B45F-C2A3-43F3-A7FB-6F82A97A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5" name="Imagem 134">
          <a:extLst>
            <a:ext uri="{FF2B5EF4-FFF2-40B4-BE49-F238E27FC236}">
              <a16:creationId xmlns:a16="http://schemas.microsoft.com/office/drawing/2014/main" id="{0CF2E8D6-605E-4AC0-AF4A-DF10BB2C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6" name="Imagem 135">
          <a:extLst>
            <a:ext uri="{FF2B5EF4-FFF2-40B4-BE49-F238E27FC236}">
              <a16:creationId xmlns:a16="http://schemas.microsoft.com/office/drawing/2014/main" id="{0F0E9F25-3754-4B76-812D-B77A8D74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54</xdr:col>
      <xdr:colOff>354389</xdr:colOff>
      <xdr:row>4</xdr:row>
      <xdr:rowOff>152400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54235263-053F-488F-8457-3F926050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7040939" cy="0"/>
        </a:xfrm>
        <a:prstGeom prst="rect">
          <a:avLst/>
        </a:prstGeom>
      </xdr:spPr>
    </xdr:pic>
    <xdr:clientData/>
  </xdr:two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138" name="Imagem 137">
          <a:extLst>
            <a:ext uri="{FF2B5EF4-FFF2-40B4-BE49-F238E27FC236}">
              <a16:creationId xmlns:a16="http://schemas.microsoft.com/office/drawing/2014/main" id="{6CB1F343-40C6-4C36-8679-3B15A16A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4567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139" name="Imagem 138">
          <a:extLst>
            <a:ext uri="{FF2B5EF4-FFF2-40B4-BE49-F238E27FC236}">
              <a16:creationId xmlns:a16="http://schemas.microsoft.com/office/drawing/2014/main" id="{6DD76A3B-0EEF-432D-89A8-DE99E86B0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7441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140" name="Imagem 139">
          <a:extLst>
            <a:ext uri="{FF2B5EF4-FFF2-40B4-BE49-F238E27FC236}">
              <a16:creationId xmlns:a16="http://schemas.microsoft.com/office/drawing/2014/main" id="{FCD89A94-0639-4461-8168-4389011A9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7333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141" name="Imagem 140">
          <a:extLst>
            <a:ext uri="{FF2B5EF4-FFF2-40B4-BE49-F238E27FC236}">
              <a16:creationId xmlns:a16="http://schemas.microsoft.com/office/drawing/2014/main" id="{5B994B9D-97EC-4209-8906-A6519CF8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2442" y="2052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2" name="Imagem 141">
          <a:extLst>
            <a:ext uri="{FF2B5EF4-FFF2-40B4-BE49-F238E27FC236}">
              <a16:creationId xmlns:a16="http://schemas.microsoft.com/office/drawing/2014/main" id="{B53C90D9-1807-4CB0-B49E-9451A0E1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3" name="Imagem 142">
          <a:extLst>
            <a:ext uri="{FF2B5EF4-FFF2-40B4-BE49-F238E27FC236}">
              <a16:creationId xmlns:a16="http://schemas.microsoft.com/office/drawing/2014/main" id="{EA551F8A-378B-4BBF-883A-96EF8F2F5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4" name="Imagem 143">
          <a:extLst>
            <a:ext uri="{FF2B5EF4-FFF2-40B4-BE49-F238E27FC236}">
              <a16:creationId xmlns:a16="http://schemas.microsoft.com/office/drawing/2014/main" id="{0A6C0086-536B-4154-8F07-CD28C7D5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5" name="Imagem 144">
          <a:extLst>
            <a:ext uri="{FF2B5EF4-FFF2-40B4-BE49-F238E27FC236}">
              <a16:creationId xmlns:a16="http://schemas.microsoft.com/office/drawing/2014/main" id="{E89ECA7C-B4A3-4BB5-8FF4-A59DBC4F9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6" name="Imagem 145">
          <a:extLst>
            <a:ext uri="{FF2B5EF4-FFF2-40B4-BE49-F238E27FC236}">
              <a16:creationId xmlns:a16="http://schemas.microsoft.com/office/drawing/2014/main" id="{B0ED3658-9ADC-4578-90BA-807BC738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7" name="Imagem 146">
          <a:extLst>
            <a:ext uri="{FF2B5EF4-FFF2-40B4-BE49-F238E27FC236}">
              <a16:creationId xmlns:a16="http://schemas.microsoft.com/office/drawing/2014/main" id="{BFE64DF3-C44A-432B-9D72-FCB5593A5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48" name="Imagem 147">
          <a:extLst>
            <a:ext uri="{FF2B5EF4-FFF2-40B4-BE49-F238E27FC236}">
              <a16:creationId xmlns:a16="http://schemas.microsoft.com/office/drawing/2014/main" id="{2539EB5B-4081-460A-B966-95E3D819F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49" name="Imagem 148">
          <a:extLst>
            <a:ext uri="{FF2B5EF4-FFF2-40B4-BE49-F238E27FC236}">
              <a16:creationId xmlns:a16="http://schemas.microsoft.com/office/drawing/2014/main" id="{8B569289-F5CF-4DA4-86BD-AF241D95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50" name="Imagem 149">
          <a:extLst>
            <a:ext uri="{FF2B5EF4-FFF2-40B4-BE49-F238E27FC236}">
              <a16:creationId xmlns:a16="http://schemas.microsoft.com/office/drawing/2014/main" id="{D0B6EAC5-B1A1-4BD0-8269-E9D2E6C7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1" name="Imagem 150">
          <a:extLst>
            <a:ext uri="{FF2B5EF4-FFF2-40B4-BE49-F238E27FC236}">
              <a16:creationId xmlns:a16="http://schemas.microsoft.com/office/drawing/2014/main" id="{95312EDF-2A29-4268-A3F7-FCF0EAF48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2" name="Imagem 151">
          <a:extLst>
            <a:ext uri="{FF2B5EF4-FFF2-40B4-BE49-F238E27FC236}">
              <a16:creationId xmlns:a16="http://schemas.microsoft.com/office/drawing/2014/main" id="{C8AE178C-0C33-443F-8BDB-BBBE9526D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3" name="Imagem 152">
          <a:extLst>
            <a:ext uri="{FF2B5EF4-FFF2-40B4-BE49-F238E27FC236}">
              <a16:creationId xmlns:a16="http://schemas.microsoft.com/office/drawing/2014/main" id="{FB9EE874-E6A5-471C-A7CD-2BC6318F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4" name="Imagem 153">
          <a:extLst>
            <a:ext uri="{FF2B5EF4-FFF2-40B4-BE49-F238E27FC236}">
              <a16:creationId xmlns:a16="http://schemas.microsoft.com/office/drawing/2014/main" id="{3D37B43E-EDE2-4367-9829-F5A86862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5" name="Imagem 154">
          <a:extLst>
            <a:ext uri="{FF2B5EF4-FFF2-40B4-BE49-F238E27FC236}">
              <a16:creationId xmlns:a16="http://schemas.microsoft.com/office/drawing/2014/main" id="{6148ECA8-947C-4CC5-9A8B-CB9AA28E3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6" name="Imagem 155">
          <a:extLst>
            <a:ext uri="{FF2B5EF4-FFF2-40B4-BE49-F238E27FC236}">
              <a16:creationId xmlns:a16="http://schemas.microsoft.com/office/drawing/2014/main" id="{928D0495-5748-48D1-93DB-54CCFB27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7" name="Imagem 156">
          <a:extLst>
            <a:ext uri="{FF2B5EF4-FFF2-40B4-BE49-F238E27FC236}">
              <a16:creationId xmlns:a16="http://schemas.microsoft.com/office/drawing/2014/main" id="{1ABED7FB-E43B-44CD-8313-483FEB4EB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8" name="Imagem 157">
          <a:extLst>
            <a:ext uri="{FF2B5EF4-FFF2-40B4-BE49-F238E27FC236}">
              <a16:creationId xmlns:a16="http://schemas.microsoft.com/office/drawing/2014/main" id="{ADFC85D4-B4CD-4F9B-97D6-3350937F5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9" name="Imagem 158">
          <a:extLst>
            <a:ext uri="{FF2B5EF4-FFF2-40B4-BE49-F238E27FC236}">
              <a16:creationId xmlns:a16="http://schemas.microsoft.com/office/drawing/2014/main" id="{FC8326B2-7C59-43B2-91C3-1A544C6F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2C075C8-AE2F-425B-828F-1FB48181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CF1905-C85F-4EE5-B876-667E3BCA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030E118-C91A-4F0C-A29D-FECECA0D1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zoomScale="90" zoomScaleNormal="90" workbookViewId="0">
      <selection activeCell="G4" sqref="G4:J6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customWidth="1"/>
    <col min="49" max="50" width="12.28515625" customWidth="1"/>
    <col min="51" max="51" width="9.85546875" customWidth="1"/>
    <col min="52" max="52" width="14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3" t="s">
        <v>123</v>
      </c>
      <c r="E1" s="203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3" t="s">
        <v>6</v>
      </c>
      <c r="O1" s="203"/>
      <c r="P1" s="203"/>
      <c r="Q1" s="203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201" t="s">
        <v>171</v>
      </c>
      <c r="AU3" s="201" t="s">
        <v>173</v>
      </c>
      <c r="AV3" s="201" t="s">
        <v>174</v>
      </c>
      <c r="AW3" s="201" t="s">
        <v>175</v>
      </c>
      <c r="AX3" s="201" t="s">
        <v>176</v>
      </c>
      <c r="AY3" s="201" t="s">
        <v>177</v>
      </c>
      <c r="AZ3" s="201" t="s">
        <v>178</v>
      </c>
      <c r="BB3" s="201" t="s">
        <v>172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>$I$6</f>
        <v>29.523961700916306</v>
      </c>
      <c r="H4" s="157">
        <f>$J$6</f>
        <v>5.4674431664766381</v>
      </c>
      <c r="I4">
        <v>30</v>
      </c>
      <c r="J4">
        <v>6</v>
      </c>
      <c r="K4" s="192">
        <f t="shared" ref="K4:K6" si="1">SQRT((G4-I4)^2+(H4-J4)^2)</f>
        <v>0.71430332711455713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0.35358014692170575</v>
      </c>
      <c r="S4" s="161">
        <f>(VLOOKUP(N4,Cabos!$B$13:$F$46,4,0)/O4*K4)*B4/60</f>
        <v>0.12786029555350573</v>
      </c>
      <c r="T4" s="161">
        <f>1/(VLOOKUP(N4,Cabos!$B$13:$F$46,5,0)*60/B4) * O4 * K4</f>
        <v>3.747066710982307E-5</v>
      </c>
      <c r="U4" s="156" t="str">
        <f t="shared" ref="U4:U6" si="3">IMSQRT(IMDIV(COMPLEX(R4,S4),COMPLEX(0,T4)))</f>
        <v>81,9953644820213-57,5409662461408i</v>
      </c>
      <c r="V4" s="156" t="str">
        <f t="shared" ref="V4:V6" si="4">IMSQRT(IMPRODUCT(COMPLEX(R4,S4),COMPLEX(0,T4)))</f>
        <v>0,00215609839138671+0,00307242100705443i</v>
      </c>
      <c r="W4" s="156" t="str">
        <f t="shared" ref="W4:W6" si="5">IMPRODUCT(U4,_xlfn.IMSINH(V4))</f>
        <v>0,353579582252651+0,127860974213355i</v>
      </c>
      <c r="X4" s="156" t="str">
        <f t="shared" ref="X4:X6" si="6">IMDIV(IMSUB(_xlfn.IMCOSH(V4),COMPLEX(1,0)),IMPRODUCT(U4,_xlfn.IMSINH(V4)))</f>
        <v>2,06852979239177E-11+0,0000187353410349537i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37,6592953236947-2,00716780444769i</v>
      </c>
      <c r="AC4" s="163" t="str">
        <f t="shared" ref="AC4:AC6" si="9">IMSUM(Z4,AB4)</f>
        <v>14471,4160250643-2,00716780444769i</v>
      </c>
      <c r="AD4" s="163" t="str">
        <f t="shared" ref="AD4:AD6" si="10">IMSUM(IMPRODUCT(AC4,X4),IMDIV(AB4,W4))</f>
        <v>92,3760812732257-38,8104812924921i</v>
      </c>
      <c r="AE4" s="164">
        <f t="shared" ref="AE4:AE6" si="11">IMABS(AC4)/L4/1000*SQRT(3)</f>
        <v>1.0026091221588849</v>
      </c>
      <c r="AF4" s="165">
        <f t="shared" ref="AF4:AF6" si="12">L4*AE4</f>
        <v>25.06522805397212</v>
      </c>
      <c r="AG4" s="164">
        <f t="shared" ref="AG4:AG6" si="13">IMABS(AD4)/Q4</f>
        <v>0.65190483848814917</v>
      </c>
      <c r="AH4" s="165">
        <f t="shared" ref="AH4:AH6" si="14">AG4*Q4/O4</f>
        <v>100.19777367562854</v>
      </c>
      <c r="AI4" s="166">
        <f t="shared" ref="AI4:AI6" si="15">IMREAL(IMPRODUCT(AC4,IMCONJUGATE(AD4)))*3/1000000</f>
        <v>4.0106718060555897</v>
      </c>
      <c r="AJ4" s="164">
        <f t="shared" ref="AJ4" si="16">IMABS(Z4)/L4/1000*SQRT(3)</f>
        <v>0.99999999999999678</v>
      </c>
      <c r="AK4" s="176">
        <f>SQRT(AI4^2+AS4^2)</f>
        <v>4.350011044777129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2.6679515138974264E-3</v>
      </c>
      <c r="AQ4" s="157">
        <f>AF4*AH4*SQRT(3)*O4/1000</f>
        <v>4.3500110447771165</v>
      </c>
      <c r="AR4" s="157">
        <f>AL4*AN4*SQRT(3)/1000</f>
        <v>4.3478260869565064</v>
      </c>
      <c r="AS4" s="176">
        <f>IMAGINARY(IMPRODUCT(AC4,IMCONJUGATE(AD4)))*3/1000000</f>
        <v>1.6843716198611878</v>
      </c>
      <c r="AT4" s="196">
        <f>VLOOKUP(N4,Cabos!$B$9:$I$46,6,0)*K4*O4</f>
        <v>212.12808765986424</v>
      </c>
      <c r="AU4" s="202">
        <f>VLOOKUP(N4,Cabos!$B$9:$I$46,7,0)*K4</f>
        <v>19.152615109922621</v>
      </c>
      <c r="AV4" s="200">
        <f>ROUNDUP(AU4/$AV$2,0)*$AW$2</f>
        <v>2</v>
      </c>
      <c r="AW4" s="200">
        <f t="shared" ref="AW4:AW6" si="17">ROUNDDOWN(AU4/$AU$2,0)*O4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0">
        <f t="shared" ref="BA4:BA6" si="18">SUM(AX4:AZ4)+AV4</f>
        <v>4</v>
      </c>
      <c r="BB4" s="199">
        <f>BA4*$BA$2</f>
        <v>1100000</v>
      </c>
    </row>
    <row r="5" spans="1:54" x14ac:dyDescent="0.25">
      <c r="A5" s="153">
        <f t="shared" ref="A5" si="19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$I$6</f>
        <v>29.523961700916306</v>
      </c>
      <c r="H5" s="157">
        <f>$J$6</f>
        <v>5.4674431664766381</v>
      </c>
      <c r="I5">
        <v>30</v>
      </c>
      <c r="J5">
        <v>5</v>
      </c>
      <c r="K5" s="192">
        <f t="shared" si="1"/>
        <v>0.66716982551686366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0.33024906363084749</v>
      </c>
      <c r="S5" s="171">
        <f>(VLOOKUP(N5,Cabos!$B$13:$F$46,4,0)/O5*K5)*B5/60</f>
        <v>0.11942339876751859</v>
      </c>
      <c r="T5" s="171">
        <f>1/(VLOOKUP(N5,Cabos!$B$13:$F$46,5,0)*60/B5) * O5 * K5</f>
        <v>3.4998154829610429E-5</v>
      </c>
      <c r="U5" s="155" t="str">
        <f t="shared" si="3"/>
        <v>81,9953644820213-57,5409662461407i</v>
      </c>
      <c r="V5" s="155" t="str">
        <f t="shared" si="4"/>
        <v>0,00201382764572782+0,00286968646145212i</v>
      </c>
      <c r="W5" s="155" t="str">
        <f t="shared" si="5"/>
        <v>0,330248603527782+0,119423951752543i</v>
      </c>
      <c r="X5" s="155" t="str">
        <f t="shared" si="6"/>
        <v>1,68535651625345E-11+0,0000174990835101251i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35,176470378587-1,88062729755054i</v>
      </c>
      <c r="AC5" s="173" t="str">
        <f t="shared" si="9"/>
        <v>14468,9332001192-1,88062729755054i</v>
      </c>
      <c r="AD5" s="173" t="str">
        <f t="shared" si="10"/>
        <v>92,3760764667077-38,8462589769679i</v>
      </c>
      <c r="AE5" s="174">
        <f t="shared" si="11"/>
        <v>1.0024371058246491</v>
      </c>
      <c r="AF5" s="175">
        <f t="shared" si="12"/>
        <v>25.060927645616225</v>
      </c>
      <c r="AG5" s="174">
        <f t="shared" si="13"/>
        <v>0.65199500818037459</v>
      </c>
      <c r="AH5" s="175">
        <f t="shared" si="14"/>
        <v>100.21163275732358</v>
      </c>
      <c r="AI5" s="176">
        <f t="shared" si="15"/>
        <v>4.0099690050628203</v>
      </c>
      <c r="AJ5" s="174">
        <f t="shared" ref="AJ5:AJ6" si="20">IMABS(Z5)/L5/1000*SQRT(3)</f>
        <v>0.99999999999999678</v>
      </c>
      <c r="AK5" s="176">
        <f>SQRT(AI5^2+AS5^2)</f>
        <v>4.349866297465101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2.4922512657050699E-3</v>
      </c>
      <c r="AQ5" s="168">
        <f>AF5*AH5*SQRT(3)*O5/1000</f>
        <v>4.3498662974650912</v>
      </c>
      <c r="AR5" s="168">
        <f t="shared" ref="AR5:AR6" si="21">AL5*AN5*SQRT(3)/1000</f>
        <v>4.3478260869565064</v>
      </c>
      <c r="AS5" s="176">
        <f>IMAGINARY(IMPRODUCT(AC5,IMCONJUGATE(AD5)))*3/1000000</f>
        <v>1.685670603723705</v>
      </c>
      <c r="AT5" s="196">
        <f>VLOOKUP(N5,Cabos!$B$9:$I$46,6,0)*K5*O5</f>
        <v>198.13075742339402</v>
      </c>
      <c r="AU5" s="202">
        <f>VLOOKUP(N5,Cabos!$B$9:$I$46,7,0)*K5</f>
        <v>17.888824531583666</v>
      </c>
      <c r="AV5" s="200">
        <f t="shared" ref="AV5:AV6" si="22">ROUNDUP(AU5/$AV$2,0)*$AW$2</f>
        <v>2</v>
      </c>
      <c r="AW5" s="200">
        <f t="shared" si="17"/>
        <v>0</v>
      </c>
      <c r="AX5">
        <f t="shared" ref="AX5:AX6" si="23">ROUNDUP((AW5)*$AX$2,0)</f>
        <v>0</v>
      </c>
      <c r="AY5">
        <f t="shared" ref="AY5:AY6" si="24">IFERROR(ROUNDUP(K5*O5/$AY$2,0),0)</f>
        <v>1</v>
      </c>
      <c r="AZ5">
        <f t="shared" ref="AZ5:AZ6" si="25">IFERROR(ROUNDUP(K5*O5/$AZ$2,0),0)</f>
        <v>1</v>
      </c>
      <c r="BA5" s="200">
        <f t="shared" si="18"/>
        <v>4</v>
      </c>
      <c r="BB5" s="199">
        <f t="shared" ref="BB5:BB6" si="26"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SUM(AI4:AI5)</f>
        <v>8.02064081111841</v>
      </c>
      <c r="E6" s="194">
        <f>(SUM(AI4:AI5))/(SUM(AK4:AK5))</f>
        <v>0.92192573476573181</v>
      </c>
      <c r="F6" s="168">
        <f>D6/(E6*C6)</f>
        <v>8.69987734224223</v>
      </c>
      <c r="G6" s="157">
        <v>0</v>
      </c>
      <c r="H6" s="157">
        <v>4.5</v>
      </c>
      <c r="I6" s="195">
        <v>29.523961700916306</v>
      </c>
      <c r="J6" s="195">
        <v>5.4674431664766381</v>
      </c>
      <c r="K6" s="192">
        <f t="shared" si="1"/>
        <v>29.539808069747767</v>
      </c>
      <c r="L6" s="107">
        <f>MAX(AF4:AF5)</f>
        <v>25.06522805397212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278.39999999999998</v>
      </c>
      <c r="R6" s="182">
        <f>((VLOOKUP(N6,Cabos!$B$13:$F$46,3,0)/O6*K6))*(1+A6)</f>
        <v>3.8213729612308152</v>
      </c>
      <c r="S6" s="182">
        <f>(VLOOKUP(N6,Cabos!$B$13:$F$46,4,0)/O6*K6)*B6/60</f>
        <v>4.4014314023924168</v>
      </c>
      <c r="T6" s="182">
        <f>1/(VLOOKUP(N6,Cabos!$B$13:$F$46,5,0)*60/B6) * O6 * K6</f>
        <v>2.1538321596607925E-3</v>
      </c>
      <c r="U6" s="178" t="str">
        <f t="shared" si="3"/>
        <v>48,73296761262-18,2034923114404i</v>
      </c>
      <c r="V6" s="178" t="str">
        <f t="shared" si="4"/>
        <v>0,0392072671585183+0,104962632879769i</v>
      </c>
      <c r="W6" s="178" t="str">
        <f t="shared" si="5"/>
        <v>3,80930392108462+4,39971505533217i</v>
      </c>
      <c r="X6" s="178" t="str">
        <f t="shared" si="6"/>
        <v>7,40040389367748E-07+0,00107776703614594i</v>
      </c>
      <c r="Y6" s="183">
        <f>F6/L6/SQRT(3)*1000</f>
        <v>200.39221325434124</v>
      </c>
      <c r="Z6" s="184" t="str">
        <f t="shared" si="7"/>
        <v>14471,4161642602</v>
      </c>
      <c r="AA6" s="173" t="str">
        <f>COMPLEX(Y6*E6,-Y6*SQRT(1-E6*E6))</f>
        <v>184,74673844584-77,6252650017882i</v>
      </c>
      <c r="AB6" s="184" t="str">
        <f t="shared" si="8"/>
        <v>976,70477462821+576,594908378248i</v>
      </c>
      <c r="AC6" s="184" t="str">
        <f t="shared" si="9"/>
        <v>15448,1209388884+576,594908378248i</v>
      </c>
      <c r="AD6" s="184" t="str">
        <f t="shared" si="10"/>
        <v>184,147445126268-45,3785474717486i</v>
      </c>
      <c r="AE6" s="185">
        <f t="shared" si="11"/>
        <v>1.0682353133225848</v>
      </c>
      <c r="AF6" s="186">
        <f t="shared" si="12"/>
        <v>26.775561743736951</v>
      </c>
      <c r="AG6" s="185">
        <f t="shared" si="13"/>
        <v>0.68123653919807381</v>
      </c>
      <c r="AH6" s="186">
        <f t="shared" si="14"/>
        <v>189.65625251274372</v>
      </c>
      <c r="AI6" s="187">
        <f t="shared" si="15"/>
        <v>8.4557008904282718</v>
      </c>
      <c r="AJ6" s="185">
        <f t="shared" si="20"/>
        <v>1.0000000000000024</v>
      </c>
      <c r="AK6" s="176">
        <f>SQRT(AI6^2+AS6^2)</f>
        <v>8.7956184836779876</v>
      </c>
      <c r="AL6" s="186">
        <f>IMABS(Z6)*SQRT(3)/1000</f>
        <v>25.065228053972184</v>
      </c>
      <c r="AM6" s="185">
        <f>IMABS(AA6)/Q6</f>
        <v>0.71979961657450242</v>
      </c>
      <c r="AN6" s="186">
        <f>Q6*AM6/P6</f>
        <v>200.39221325434147</v>
      </c>
      <c r="AO6" s="188">
        <f>D6</f>
        <v>8.02064081111841</v>
      </c>
      <c r="AP6" s="185">
        <f>IF(AO6&gt;0, (AI6-AO6)/AO6,0)</f>
        <v>5.4242558612869286E-2</v>
      </c>
      <c r="AQ6" s="179">
        <f>AF6*AH6*SQRT(3)*O6/1000</f>
        <v>8.7956184836779876</v>
      </c>
      <c r="AR6" s="179">
        <f t="shared" si="21"/>
        <v>8.6998773422422637</v>
      </c>
      <c r="AS6" s="176">
        <f>IMAGINARY(IMPRODUCT(AC6,IMCONJUGATE(AD6)))*3/1000000</f>
        <v>2.4215753058759897</v>
      </c>
      <c r="AT6" s="196">
        <f>VLOOKUP(N6,Cabos!$B$9:$I$46,6,0)*K6*O6</f>
        <v>12113.235488159504</v>
      </c>
      <c r="AU6" s="202">
        <f>VLOOKUP(N6,Cabos!$B$9:$I$46,7,0)*K6</f>
        <v>902.17527825816649</v>
      </c>
      <c r="AV6" s="200">
        <f t="shared" si="22"/>
        <v>2</v>
      </c>
      <c r="AW6" s="200">
        <f t="shared" si="17"/>
        <v>3</v>
      </c>
      <c r="AX6">
        <f t="shared" si="23"/>
        <v>5</v>
      </c>
      <c r="AY6">
        <f t="shared" si="24"/>
        <v>2</v>
      </c>
      <c r="AZ6">
        <f t="shared" si="25"/>
        <v>4</v>
      </c>
      <c r="BA6" s="200">
        <f t="shared" si="18"/>
        <v>13</v>
      </c>
      <c r="BB6" s="199">
        <f t="shared" si="26"/>
        <v>3575000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3"/>
      <c r="AJ7" s="193"/>
      <c r="AK7" s="193"/>
      <c r="AL7" s="81"/>
      <c r="AM7" s="81"/>
      <c r="AN7" s="81"/>
      <c r="AO7" s="81"/>
      <c r="AP7" s="81"/>
      <c r="AS7" s="193"/>
      <c r="AT7" s="197">
        <f>SUM(AT4:AT6)</f>
        <v>12523.494333242763</v>
      </c>
      <c r="BB7" s="197">
        <f>SUM(BB4:BB6)</f>
        <v>5775000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3" t="s">
        <v>123</v>
      </c>
      <c r="E1" s="203"/>
      <c r="F1" s="99"/>
      <c r="G1" s="87" t="s">
        <v>3</v>
      </c>
      <c r="H1" s="87" t="s">
        <v>18</v>
      </c>
      <c r="I1" s="90" t="s">
        <v>117</v>
      </c>
      <c r="J1" s="203" t="s">
        <v>6</v>
      </c>
      <c r="K1" s="203"/>
      <c r="L1" s="203"/>
      <c r="M1" s="203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4">
        <v>183</v>
      </c>
      <c r="C28" s="211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5"/>
      <c r="C29" s="209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5"/>
      <c r="C30" s="209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5"/>
      <c r="C31" s="209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5"/>
      <c r="C32" s="209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6"/>
      <c r="C33" s="210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7">
        <v>200</v>
      </c>
      <c r="C34" s="212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5"/>
      <c r="C35" s="209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5"/>
      <c r="C36" s="209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5"/>
      <c r="C37" s="209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5"/>
      <c r="C38" s="209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6"/>
      <c r="C39" s="210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8">
        <v>325</v>
      </c>
      <c r="C40" s="213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5"/>
      <c r="C41" s="209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5"/>
      <c r="C42" s="209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5"/>
      <c r="C43" s="209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5"/>
      <c r="C44" s="209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6"/>
      <c r="C45" s="210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5">
        <v>183</v>
      </c>
      <c r="C52" s="209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5"/>
      <c r="C53" s="209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5">
        <v>200</v>
      </c>
      <c r="C54" s="209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5"/>
      <c r="C55" s="209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5">
        <v>325</v>
      </c>
      <c r="C56" s="209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5"/>
      <c r="C57" s="209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5">
        <v>183</v>
      </c>
      <c r="C65" s="209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5"/>
      <c r="C66" s="209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50" t="s">
        <v>28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2"/>
      <c r="Q2" s="11"/>
      <c r="R2" s="12"/>
      <c r="S2" s="250" t="s">
        <v>29</v>
      </c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2"/>
      <c r="AH2" s="13"/>
      <c r="AI2" s="12"/>
      <c r="AJ2" s="253" t="s">
        <v>30</v>
      </c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5"/>
      <c r="AY2" s="13"/>
      <c r="AZ2" s="12"/>
      <c r="BA2" s="250" t="s">
        <v>31</v>
      </c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6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2" t="s">
        <v>32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4"/>
      <c r="Q4" s="20"/>
      <c r="R4" s="21"/>
      <c r="S4" s="262" t="s">
        <v>33</v>
      </c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2"/>
      <c r="AH4" s="22"/>
      <c r="AI4" s="21"/>
      <c r="AJ4" s="259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22"/>
      <c r="AZ4" s="21"/>
      <c r="BA4" s="279" t="s">
        <v>34</v>
      </c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2"/>
    </row>
    <row r="5" spans="1:68" s="23" customFormat="1" ht="15" customHeight="1" thickBot="1" x14ac:dyDescent="0.3">
      <c r="A5" s="19"/>
      <c r="B5" s="265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7"/>
      <c r="Q5" s="20"/>
      <c r="R5" s="21"/>
      <c r="S5" s="273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5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9" t="s">
        <v>35</v>
      </c>
      <c r="BB5" s="279"/>
      <c r="BC5" s="279" t="s">
        <v>36</v>
      </c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2"/>
    </row>
    <row r="6" spans="1:68" s="23" customFormat="1" ht="15" customHeight="1" thickBot="1" x14ac:dyDescent="0.3">
      <c r="A6" s="19"/>
      <c r="B6" s="265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7"/>
      <c r="Q6" s="20"/>
      <c r="R6" s="21"/>
      <c r="S6" s="273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5"/>
      <c r="AH6" s="22"/>
      <c r="AI6" s="21"/>
      <c r="AJ6" s="223" t="s">
        <v>37</v>
      </c>
      <c r="AK6" s="224"/>
      <c r="AL6" s="224"/>
      <c r="AM6" s="224"/>
      <c r="AN6" s="224"/>
      <c r="AO6" s="225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8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70"/>
      <c r="Q7" s="20"/>
      <c r="R7" s="21"/>
      <c r="S7" s="276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8"/>
      <c r="AH7" s="22"/>
      <c r="AI7" s="21"/>
      <c r="AJ7" s="280" t="s">
        <v>39</v>
      </c>
      <c r="AK7" s="281"/>
      <c r="AL7" s="281"/>
      <c r="AM7" s="281"/>
      <c r="AN7" s="281"/>
      <c r="AO7" s="282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42" t="s">
        <v>41</v>
      </c>
      <c r="AK8" s="243"/>
      <c r="AL8" s="243"/>
      <c r="AM8" s="243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83" t="s">
        <v>43</v>
      </c>
      <c r="C9" s="284"/>
      <c r="D9" s="284"/>
      <c r="E9" s="284"/>
      <c r="F9" s="284"/>
      <c r="G9" s="284"/>
      <c r="H9" s="285"/>
      <c r="I9" s="11"/>
      <c r="J9" s="223" t="s">
        <v>44</v>
      </c>
      <c r="K9" s="224"/>
      <c r="L9" s="224"/>
      <c r="M9" s="224"/>
      <c r="N9" s="224"/>
      <c r="O9" s="224"/>
      <c r="P9" s="225"/>
      <c r="Q9" s="11"/>
      <c r="R9" s="12"/>
      <c r="S9" s="223" t="s">
        <v>43</v>
      </c>
      <c r="T9" s="224"/>
      <c r="U9" s="224"/>
      <c r="V9" s="224"/>
      <c r="W9" s="224"/>
      <c r="X9" s="224"/>
      <c r="Y9" s="225"/>
      <c r="Z9" s="11"/>
      <c r="AA9" s="223" t="s">
        <v>44</v>
      </c>
      <c r="AB9" s="224"/>
      <c r="AC9" s="224"/>
      <c r="AD9" s="224"/>
      <c r="AE9" s="224"/>
      <c r="AF9" s="224"/>
      <c r="AG9" s="225"/>
      <c r="AH9" s="13"/>
      <c r="AI9" s="12"/>
      <c r="AJ9" s="242" t="s">
        <v>5</v>
      </c>
      <c r="AK9" s="243"/>
      <c r="AL9" s="243"/>
      <c r="AM9" s="243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40" t="s">
        <v>46</v>
      </c>
      <c r="C10" s="241"/>
      <c r="D10" s="241"/>
      <c r="E10" s="241"/>
      <c r="F10" s="241"/>
      <c r="G10" s="30">
        <v>35</v>
      </c>
      <c r="H10" s="31" t="s">
        <v>47</v>
      </c>
      <c r="I10" s="29"/>
      <c r="J10" s="240" t="s">
        <v>46</v>
      </c>
      <c r="K10" s="241"/>
      <c r="L10" s="241"/>
      <c r="M10" s="241"/>
      <c r="N10" s="241"/>
      <c r="O10" s="30">
        <v>50</v>
      </c>
      <c r="P10" s="31" t="s">
        <v>47</v>
      </c>
      <c r="Q10" s="29"/>
      <c r="R10" s="32"/>
      <c r="S10" s="226" t="s">
        <v>46</v>
      </c>
      <c r="T10" s="227"/>
      <c r="U10" s="227"/>
      <c r="V10" s="227"/>
      <c r="W10" s="228"/>
      <c r="X10" s="30">
        <v>35</v>
      </c>
      <c r="Y10" s="31" t="s">
        <v>47</v>
      </c>
      <c r="Z10" s="29"/>
      <c r="AA10" s="226" t="s">
        <v>46</v>
      </c>
      <c r="AB10" s="227"/>
      <c r="AC10" s="227"/>
      <c r="AD10" s="227"/>
      <c r="AE10" s="228"/>
      <c r="AF10" s="30">
        <v>50</v>
      </c>
      <c r="AG10" s="31" t="s">
        <v>47</v>
      </c>
      <c r="AH10" s="33"/>
      <c r="AI10" s="32"/>
      <c r="AJ10" s="242" t="s">
        <v>41</v>
      </c>
      <c r="AK10" s="243"/>
      <c r="AL10" s="243"/>
      <c r="AM10" s="243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42" t="s">
        <v>49</v>
      </c>
      <c r="C11" s="243"/>
      <c r="D11" s="243"/>
      <c r="E11" s="243"/>
      <c r="F11" s="243"/>
      <c r="G11" s="34">
        <v>180</v>
      </c>
      <c r="H11" s="27" t="s">
        <v>50</v>
      </c>
      <c r="I11" s="29"/>
      <c r="J11" s="242" t="s">
        <v>49</v>
      </c>
      <c r="K11" s="243"/>
      <c r="L11" s="243"/>
      <c r="M11" s="243"/>
      <c r="N11" s="243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42" t="s">
        <v>53</v>
      </c>
      <c r="AK11" s="243"/>
      <c r="AL11" s="243"/>
      <c r="AM11" s="243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42" t="s">
        <v>55</v>
      </c>
      <c r="C12" s="243"/>
      <c r="D12" s="243"/>
      <c r="E12" s="243"/>
      <c r="F12" s="243"/>
      <c r="G12" s="38">
        <f>G11/1.2</f>
        <v>150</v>
      </c>
      <c r="H12" s="27" t="s">
        <v>50</v>
      </c>
      <c r="I12" s="29"/>
      <c r="J12" s="242" t="s">
        <v>55</v>
      </c>
      <c r="K12" s="243"/>
      <c r="L12" s="243"/>
      <c r="M12" s="243"/>
      <c r="N12" s="243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42" t="s">
        <v>57</v>
      </c>
      <c r="AK12" s="243"/>
      <c r="AL12" s="243"/>
      <c r="AM12" s="243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4" t="s">
        <v>58</v>
      </c>
      <c r="C13" s="245"/>
      <c r="D13" s="245"/>
      <c r="E13" s="245"/>
      <c r="F13" s="245"/>
      <c r="G13" s="41">
        <f>G11*0.87</f>
        <v>156.6</v>
      </c>
      <c r="H13" s="42" t="s">
        <v>50</v>
      </c>
      <c r="I13" s="29"/>
      <c r="J13" s="244" t="s">
        <v>58</v>
      </c>
      <c r="K13" s="245"/>
      <c r="L13" s="245"/>
      <c r="M13" s="245"/>
      <c r="N13" s="245"/>
      <c r="O13" s="41">
        <f>O11*0.87</f>
        <v>184.44</v>
      </c>
      <c r="P13" s="42" t="s">
        <v>50</v>
      </c>
      <c r="Q13" s="43"/>
      <c r="R13" s="44"/>
      <c r="S13" s="229" t="s">
        <v>59</v>
      </c>
      <c r="T13" s="230"/>
      <c r="U13" s="230"/>
      <c r="V13" s="230"/>
      <c r="W13" s="231"/>
      <c r="X13" s="45">
        <v>0.157</v>
      </c>
      <c r="Y13" s="46" t="s">
        <v>52</v>
      </c>
      <c r="Z13" s="29"/>
      <c r="AA13" s="229" t="s">
        <v>59</v>
      </c>
      <c r="AB13" s="230"/>
      <c r="AC13" s="230"/>
      <c r="AD13" s="230"/>
      <c r="AE13" s="231"/>
      <c r="AF13" s="45">
        <v>0.14899999999999999</v>
      </c>
      <c r="AG13" s="46" t="s">
        <v>52</v>
      </c>
      <c r="AH13" s="47"/>
      <c r="AI13" s="44"/>
      <c r="AJ13" s="242" t="s">
        <v>60</v>
      </c>
      <c r="AK13" s="243"/>
      <c r="AL13" s="243"/>
      <c r="AM13" s="243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4" t="s">
        <v>62</v>
      </c>
      <c r="C14" s="245"/>
      <c r="D14" s="245"/>
      <c r="E14" s="245"/>
      <c r="F14" s="245"/>
      <c r="G14" s="41">
        <f>G13/1.2</f>
        <v>130.5</v>
      </c>
      <c r="H14" s="42" t="s">
        <v>50</v>
      </c>
      <c r="I14" s="29"/>
      <c r="J14" s="244" t="s">
        <v>62</v>
      </c>
      <c r="K14" s="245"/>
      <c r="L14" s="245"/>
      <c r="M14" s="245"/>
      <c r="N14" s="245"/>
      <c r="O14" s="41">
        <f>O13/1.2</f>
        <v>153.70000000000002</v>
      </c>
      <c r="P14" s="42" t="s">
        <v>50</v>
      </c>
      <c r="Q14" s="43"/>
      <c r="R14" s="44"/>
      <c r="S14" s="286">
        <v>60</v>
      </c>
      <c r="T14" s="286"/>
      <c r="U14" s="286"/>
      <c r="V14" s="286"/>
      <c r="W14" s="286"/>
      <c r="X14" s="48"/>
      <c r="Y14" s="29"/>
      <c r="Z14" s="29"/>
      <c r="AA14" s="286"/>
      <c r="AB14" s="286"/>
      <c r="AC14" s="286"/>
      <c r="AD14" s="286"/>
      <c r="AE14" s="286"/>
      <c r="AF14" s="48"/>
      <c r="AG14" s="29"/>
      <c r="AH14" s="47"/>
      <c r="AI14" s="44"/>
      <c r="AJ14" s="242" t="s">
        <v>63</v>
      </c>
      <c r="AK14" s="243"/>
      <c r="AL14" s="243"/>
      <c r="AM14" s="243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6" t="s">
        <v>64</v>
      </c>
      <c r="C15" s="247"/>
      <c r="D15" s="247"/>
      <c r="E15" s="247"/>
      <c r="F15" s="247"/>
      <c r="G15" s="51">
        <f>G11*0.76</f>
        <v>136.80000000000001</v>
      </c>
      <c r="H15" s="52" t="s">
        <v>50</v>
      </c>
      <c r="I15" s="29"/>
      <c r="J15" s="246" t="s">
        <v>64</v>
      </c>
      <c r="K15" s="247"/>
      <c r="L15" s="247"/>
      <c r="M15" s="247"/>
      <c r="N15" s="247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42" t="s">
        <v>65</v>
      </c>
      <c r="AK15" s="243"/>
      <c r="AL15" s="243"/>
      <c r="AM15" s="243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8" t="s">
        <v>66</v>
      </c>
      <c r="C16" s="249"/>
      <c r="D16" s="249"/>
      <c r="E16" s="249"/>
      <c r="F16" s="249"/>
      <c r="G16" s="56">
        <f>G15/1.2</f>
        <v>114.00000000000001</v>
      </c>
      <c r="H16" s="57" t="s">
        <v>50</v>
      </c>
      <c r="I16" s="29"/>
      <c r="J16" s="248" t="s">
        <v>66</v>
      </c>
      <c r="K16" s="249"/>
      <c r="L16" s="249"/>
      <c r="M16" s="249"/>
      <c r="N16" s="249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7" t="s">
        <v>67</v>
      </c>
      <c r="AK16" s="288"/>
      <c r="AL16" s="288"/>
      <c r="AM16" s="288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9" t="s">
        <v>158</v>
      </c>
      <c r="C17" s="290"/>
      <c r="D17" s="290"/>
      <c r="E17" s="290"/>
      <c r="F17" s="290"/>
      <c r="G17" s="191">
        <f>G11*0.708</f>
        <v>127.44</v>
      </c>
      <c r="H17" s="190" t="s">
        <v>50</v>
      </c>
      <c r="I17" s="29"/>
      <c r="J17" s="289" t="s">
        <v>158</v>
      </c>
      <c r="K17" s="290"/>
      <c r="L17" s="290"/>
      <c r="M17" s="290"/>
      <c r="N17" s="290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23" t="s">
        <v>69</v>
      </c>
      <c r="C18" s="224"/>
      <c r="D18" s="224"/>
      <c r="E18" s="224"/>
      <c r="F18" s="224"/>
      <c r="G18" s="224"/>
      <c r="H18" s="225"/>
      <c r="I18" s="11"/>
      <c r="J18" s="223" t="s">
        <v>70</v>
      </c>
      <c r="K18" s="224"/>
      <c r="L18" s="224"/>
      <c r="M18" s="224"/>
      <c r="N18" s="224"/>
      <c r="O18" s="224"/>
      <c r="P18" s="225"/>
      <c r="Q18" s="11"/>
      <c r="R18" s="12"/>
      <c r="S18" s="223" t="s">
        <v>69</v>
      </c>
      <c r="T18" s="224"/>
      <c r="U18" s="224"/>
      <c r="V18" s="224"/>
      <c r="W18" s="224"/>
      <c r="X18" s="224"/>
      <c r="Y18" s="225"/>
      <c r="Z18" s="11"/>
      <c r="AA18" s="223" t="s">
        <v>70</v>
      </c>
      <c r="AB18" s="224"/>
      <c r="AC18" s="224"/>
      <c r="AD18" s="224"/>
      <c r="AE18" s="224"/>
      <c r="AF18" s="224"/>
      <c r="AG18" s="225"/>
      <c r="AH18" s="13"/>
      <c r="AI18" s="12"/>
      <c r="AJ18" s="253" t="s">
        <v>71</v>
      </c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/>
      <c r="AV18" s="254"/>
      <c r="AW18" s="254"/>
      <c r="AX18" s="255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40" t="s">
        <v>46</v>
      </c>
      <c r="C19" s="241"/>
      <c r="D19" s="241"/>
      <c r="E19" s="241"/>
      <c r="F19" s="241"/>
      <c r="G19" s="30">
        <v>70</v>
      </c>
      <c r="H19" s="31" t="s">
        <v>47</v>
      </c>
      <c r="I19" s="29"/>
      <c r="J19" s="240" t="s">
        <v>46</v>
      </c>
      <c r="K19" s="241"/>
      <c r="L19" s="241"/>
      <c r="M19" s="241"/>
      <c r="N19" s="241"/>
      <c r="O19" s="30">
        <v>95</v>
      </c>
      <c r="P19" s="31" t="s">
        <v>47</v>
      </c>
      <c r="Q19" s="29"/>
      <c r="R19" s="32"/>
      <c r="S19" s="226" t="s">
        <v>46</v>
      </c>
      <c r="T19" s="227"/>
      <c r="U19" s="227"/>
      <c r="V19" s="227"/>
      <c r="W19" s="228"/>
      <c r="X19" s="30">
        <v>70</v>
      </c>
      <c r="Y19" s="31" t="s">
        <v>47</v>
      </c>
      <c r="Z19" s="29"/>
      <c r="AA19" s="226" t="s">
        <v>46</v>
      </c>
      <c r="AB19" s="227"/>
      <c r="AC19" s="227"/>
      <c r="AD19" s="227"/>
      <c r="AE19" s="228"/>
      <c r="AF19" s="30">
        <v>95</v>
      </c>
      <c r="AG19" s="31" t="s">
        <v>47</v>
      </c>
      <c r="AH19" s="33"/>
      <c r="AI19" s="32"/>
      <c r="AJ19" s="259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1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42" t="s">
        <v>49</v>
      </c>
      <c r="C20" s="243"/>
      <c r="D20" s="243"/>
      <c r="E20" s="243"/>
      <c r="F20" s="243"/>
      <c r="G20" s="34">
        <v>258</v>
      </c>
      <c r="H20" s="27" t="s">
        <v>50</v>
      </c>
      <c r="I20" s="29"/>
      <c r="J20" s="242" t="s">
        <v>49</v>
      </c>
      <c r="K20" s="243"/>
      <c r="L20" s="243"/>
      <c r="M20" s="243"/>
      <c r="N20" s="243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42" t="s">
        <v>55</v>
      </c>
      <c r="C21" s="243"/>
      <c r="D21" s="243"/>
      <c r="E21" s="243"/>
      <c r="F21" s="243"/>
      <c r="G21" s="38">
        <f>G20/1.2</f>
        <v>215</v>
      </c>
      <c r="H21" s="27" t="s">
        <v>50</v>
      </c>
      <c r="I21" s="29"/>
      <c r="J21" s="242" t="s">
        <v>55</v>
      </c>
      <c r="K21" s="243"/>
      <c r="L21" s="243"/>
      <c r="M21" s="243"/>
      <c r="N21" s="243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23" t="s">
        <v>72</v>
      </c>
      <c r="AK21" s="224"/>
      <c r="AL21" s="224"/>
      <c r="AM21" s="224"/>
      <c r="AN21" s="225"/>
      <c r="AO21" s="29"/>
      <c r="AP21" s="223" t="s">
        <v>73</v>
      </c>
      <c r="AQ21" s="224"/>
      <c r="AR21" s="224"/>
      <c r="AS21" s="224"/>
      <c r="AT21" s="225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4" t="s">
        <v>58</v>
      </c>
      <c r="C22" s="245"/>
      <c r="D22" s="245"/>
      <c r="E22" s="245"/>
      <c r="F22" s="245"/>
      <c r="G22" s="41">
        <f>G20*0.87</f>
        <v>224.46</v>
      </c>
      <c r="H22" s="42" t="s">
        <v>50</v>
      </c>
      <c r="I22" s="29"/>
      <c r="J22" s="244" t="s">
        <v>58</v>
      </c>
      <c r="K22" s="245"/>
      <c r="L22" s="245"/>
      <c r="M22" s="245"/>
      <c r="N22" s="245"/>
      <c r="O22" s="41">
        <f>O20*0.87</f>
        <v>266.21999999999997</v>
      </c>
      <c r="P22" s="42" t="s">
        <v>50</v>
      </c>
      <c r="Q22" s="43"/>
      <c r="R22" s="44"/>
      <c r="S22" s="229" t="s">
        <v>59</v>
      </c>
      <c r="T22" s="230"/>
      <c r="U22" s="230"/>
      <c r="V22" s="230"/>
      <c r="W22" s="231"/>
      <c r="X22" s="45">
        <v>0.14099999999999999</v>
      </c>
      <c r="Y22" s="46" t="s">
        <v>52</v>
      </c>
      <c r="Z22" s="29"/>
      <c r="AA22" s="229" t="s">
        <v>59</v>
      </c>
      <c r="AB22" s="230"/>
      <c r="AC22" s="230"/>
      <c r="AD22" s="230"/>
      <c r="AE22" s="231"/>
      <c r="AF22" s="45">
        <v>0.13500000000000001</v>
      </c>
      <c r="AG22" s="46" t="s">
        <v>52</v>
      </c>
      <c r="AH22" s="47"/>
      <c r="AI22" s="44"/>
      <c r="AJ22" s="280" t="s">
        <v>39</v>
      </c>
      <c r="AK22" s="281"/>
      <c r="AL22" s="281"/>
      <c r="AM22" s="281"/>
      <c r="AN22" s="282"/>
      <c r="AO22" s="43"/>
      <c r="AP22" s="280" t="s">
        <v>39</v>
      </c>
      <c r="AQ22" s="281"/>
      <c r="AR22" s="281"/>
      <c r="AS22" s="281"/>
      <c r="AT22" s="282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4" t="s">
        <v>62</v>
      </c>
      <c r="C23" s="245"/>
      <c r="D23" s="245"/>
      <c r="E23" s="245"/>
      <c r="F23" s="245"/>
      <c r="G23" s="41">
        <f>G22/1.2</f>
        <v>187.05</v>
      </c>
      <c r="H23" s="42" t="s">
        <v>50</v>
      </c>
      <c r="I23" s="29"/>
      <c r="J23" s="244" t="s">
        <v>62</v>
      </c>
      <c r="K23" s="245"/>
      <c r="L23" s="245"/>
      <c r="M23" s="245"/>
      <c r="N23" s="245"/>
      <c r="O23" s="41">
        <f>O22/1.2</f>
        <v>221.85</v>
      </c>
      <c r="P23" s="42" t="s">
        <v>50</v>
      </c>
      <c r="Q23" s="43"/>
      <c r="R23" s="44"/>
      <c r="S23" s="286"/>
      <c r="T23" s="286"/>
      <c r="U23" s="286"/>
      <c r="V23" s="286"/>
      <c r="W23" s="286"/>
      <c r="X23" s="48"/>
      <c r="Y23" s="29"/>
      <c r="Z23" s="29"/>
      <c r="AA23" s="286"/>
      <c r="AB23" s="286"/>
      <c r="AC23" s="286"/>
      <c r="AD23" s="286"/>
      <c r="AE23" s="286"/>
      <c r="AF23" s="48"/>
      <c r="AG23" s="29"/>
      <c r="AH23" s="47"/>
      <c r="AI23" s="44"/>
      <c r="AJ23" s="242" t="s">
        <v>41</v>
      </c>
      <c r="AK23" s="243"/>
      <c r="AL23" s="243"/>
      <c r="AM23" s="26">
        <v>1119</v>
      </c>
      <c r="AN23" s="60" t="s">
        <v>48</v>
      </c>
      <c r="AO23" s="43"/>
      <c r="AP23" s="242" t="s">
        <v>41</v>
      </c>
      <c r="AQ23" s="243"/>
      <c r="AR23" s="243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6" t="s">
        <v>64</v>
      </c>
      <c r="C24" s="247"/>
      <c r="D24" s="247"/>
      <c r="E24" s="247"/>
      <c r="F24" s="247"/>
      <c r="G24" s="51">
        <f>G20*0.76</f>
        <v>196.08</v>
      </c>
      <c r="H24" s="52" t="s">
        <v>50</v>
      </c>
      <c r="I24" s="29"/>
      <c r="J24" s="246" t="s">
        <v>64</v>
      </c>
      <c r="K24" s="247"/>
      <c r="L24" s="247"/>
      <c r="M24" s="247"/>
      <c r="N24" s="247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42" t="s">
        <v>5</v>
      </c>
      <c r="AK24" s="243"/>
      <c r="AL24" s="243"/>
      <c r="AM24" s="26">
        <v>6600</v>
      </c>
      <c r="AN24" s="60" t="s">
        <v>45</v>
      </c>
      <c r="AO24" s="53"/>
      <c r="AP24" s="242" t="s">
        <v>5</v>
      </c>
      <c r="AQ24" s="243"/>
      <c r="AR24" s="243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8" t="s">
        <v>66</v>
      </c>
      <c r="C25" s="249"/>
      <c r="D25" s="249"/>
      <c r="E25" s="249"/>
      <c r="F25" s="249"/>
      <c r="G25" s="56">
        <f>G24/1.2</f>
        <v>163.4</v>
      </c>
      <c r="H25" s="57" t="s">
        <v>50</v>
      </c>
      <c r="I25" s="29"/>
      <c r="J25" s="248" t="s">
        <v>66</v>
      </c>
      <c r="K25" s="249"/>
      <c r="L25" s="249"/>
      <c r="M25" s="249"/>
      <c r="N25" s="249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42" t="s">
        <v>74</v>
      </c>
      <c r="AK25" s="243"/>
      <c r="AL25" s="243"/>
      <c r="AM25" s="61">
        <v>86</v>
      </c>
      <c r="AN25" s="60" t="s">
        <v>54</v>
      </c>
      <c r="AO25" s="53"/>
      <c r="AP25" s="242" t="s">
        <v>74</v>
      </c>
      <c r="AQ25" s="243"/>
      <c r="AR25" s="243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9" t="s">
        <v>158</v>
      </c>
      <c r="C26" s="290"/>
      <c r="D26" s="290"/>
      <c r="E26" s="290"/>
      <c r="F26" s="290"/>
      <c r="G26" s="191">
        <f>G20*0.708</f>
        <v>182.66399999999999</v>
      </c>
      <c r="H26" s="190" t="s">
        <v>50</v>
      </c>
      <c r="I26" s="29"/>
      <c r="J26" s="289" t="s">
        <v>158</v>
      </c>
      <c r="K26" s="290"/>
      <c r="L26" s="290"/>
      <c r="M26" s="290"/>
      <c r="N26" s="290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91" t="s">
        <v>75</v>
      </c>
      <c r="AK26" s="292"/>
      <c r="AL26" s="293"/>
      <c r="AM26" s="61">
        <f>71/AM25*100</f>
        <v>82.558139534883722</v>
      </c>
      <c r="AN26" s="60" t="s">
        <v>54</v>
      </c>
      <c r="AO26" s="29"/>
      <c r="AP26" s="291" t="s">
        <v>75</v>
      </c>
      <c r="AQ26" s="292"/>
      <c r="AR26" s="293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23" t="s">
        <v>76</v>
      </c>
      <c r="C27" s="224"/>
      <c r="D27" s="224"/>
      <c r="E27" s="224"/>
      <c r="F27" s="224"/>
      <c r="G27" s="224"/>
      <c r="H27" s="225"/>
      <c r="I27" s="11"/>
      <c r="J27" s="223" t="s">
        <v>77</v>
      </c>
      <c r="K27" s="224"/>
      <c r="L27" s="224"/>
      <c r="M27" s="224"/>
      <c r="N27" s="224"/>
      <c r="O27" s="224"/>
      <c r="P27" s="225"/>
      <c r="Q27" s="11"/>
      <c r="R27" s="12"/>
      <c r="S27" s="223" t="s">
        <v>76</v>
      </c>
      <c r="T27" s="224"/>
      <c r="U27" s="224"/>
      <c r="V27" s="224"/>
      <c r="W27" s="224"/>
      <c r="X27" s="224"/>
      <c r="Y27" s="225"/>
      <c r="Z27" s="11"/>
      <c r="AA27" s="223" t="s">
        <v>77</v>
      </c>
      <c r="AB27" s="224"/>
      <c r="AC27" s="224"/>
      <c r="AD27" s="224"/>
      <c r="AE27" s="224"/>
      <c r="AF27" s="224"/>
      <c r="AG27" s="225"/>
      <c r="AH27" s="13"/>
      <c r="AI27" s="12"/>
      <c r="AJ27" s="242" t="s">
        <v>60</v>
      </c>
      <c r="AK27" s="243"/>
      <c r="AL27" s="243"/>
      <c r="AM27" s="26">
        <f>AM23/AM25/AM26*10000</f>
        <v>1576.056338028169</v>
      </c>
      <c r="AN27" s="60" t="s">
        <v>61</v>
      </c>
      <c r="AO27" s="11"/>
      <c r="AP27" s="242" t="s">
        <v>60</v>
      </c>
      <c r="AQ27" s="243"/>
      <c r="AR27" s="243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40" t="s">
        <v>46</v>
      </c>
      <c r="C28" s="241"/>
      <c r="D28" s="241"/>
      <c r="E28" s="241"/>
      <c r="F28" s="241"/>
      <c r="G28" s="30">
        <v>120</v>
      </c>
      <c r="H28" s="31" t="s">
        <v>47</v>
      </c>
      <c r="I28" s="29"/>
      <c r="J28" s="240" t="s">
        <v>46</v>
      </c>
      <c r="K28" s="241"/>
      <c r="L28" s="241"/>
      <c r="M28" s="241"/>
      <c r="N28" s="241"/>
      <c r="O28" s="30">
        <v>150</v>
      </c>
      <c r="P28" s="31" t="s">
        <v>47</v>
      </c>
      <c r="Q28" s="29"/>
      <c r="R28" s="32"/>
      <c r="S28" s="226" t="s">
        <v>46</v>
      </c>
      <c r="T28" s="227"/>
      <c r="U28" s="227"/>
      <c r="V28" s="227"/>
      <c r="W28" s="228"/>
      <c r="X28" s="30">
        <v>120</v>
      </c>
      <c r="Y28" s="31" t="s">
        <v>47</v>
      </c>
      <c r="Z28" s="29"/>
      <c r="AA28" s="226" t="s">
        <v>46</v>
      </c>
      <c r="AB28" s="227"/>
      <c r="AC28" s="227"/>
      <c r="AD28" s="227"/>
      <c r="AE28" s="228"/>
      <c r="AF28" s="30">
        <v>150</v>
      </c>
      <c r="AG28" s="31" t="s">
        <v>47</v>
      </c>
      <c r="AH28" s="33"/>
      <c r="AI28" s="32"/>
      <c r="AJ28" s="242" t="s">
        <v>19</v>
      </c>
      <c r="AK28" s="243"/>
      <c r="AL28" s="243"/>
      <c r="AM28" s="62">
        <f>AM27/SQRT(3)/AM24*1000</f>
        <v>137.86917439675443</v>
      </c>
      <c r="AN28" s="60" t="s">
        <v>50</v>
      </c>
      <c r="AO28" s="29"/>
      <c r="AP28" s="242" t="s">
        <v>19</v>
      </c>
      <c r="AQ28" s="243"/>
      <c r="AR28" s="243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42" t="s">
        <v>49</v>
      </c>
      <c r="C29" s="243"/>
      <c r="D29" s="243"/>
      <c r="E29" s="243"/>
      <c r="F29" s="243"/>
      <c r="G29" s="34">
        <v>346</v>
      </c>
      <c r="H29" s="27" t="s">
        <v>50</v>
      </c>
      <c r="I29" s="29"/>
      <c r="J29" s="242" t="s">
        <v>49</v>
      </c>
      <c r="K29" s="243"/>
      <c r="L29" s="243"/>
      <c r="M29" s="243"/>
      <c r="N29" s="243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42" t="s">
        <v>65</v>
      </c>
      <c r="AK29" s="243"/>
      <c r="AL29" s="243"/>
      <c r="AM29" s="64">
        <f>AM23/AM26*100</f>
        <v>1355.4084507042253</v>
      </c>
      <c r="AN29" s="60" t="s">
        <v>48</v>
      </c>
      <c r="AO29" s="29"/>
      <c r="AP29" s="242" t="s">
        <v>65</v>
      </c>
      <c r="AQ29" s="243"/>
      <c r="AR29" s="243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42" t="s">
        <v>55</v>
      </c>
      <c r="C30" s="243"/>
      <c r="D30" s="243"/>
      <c r="E30" s="243"/>
      <c r="F30" s="243"/>
      <c r="G30" s="38">
        <f>G29/1.2</f>
        <v>288.33333333333337</v>
      </c>
      <c r="H30" s="27" t="s">
        <v>50</v>
      </c>
      <c r="I30" s="29"/>
      <c r="J30" s="242" t="s">
        <v>55</v>
      </c>
      <c r="K30" s="243"/>
      <c r="L30" s="243"/>
      <c r="M30" s="243"/>
      <c r="N30" s="243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7" t="s">
        <v>67</v>
      </c>
      <c r="AK30" s="288"/>
      <c r="AL30" s="288"/>
      <c r="AM30" s="65">
        <f>SQRT(AM27^2-AM29^2)</f>
        <v>804.25214478938983</v>
      </c>
      <c r="AN30" s="66" t="s">
        <v>68</v>
      </c>
      <c r="AO30" s="29"/>
      <c r="AP30" s="287" t="s">
        <v>67</v>
      </c>
      <c r="AQ30" s="288"/>
      <c r="AR30" s="288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4" t="s">
        <v>58</v>
      </c>
      <c r="C31" s="245"/>
      <c r="D31" s="245"/>
      <c r="E31" s="245"/>
      <c r="F31" s="245"/>
      <c r="G31" s="41">
        <f>G29*0.87</f>
        <v>301.02</v>
      </c>
      <c r="H31" s="42" t="s">
        <v>50</v>
      </c>
      <c r="I31" s="29"/>
      <c r="J31" s="244" t="s">
        <v>58</v>
      </c>
      <c r="K31" s="245"/>
      <c r="L31" s="245"/>
      <c r="M31" s="245"/>
      <c r="N31" s="245"/>
      <c r="O31" s="41">
        <f>O29*0.87</f>
        <v>334.08</v>
      </c>
      <c r="P31" s="42" t="s">
        <v>50</v>
      </c>
      <c r="Q31" s="43"/>
      <c r="R31" s="44"/>
      <c r="S31" s="229" t="s">
        <v>59</v>
      </c>
      <c r="T31" s="230"/>
      <c r="U31" s="230"/>
      <c r="V31" s="230"/>
      <c r="W31" s="231"/>
      <c r="X31" s="45">
        <v>0.13</v>
      </c>
      <c r="Y31" s="46" t="s">
        <v>52</v>
      </c>
      <c r="Z31" s="29"/>
      <c r="AA31" s="229" t="s">
        <v>59</v>
      </c>
      <c r="AB31" s="230"/>
      <c r="AC31" s="230"/>
      <c r="AD31" s="230"/>
      <c r="AE31" s="231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4" t="s">
        <v>62</v>
      </c>
      <c r="C32" s="245"/>
      <c r="D32" s="245"/>
      <c r="E32" s="245"/>
      <c r="F32" s="245"/>
      <c r="G32" s="41">
        <f>G31/1.2</f>
        <v>250.85</v>
      </c>
      <c r="H32" s="42" t="s">
        <v>50</v>
      </c>
      <c r="I32" s="29"/>
      <c r="J32" s="244" t="s">
        <v>62</v>
      </c>
      <c r="K32" s="245"/>
      <c r="L32" s="245"/>
      <c r="M32" s="245"/>
      <c r="N32" s="245"/>
      <c r="O32" s="41">
        <f>O31/1.2</f>
        <v>278.39999999999998</v>
      </c>
      <c r="P32" s="42" t="s">
        <v>50</v>
      </c>
      <c r="Q32" s="43"/>
      <c r="R32" s="44"/>
      <c r="S32" s="286"/>
      <c r="T32" s="286"/>
      <c r="U32" s="286"/>
      <c r="V32" s="286"/>
      <c r="W32" s="286"/>
      <c r="X32" s="48"/>
      <c r="Y32" s="29"/>
      <c r="Z32" s="29"/>
      <c r="AA32" s="286"/>
      <c r="AB32" s="286"/>
      <c r="AC32" s="286"/>
      <c r="AD32" s="286"/>
      <c r="AE32" s="286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23" t="s">
        <v>78</v>
      </c>
      <c r="AQ32" s="224"/>
      <c r="AR32" s="224"/>
      <c r="AS32" s="224"/>
      <c r="AT32" s="225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6" t="s">
        <v>64</v>
      </c>
      <c r="C33" s="247"/>
      <c r="D33" s="247"/>
      <c r="E33" s="247"/>
      <c r="F33" s="247"/>
      <c r="G33" s="51">
        <f>G29*0.76</f>
        <v>262.95999999999998</v>
      </c>
      <c r="H33" s="52" t="s">
        <v>50</v>
      </c>
      <c r="I33" s="29"/>
      <c r="J33" s="246" t="s">
        <v>64</v>
      </c>
      <c r="K33" s="247"/>
      <c r="L33" s="247"/>
      <c r="M33" s="247"/>
      <c r="N33" s="247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4"/>
      <c r="AN33" s="294"/>
      <c r="AO33" s="53"/>
      <c r="AP33" s="280" t="s">
        <v>39</v>
      </c>
      <c r="AQ33" s="281"/>
      <c r="AR33" s="281"/>
      <c r="AS33" s="281"/>
      <c r="AT33" s="282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8" t="s">
        <v>66</v>
      </c>
      <c r="C34" s="249"/>
      <c r="D34" s="249"/>
      <c r="E34" s="249"/>
      <c r="F34" s="249"/>
      <c r="G34" s="56">
        <f>G33/1.2</f>
        <v>219.13333333333333</v>
      </c>
      <c r="H34" s="57" t="s">
        <v>50</v>
      </c>
      <c r="I34" s="29"/>
      <c r="J34" s="248" t="s">
        <v>66</v>
      </c>
      <c r="K34" s="249"/>
      <c r="L34" s="249"/>
      <c r="M34" s="249"/>
      <c r="N34" s="249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42" t="s">
        <v>41</v>
      </c>
      <c r="AQ34" s="243"/>
      <c r="AR34" s="243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9" t="s">
        <v>158</v>
      </c>
      <c r="C35" s="290"/>
      <c r="D35" s="290"/>
      <c r="E35" s="290"/>
      <c r="F35" s="290"/>
      <c r="G35" s="191">
        <f>G29*0.708</f>
        <v>244.96799999999999</v>
      </c>
      <c r="H35" s="190" t="s">
        <v>50</v>
      </c>
      <c r="I35" s="29"/>
      <c r="J35" s="289" t="s">
        <v>158</v>
      </c>
      <c r="K35" s="290"/>
      <c r="L35" s="290"/>
      <c r="M35" s="290"/>
      <c r="N35" s="290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42" t="s">
        <v>5</v>
      </c>
      <c r="AQ35" s="243"/>
      <c r="AR35" s="243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23" t="s">
        <v>79</v>
      </c>
      <c r="C36" s="224"/>
      <c r="D36" s="224"/>
      <c r="E36" s="224"/>
      <c r="F36" s="224"/>
      <c r="G36" s="224"/>
      <c r="H36" s="225"/>
      <c r="I36" s="11"/>
      <c r="J36" s="223" t="s">
        <v>80</v>
      </c>
      <c r="K36" s="224"/>
      <c r="L36" s="224"/>
      <c r="M36" s="224"/>
      <c r="N36" s="224"/>
      <c r="O36" s="224"/>
      <c r="P36" s="225"/>
      <c r="Q36" s="11"/>
      <c r="R36" s="12"/>
      <c r="S36" s="223" t="s">
        <v>79</v>
      </c>
      <c r="T36" s="224"/>
      <c r="U36" s="224"/>
      <c r="V36" s="224"/>
      <c r="W36" s="224"/>
      <c r="X36" s="224"/>
      <c r="Y36" s="225"/>
      <c r="Z36" s="11"/>
      <c r="AA36" s="223" t="s">
        <v>80</v>
      </c>
      <c r="AB36" s="224"/>
      <c r="AC36" s="224"/>
      <c r="AD36" s="224"/>
      <c r="AE36" s="224"/>
      <c r="AF36" s="224"/>
      <c r="AG36" s="225"/>
      <c r="AH36" s="13"/>
      <c r="AI36" s="12"/>
      <c r="AJ36" s="29"/>
      <c r="AK36" s="29"/>
      <c r="AL36" s="29"/>
      <c r="AM36" s="29"/>
      <c r="AN36" s="29"/>
      <c r="AO36" s="11"/>
      <c r="AP36" s="242" t="s">
        <v>74</v>
      </c>
      <c r="AQ36" s="243"/>
      <c r="AR36" s="243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40" t="s">
        <v>46</v>
      </c>
      <c r="C37" s="241"/>
      <c r="D37" s="241"/>
      <c r="E37" s="241"/>
      <c r="F37" s="241"/>
      <c r="G37" s="30">
        <v>185</v>
      </c>
      <c r="H37" s="31" t="s">
        <v>47</v>
      </c>
      <c r="I37" s="29"/>
      <c r="J37" s="240" t="s">
        <v>46</v>
      </c>
      <c r="K37" s="241"/>
      <c r="L37" s="241"/>
      <c r="M37" s="241"/>
      <c r="N37" s="241"/>
      <c r="O37" s="30">
        <v>240</v>
      </c>
      <c r="P37" s="31" t="s">
        <v>47</v>
      </c>
      <c r="Q37" s="29"/>
      <c r="R37" s="32"/>
      <c r="S37" s="226" t="s">
        <v>46</v>
      </c>
      <c r="T37" s="227"/>
      <c r="U37" s="227"/>
      <c r="V37" s="227"/>
      <c r="W37" s="228"/>
      <c r="X37" s="30">
        <v>185</v>
      </c>
      <c r="Y37" s="31" t="s">
        <v>47</v>
      </c>
      <c r="Z37" s="29"/>
      <c r="AA37" s="226" t="s">
        <v>46</v>
      </c>
      <c r="AB37" s="227"/>
      <c r="AC37" s="227"/>
      <c r="AD37" s="227"/>
      <c r="AE37" s="228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91" t="s">
        <v>75</v>
      </c>
      <c r="AQ37" s="292"/>
      <c r="AR37" s="293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42" t="s">
        <v>49</v>
      </c>
      <c r="C38" s="243"/>
      <c r="D38" s="243"/>
      <c r="E38" s="243"/>
      <c r="F38" s="243"/>
      <c r="G38" s="34">
        <v>429</v>
      </c>
      <c r="H38" s="27" t="s">
        <v>50</v>
      </c>
      <c r="I38" s="29"/>
      <c r="J38" s="242" t="s">
        <v>49</v>
      </c>
      <c r="K38" s="243"/>
      <c r="L38" s="243"/>
      <c r="M38" s="243"/>
      <c r="N38" s="243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42" t="s">
        <v>60</v>
      </c>
      <c r="AQ38" s="243"/>
      <c r="AR38" s="243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42" t="s">
        <v>55</v>
      </c>
      <c r="C39" s="243"/>
      <c r="D39" s="243"/>
      <c r="E39" s="243"/>
      <c r="F39" s="243"/>
      <c r="G39" s="38">
        <f>G38/1.2</f>
        <v>357.5</v>
      </c>
      <c r="H39" s="27" t="s">
        <v>50</v>
      </c>
      <c r="I39" s="29"/>
      <c r="J39" s="242" t="s">
        <v>55</v>
      </c>
      <c r="K39" s="243"/>
      <c r="L39" s="243"/>
      <c r="M39" s="243"/>
      <c r="N39" s="243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42" t="s">
        <v>19</v>
      </c>
      <c r="AQ39" s="243"/>
      <c r="AR39" s="243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4" t="s">
        <v>58</v>
      </c>
      <c r="C40" s="245"/>
      <c r="D40" s="245"/>
      <c r="E40" s="245"/>
      <c r="F40" s="245"/>
      <c r="G40" s="41">
        <f>G38*0.87</f>
        <v>373.23</v>
      </c>
      <c r="H40" s="42" t="s">
        <v>50</v>
      </c>
      <c r="I40" s="29"/>
      <c r="J40" s="244" t="s">
        <v>58</v>
      </c>
      <c r="K40" s="245"/>
      <c r="L40" s="245"/>
      <c r="M40" s="245"/>
      <c r="N40" s="245"/>
      <c r="O40" s="41">
        <f>O38*0.87</f>
        <v>435</v>
      </c>
      <c r="P40" s="42" t="s">
        <v>50</v>
      </c>
      <c r="Q40" s="43"/>
      <c r="R40" s="44"/>
      <c r="S40" s="229" t="s">
        <v>59</v>
      </c>
      <c r="T40" s="230"/>
      <c r="U40" s="230"/>
      <c r="V40" s="230"/>
      <c r="W40" s="231"/>
      <c r="X40" s="45">
        <v>0.122</v>
      </c>
      <c r="Y40" s="46" t="s">
        <v>52</v>
      </c>
      <c r="Z40" s="29"/>
      <c r="AA40" s="229" t="s">
        <v>59</v>
      </c>
      <c r="AB40" s="230"/>
      <c r="AC40" s="230"/>
      <c r="AD40" s="230"/>
      <c r="AE40" s="231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42" t="s">
        <v>65</v>
      </c>
      <c r="AQ40" s="243"/>
      <c r="AR40" s="243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4" t="s">
        <v>62</v>
      </c>
      <c r="C41" s="245"/>
      <c r="D41" s="245"/>
      <c r="E41" s="245"/>
      <c r="F41" s="245"/>
      <c r="G41" s="41">
        <f>G40/1.2</f>
        <v>311.02500000000003</v>
      </c>
      <c r="H41" s="42" t="s">
        <v>50</v>
      </c>
      <c r="I41" s="29"/>
      <c r="J41" s="244" t="s">
        <v>62</v>
      </c>
      <c r="K41" s="245"/>
      <c r="L41" s="245"/>
      <c r="M41" s="245"/>
      <c r="N41" s="245"/>
      <c r="O41" s="41">
        <f>O40/1.2</f>
        <v>362.5</v>
      </c>
      <c r="P41" s="42" t="s">
        <v>50</v>
      </c>
      <c r="Q41" s="43"/>
      <c r="R41" s="44"/>
      <c r="S41" s="286"/>
      <c r="T41" s="286"/>
      <c r="U41" s="286"/>
      <c r="V41" s="286"/>
      <c r="W41" s="286"/>
      <c r="X41" s="48"/>
      <c r="Y41" s="29"/>
      <c r="Z41" s="29"/>
      <c r="AA41" s="286"/>
      <c r="AB41" s="286"/>
      <c r="AC41" s="286"/>
      <c r="AD41" s="286"/>
      <c r="AE41" s="286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7" t="s">
        <v>67</v>
      </c>
      <c r="AQ41" s="288"/>
      <c r="AR41" s="288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6" t="s">
        <v>64</v>
      </c>
      <c r="C42" s="247"/>
      <c r="D42" s="247"/>
      <c r="E42" s="247"/>
      <c r="F42" s="247"/>
      <c r="G42" s="51">
        <f>G38*0.76</f>
        <v>326.04000000000002</v>
      </c>
      <c r="H42" s="52" t="s">
        <v>50</v>
      </c>
      <c r="I42" s="29"/>
      <c r="J42" s="246" t="s">
        <v>64</v>
      </c>
      <c r="K42" s="247"/>
      <c r="L42" s="247"/>
      <c r="M42" s="247"/>
      <c r="N42" s="247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8" t="s">
        <v>66</v>
      </c>
      <c r="C43" s="249"/>
      <c r="D43" s="249"/>
      <c r="E43" s="249"/>
      <c r="F43" s="249"/>
      <c r="G43" s="56">
        <f>G42/1.2</f>
        <v>271.70000000000005</v>
      </c>
      <c r="H43" s="57" t="s">
        <v>50</v>
      </c>
      <c r="I43" s="29"/>
      <c r="J43" s="248" t="s">
        <v>66</v>
      </c>
      <c r="K43" s="249"/>
      <c r="L43" s="249"/>
      <c r="M43" s="249"/>
      <c r="N43" s="249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5" t="s">
        <v>81</v>
      </c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7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9" t="s">
        <v>158</v>
      </c>
      <c r="C44" s="290"/>
      <c r="D44" s="290"/>
      <c r="E44" s="290"/>
      <c r="F44" s="290"/>
      <c r="G44" s="191">
        <f>G38*0.708</f>
        <v>303.73199999999997</v>
      </c>
      <c r="H44" s="190" t="s">
        <v>50</v>
      </c>
      <c r="I44" s="29"/>
      <c r="J44" s="289" t="s">
        <v>158</v>
      </c>
      <c r="K44" s="290"/>
      <c r="L44" s="290"/>
      <c r="M44" s="290"/>
      <c r="N44" s="290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8"/>
      <c r="AK44" s="299"/>
      <c r="AL44" s="299"/>
      <c r="AM44" s="299"/>
      <c r="AN44" s="299"/>
      <c r="AO44" s="299"/>
      <c r="AP44" s="299"/>
      <c r="AQ44" s="299"/>
      <c r="AR44" s="299"/>
      <c r="AS44" s="299"/>
      <c r="AT44" s="299"/>
      <c r="AU44" s="299"/>
      <c r="AV44" s="299"/>
      <c r="AW44" s="299"/>
      <c r="AX44" s="300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23" t="s">
        <v>82</v>
      </c>
      <c r="C45" s="224"/>
      <c r="D45" s="224"/>
      <c r="E45" s="224"/>
      <c r="F45" s="224"/>
      <c r="G45" s="224"/>
      <c r="H45" s="225"/>
      <c r="I45" s="11"/>
      <c r="J45" s="223" t="s">
        <v>83</v>
      </c>
      <c r="K45" s="224"/>
      <c r="L45" s="224"/>
      <c r="M45" s="224"/>
      <c r="N45" s="224"/>
      <c r="O45" s="224"/>
      <c r="P45" s="225"/>
      <c r="Q45" s="11"/>
      <c r="R45" s="12"/>
      <c r="S45" s="223" t="s">
        <v>82</v>
      </c>
      <c r="T45" s="224"/>
      <c r="U45" s="224"/>
      <c r="V45" s="224"/>
      <c r="W45" s="224"/>
      <c r="X45" s="224"/>
      <c r="Y45" s="225"/>
      <c r="Z45" s="11"/>
      <c r="AA45" s="223" t="s">
        <v>83</v>
      </c>
      <c r="AB45" s="224"/>
      <c r="AC45" s="224"/>
      <c r="AD45" s="224"/>
      <c r="AE45" s="224"/>
      <c r="AF45" s="224"/>
      <c r="AG45" s="225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40" t="s">
        <v>46</v>
      </c>
      <c r="C46" s="241"/>
      <c r="D46" s="241"/>
      <c r="E46" s="241"/>
      <c r="F46" s="241"/>
      <c r="G46" s="30">
        <v>300</v>
      </c>
      <c r="H46" s="31" t="s">
        <v>47</v>
      </c>
      <c r="I46" s="29"/>
      <c r="J46" s="240" t="s">
        <v>46</v>
      </c>
      <c r="K46" s="241"/>
      <c r="L46" s="241"/>
      <c r="M46" s="241"/>
      <c r="N46" s="241"/>
      <c r="O46" s="30">
        <v>400</v>
      </c>
      <c r="P46" s="31" t="s">
        <v>47</v>
      </c>
      <c r="Q46" s="29"/>
      <c r="R46" s="32"/>
      <c r="S46" s="226" t="s">
        <v>46</v>
      </c>
      <c r="T46" s="227"/>
      <c r="U46" s="227"/>
      <c r="V46" s="227"/>
      <c r="W46" s="228"/>
      <c r="X46" s="30">
        <v>300</v>
      </c>
      <c r="Y46" s="31" t="s">
        <v>47</v>
      </c>
      <c r="Z46" s="29"/>
      <c r="AA46" s="226" t="s">
        <v>46</v>
      </c>
      <c r="AB46" s="227"/>
      <c r="AC46" s="227"/>
      <c r="AD46" s="227"/>
      <c r="AE46" s="228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42" t="s">
        <v>49</v>
      </c>
      <c r="C47" s="243"/>
      <c r="D47" s="243"/>
      <c r="E47" s="243"/>
      <c r="F47" s="243"/>
      <c r="G47" s="34">
        <v>545</v>
      </c>
      <c r="H47" s="27" t="s">
        <v>50</v>
      </c>
      <c r="I47" s="29"/>
      <c r="J47" s="242" t="s">
        <v>49</v>
      </c>
      <c r="K47" s="243"/>
      <c r="L47" s="243"/>
      <c r="M47" s="243"/>
      <c r="N47" s="243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42" t="s">
        <v>55</v>
      </c>
      <c r="C48" s="243"/>
      <c r="D48" s="243"/>
      <c r="E48" s="243"/>
      <c r="F48" s="243"/>
      <c r="G48" s="38">
        <f>G47/1.2</f>
        <v>454.16666666666669</v>
      </c>
      <c r="H48" s="27" t="s">
        <v>50</v>
      </c>
      <c r="I48" s="29"/>
      <c r="J48" s="242" t="s">
        <v>55</v>
      </c>
      <c r="K48" s="243"/>
      <c r="L48" s="243"/>
      <c r="M48" s="243"/>
      <c r="N48" s="243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4" t="s">
        <v>58</v>
      </c>
      <c r="C49" s="245"/>
      <c r="D49" s="245"/>
      <c r="E49" s="245"/>
      <c r="F49" s="245"/>
      <c r="G49" s="41">
        <f>G47*0.87</f>
        <v>474.15</v>
      </c>
      <c r="H49" s="42" t="s">
        <v>50</v>
      </c>
      <c r="I49" s="29"/>
      <c r="J49" s="244" t="s">
        <v>58</v>
      </c>
      <c r="K49" s="245"/>
      <c r="L49" s="245"/>
      <c r="M49" s="245"/>
      <c r="N49" s="245"/>
      <c r="O49" s="41">
        <f>O47*0.87</f>
        <v>522</v>
      </c>
      <c r="P49" s="42" t="s">
        <v>50</v>
      </c>
      <c r="Q49" s="43"/>
      <c r="R49" s="44"/>
      <c r="S49" s="229" t="s">
        <v>59</v>
      </c>
      <c r="T49" s="230"/>
      <c r="U49" s="230"/>
      <c r="V49" s="230"/>
      <c r="W49" s="231"/>
      <c r="X49" s="45">
        <v>0.11700000000000001</v>
      </c>
      <c r="Y49" s="46" t="s">
        <v>52</v>
      </c>
      <c r="Z49" s="29"/>
      <c r="AA49" s="229" t="s">
        <v>59</v>
      </c>
      <c r="AB49" s="230"/>
      <c r="AC49" s="230"/>
      <c r="AD49" s="230"/>
      <c r="AE49" s="231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4" t="s">
        <v>62</v>
      </c>
      <c r="C50" s="245"/>
      <c r="D50" s="245"/>
      <c r="E50" s="245"/>
      <c r="F50" s="245"/>
      <c r="G50" s="41">
        <f>G49/1.2</f>
        <v>395.125</v>
      </c>
      <c r="H50" s="42" t="s">
        <v>50</v>
      </c>
      <c r="I50" s="29"/>
      <c r="J50" s="244" t="s">
        <v>62</v>
      </c>
      <c r="K50" s="245"/>
      <c r="L50" s="245"/>
      <c r="M50" s="245"/>
      <c r="N50" s="245"/>
      <c r="O50" s="41">
        <f>O49/1.2</f>
        <v>435</v>
      </c>
      <c r="P50" s="42" t="s">
        <v>50</v>
      </c>
      <c r="Q50" s="43"/>
      <c r="R50" s="44"/>
      <c r="S50" s="286"/>
      <c r="T50" s="286"/>
      <c r="U50" s="286"/>
      <c r="V50" s="286"/>
      <c r="W50" s="286"/>
      <c r="X50" s="48"/>
      <c r="Y50" s="29"/>
      <c r="Z50" s="29"/>
      <c r="AA50" s="286"/>
      <c r="AB50" s="286"/>
      <c r="AC50" s="286"/>
      <c r="AD50" s="286"/>
      <c r="AE50" s="286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6" t="s">
        <v>64</v>
      </c>
      <c r="C51" s="247"/>
      <c r="D51" s="247"/>
      <c r="E51" s="247"/>
      <c r="F51" s="247"/>
      <c r="G51" s="51">
        <f>G47*0.76</f>
        <v>414.2</v>
      </c>
      <c r="H51" s="52" t="s">
        <v>50</v>
      </c>
      <c r="I51" s="29"/>
      <c r="J51" s="246" t="s">
        <v>64</v>
      </c>
      <c r="K51" s="247"/>
      <c r="L51" s="247"/>
      <c r="M51" s="247"/>
      <c r="N51" s="247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8" t="s">
        <v>66</v>
      </c>
      <c r="C52" s="249"/>
      <c r="D52" s="249"/>
      <c r="E52" s="249"/>
      <c r="F52" s="249"/>
      <c r="G52" s="56">
        <f>G51/1.2</f>
        <v>345.16666666666669</v>
      </c>
      <c r="H52" s="57" t="s">
        <v>50</v>
      </c>
      <c r="I52" s="69"/>
      <c r="J52" s="248" t="s">
        <v>66</v>
      </c>
      <c r="K52" s="249"/>
      <c r="L52" s="249"/>
      <c r="M52" s="249"/>
      <c r="N52" s="249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9" t="s">
        <v>158</v>
      </c>
      <c r="C53" s="290"/>
      <c r="D53" s="290"/>
      <c r="E53" s="290"/>
      <c r="F53" s="290"/>
      <c r="G53" s="191">
        <f>G47*0.708</f>
        <v>385.85999999999996</v>
      </c>
      <c r="H53" s="190" t="s">
        <v>50</v>
      </c>
      <c r="J53" s="289" t="s">
        <v>158</v>
      </c>
      <c r="K53" s="290"/>
      <c r="L53" s="290"/>
      <c r="M53" s="290"/>
      <c r="N53" s="290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4" t="s">
        <v>138</v>
      </c>
      <c r="C55" s="215"/>
      <c r="D55" s="215"/>
      <c r="E55" s="215"/>
      <c r="F55" s="215"/>
      <c r="G55" s="215"/>
      <c r="H55" s="216"/>
      <c r="J55" s="223" t="s">
        <v>139</v>
      </c>
      <c r="K55" s="224"/>
      <c r="L55" s="224"/>
      <c r="M55" s="224"/>
      <c r="N55" s="224"/>
      <c r="O55" s="224"/>
      <c r="P55" s="225"/>
      <c r="S55" s="214" t="s">
        <v>138</v>
      </c>
      <c r="T55" s="215"/>
      <c r="U55" s="215"/>
      <c r="V55" s="215"/>
      <c r="W55" s="215"/>
      <c r="X55" s="215"/>
      <c r="Y55" s="216"/>
      <c r="AA55" s="223" t="s">
        <v>139</v>
      </c>
      <c r="AB55" s="224"/>
      <c r="AC55" s="224"/>
      <c r="AD55" s="224"/>
      <c r="AE55" s="224"/>
      <c r="AF55" s="224"/>
      <c r="AG55" s="225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32" t="s">
        <v>46</v>
      </c>
      <c r="C56" s="233"/>
      <c r="D56" s="233"/>
      <c r="E56" s="233"/>
      <c r="F56" s="233"/>
      <c r="G56" s="134">
        <v>400</v>
      </c>
      <c r="H56" s="135" t="s">
        <v>47</v>
      </c>
      <c r="J56" s="240" t="s">
        <v>46</v>
      </c>
      <c r="K56" s="241"/>
      <c r="L56" s="241"/>
      <c r="M56" s="241"/>
      <c r="N56" s="241"/>
      <c r="O56" s="30">
        <v>630</v>
      </c>
      <c r="P56" s="31" t="s">
        <v>47</v>
      </c>
      <c r="S56" s="217" t="s">
        <v>46</v>
      </c>
      <c r="T56" s="218"/>
      <c r="U56" s="218"/>
      <c r="V56" s="218"/>
      <c r="W56" s="219"/>
      <c r="X56" s="134">
        <v>500</v>
      </c>
      <c r="Y56" s="135" t="s">
        <v>47</v>
      </c>
      <c r="AA56" s="226" t="s">
        <v>46</v>
      </c>
      <c r="AB56" s="227"/>
      <c r="AC56" s="227"/>
      <c r="AD56" s="227"/>
      <c r="AE56" s="228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4" t="s">
        <v>49</v>
      </c>
      <c r="C57" s="235"/>
      <c r="D57" s="235"/>
      <c r="E57" s="235"/>
      <c r="F57" s="235"/>
      <c r="G57" s="144">
        <v>659</v>
      </c>
      <c r="H57" s="140" t="s">
        <v>50</v>
      </c>
      <c r="J57" s="242" t="s">
        <v>49</v>
      </c>
      <c r="K57" s="243"/>
      <c r="L57" s="243"/>
      <c r="M57" s="243"/>
      <c r="N57" s="243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4" t="s">
        <v>55</v>
      </c>
      <c r="C58" s="235"/>
      <c r="D58" s="235"/>
      <c r="E58" s="235"/>
      <c r="F58" s="235"/>
      <c r="G58" s="145">
        <f>G57/1.2</f>
        <v>549.16666666666674</v>
      </c>
      <c r="H58" s="140" t="s">
        <v>50</v>
      </c>
      <c r="J58" s="242" t="s">
        <v>55</v>
      </c>
      <c r="K58" s="243"/>
      <c r="L58" s="243"/>
      <c r="M58" s="243"/>
      <c r="N58" s="243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6" t="s">
        <v>58</v>
      </c>
      <c r="C59" s="237"/>
      <c r="D59" s="237"/>
      <c r="E59" s="237"/>
      <c r="F59" s="237"/>
      <c r="G59" s="146">
        <f>G57*0.87</f>
        <v>573.33000000000004</v>
      </c>
      <c r="H59" s="147" t="s">
        <v>50</v>
      </c>
      <c r="J59" s="244" t="s">
        <v>58</v>
      </c>
      <c r="K59" s="245"/>
      <c r="L59" s="245"/>
      <c r="M59" s="245"/>
      <c r="N59" s="245"/>
      <c r="O59" s="41">
        <f>O57*0.87</f>
        <v>627.27</v>
      </c>
      <c r="P59" s="42" t="s">
        <v>50</v>
      </c>
      <c r="S59" s="220" t="s">
        <v>59</v>
      </c>
      <c r="T59" s="221"/>
      <c r="U59" s="221"/>
      <c r="V59" s="221"/>
      <c r="W59" s="222"/>
      <c r="X59" s="142">
        <v>0.112</v>
      </c>
      <c r="Y59" s="143" t="s">
        <v>52</v>
      </c>
      <c r="AA59" s="229" t="s">
        <v>59</v>
      </c>
      <c r="AB59" s="230"/>
      <c r="AC59" s="230"/>
      <c r="AD59" s="230"/>
      <c r="AE59" s="231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6" t="s">
        <v>62</v>
      </c>
      <c r="C60" s="237"/>
      <c r="D60" s="237"/>
      <c r="E60" s="237"/>
      <c r="F60" s="237"/>
      <c r="G60" s="146">
        <f>G59/1.2</f>
        <v>477.77500000000003</v>
      </c>
      <c r="H60" s="147" t="s">
        <v>50</v>
      </c>
      <c r="J60" s="244" t="s">
        <v>62</v>
      </c>
      <c r="K60" s="245"/>
      <c r="L60" s="245"/>
      <c r="M60" s="245"/>
      <c r="N60" s="24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301" t="s">
        <v>64</v>
      </c>
      <c r="C61" s="302"/>
      <c r="D61" s="302"/>
      <c r="E61" s="302"/>
      <c r="F61" s="302"/>
      <c r="G61" s="148">
        <f>G57*0.76</f>
        <v>500.84000000000003</v>
      </c>
      <c r="H61" s="149" t="s">
        <v>50</v>
      </c>
      <c r="J61" s="246" t="s">
        <v>64</v>
      </c>
      <c r="K61" s="247"/>
      <c r="L61" s="247"/>
      <c r="M61" s="247"/>
      <c r="N61" s="247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8" t="s">
        <v>66</v>
      </c>
      <c r="C62" s="239"/>
      <c r="D62" s="239"/>
      <c r="E62" s="239"/>
      <c r="F62" s="239"/>
      <c r="G62" s="150">
        <f>G61/1.2</f>
        <v>417.36666666666673</v>
      </c>
      <c r="H62" s="151" t="s">
        <v>50</v>
      </c>
      <c r="J62" s="248" t="s">
        <v>66</v>
      </c>
      <c r="K62" s="249"/>
      <c r="L62" s="249"/>
      <c r="M62" s="249"/>
      <c r="N62" s="249"/>
      <c r="O62" s="56">
        <f>O61/1.2</f>
        <v>456.63333333333338</v>
      </c>
      <c r="P62" s="57" t="s">
        <v>50</v>
      </c>
    </row>
    <row r="63" spans="1:68" ht="15" customHeight="1" x14ac:dyDescent="0.25">
      <c r="B63" s="289" t="s">
        <v>158</v>
      </c>
      <c r="C63" s="290"/>
      <c r="D63" s="290"/>
      <c r="E63" s="290"/>
      <c r="F63" s="290"/>
      <c r="G63" s="191">
        <f>G57*0.708</f>
        <v>466.572</v>
      </c>
      <c r="H63" s="190" t="s">
        <v>50</v>
      </c>
      <c r="J63" s="289" t="s">
        <v>158</v>
      </c>
      <c r="K63" s="290"/>
      <c r="L63" s="290"/>
      <c r="M63" s="290"/>
      <c r="N63" s="290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2020-11-16T21:28:15Z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