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812AE0A4-89E3-425E-8DE2-2D40713FDA4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Calculo!$I$8:$J$8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Calculo!$AF$8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Calculo!$I$8</definedName>
    <definedName name="solver_lhs3" localSheetId="1" hidden="1">Avaliação!$A$4</definedName>
    <definedName name="solver_lhs3" localSheetId="0" hidden="1">Calculo!$I$8</definedName>
    <definedName name="solver_lhs4" localSheetId="1" hidden="1">Avaliação!$A$4</definedName>
    <definedName name="solver_lhs4" localSheetId="0" hidden="1">Calculo!$J$8</definedName>
    <definedName name="solver_lhs5" localSheetId="1" hidden="1">Avaliação!$AA$3</definedName>
    <definedName name="solver_lhs5" localSheetId="0" hidden="1">Calculo!$J$8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3" l="1"/>
  <c r="L60" i="3"/>
  <c r="K60" i="3"/>
  <c r="J60" i="3"/>
  <c r="I60" i="3"/>
  <c r="H60" i="3"/>
  <c r="M59" i="3"/>
  <c r="L59" i="3"/>
  <c r="K59" i="3"/>
  <c r="J59" i="3"/>
  <c r="I59" i="3"/>
  <c r="H59" i="3"/>
  <c r="M58" i="3"/>
  <c r="L58" i="3"/>
  <c r="K58" i="3"/>
  <c r="J58" i="3"/>
  <c r="I58" i="3"/>
  <c r="H58" i="3"/>
  <c r="M57" i="3"/>
  <c r="L57" i="3"/>
  <c r="K57" i="3"/>
  <c r="J57" i="3"/>
  <c r="I57" i="3"/>
  <c r="H57" i="3"/>
  <c r="M56" i="3"/>
  <c r="L56" i="3"/>
  <c r="K56" i="3"/>
  <c r="J56" i="3"/>
  <c r="I56" i="3"/>
  <c r="H56" i="3"/>
  <c r="M55" i="3"/>
  <c r="L55" i="3"/>
  <c r="K55" i="3"/>
  <c r="J55" i="3"/>
  <c r="I55" i="3"/>
  <c r="H55" i="3"/>
  <c r="M54" i="3"/>
  <c r="L54" i="3"/>
  <c r="K54" i="3"/>
  <c r="J54" i="3"/>
  <c r="I54" i="3"/>
  <c r="H54" i="3"/>
  <c r="M53" i="3"/>
  <c r="L53" i="3"/>
  <c r="K53" i="3"/>
  <c r="J53" i="3"/>
  <c r="I53" i="3"/>
  <c r="H53" i="3"/>
  <c r="M52" i="3"/>
  <c r="L52" i="3"/>
  <c r="K52" i="3"/>
  <c r="J52" i="3"/>
  <c r="I52" i="3"/>
  <c r="H52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H32" i="3"/>
  <c r="H31" i="3"/>
  <c r="H30" i="3"/>
  <c r="H29" i="3"/>
  <c r="H28" i="3"/>
  <c r="H27" i="3"/>
  <c r="H26" i="3"/>
  <c r="H25" i="3"/>
  <c r="H24" i="3"/>
  <c r="H23" i="3"/>
  <c r="H22" i="3"/>
  <c r="H20" i="3"/>
  <c r="H19" i="3"/>
  <c r="H18" i="3"/>
  <c r="H17" i="3"/>
  <c r="K16" i="3"/>
  <c r="H16" i="3"/>
  <c r="H15" i="3"/>
  <c r="H14" i="3"/>
  <c r="K13" i="3"/>
  <c r="H13" i="3"/>
  <c r="H12" i="3"/>
  <c r="H11" i="3"/>
  <c r="H10" i="3"/>
  <c r="H9" i="3"/>
  <c r="AU5" i="9"/>
  <c r="AU6" i="9"/>
  <c r="AU7" i="9"/>
  <c r="AW7" i="9" s="1"/>
  <c r="AX7" i="9" s="1"/>
  <c r="AU8" i="9"/>
  <c r="AW8" i="9" s="1"/>
  <c r="AX8" i="9" s="1"/>
  <c r="AU4" i="9"/>
  <c r="AW4" i="9" s="1"/>
  <c r="AX4" i="9" s="1"/>
  <c r="AT5" i="9"/>
  <c r="AT6" i="9"/>
  <c r="AT7" i="9"/>
  <c r="AT8" i="9"/>
  <c r="AT4" i="9"/>
  <c r="AZ8" i="9"/>
  <c r="AZ7" i="9"/>
  <c r="AZ6" i="9"/>
  <c r="AW6" i="9"/>
  <c r="AX6" i="9" s="1"/>
  <c r="AV6" i="9"/>
  <c r="AZ5" i="9"/>
  <c r="AY5" i="9"/>
  <c r="AW5" i="9"/>
  <c r="AX5" i="9" s="1"/>
  <c r="AZ4" i="9"/>
  <c r="AY4" i="9"/>
  <c r="AY2" i="9"/>
  <c r="AY8" i="9" s="1"/>
  <c r="AV7" i="9" l="1"/>
  <c r="AT9" i="9"/>
  <c r="BA7" i="9"/>
  <c r="BB7" i="9" s="1"/>
  <c r="AV4" i="9"/>
  <c r="BA4" i="9" s="1"/>
  <c r="BB4" i="9" s="1"/>
  <c r="AV8" i="9"/>
  <c r="BA8" i="9" s="1"/>
  <c r="BB8" i="9" s="1"/>
  <c r="AV5" i="9"/>
  <c r="BA5" i="9" s="1"/>
  <c r="BB5" i="9" s="1"/>
  <c r="AY6" i="9"/>
  <c r="BA6" i="9" s="1"/>
  <c r="BB6" i="9" s="1"/>
  <c r="AY7" i="9"/>
  <c r="C32" i="3"/>
  <c r="K8" i="9"/>
  <c r="G4" i="9"/>
  <c r="H4" i="9"/>
  <c r="G5" i="9"/>
  <c r="H5" i="9"/>
  <c r="G6" i="9"/>
  <c r="H6" i="9"/>
  <c r="G7" i="9"/>
  <c r="H7" i="9"/>
  <c r="BB9" i="9" l="1"/>
  <c r="K5" i="9"/>
  <c r="K7" i="9"/>
  <c r="K6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T8" i="9" l="1"/>
  <c r="S8" i="9"/>
  <c r="P8" i="9"/>
  <c r="A8" i="9"/>
  <c r="R8" i="9" s="1"/>
  <c r="AO7" i="9"/>
  <c r="T7" i="9"/>
  <c r="S7" i="9"/>
  <c r="P7" i="9"/>
  <c r="F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8" i="9" l="1"/>
  <c r="V6" i="9"/>
  <c r="U6" i="9"/>
  <c r="V7" i="9"/>
  <c r="U7" i="9"/>
  <c r="V8" i="9"/>
  <c r="V5" i="9"/>
  <c r="U5" i="9"/>
  <c r="U4" i="9"/>
  <c r="V4" i="9"/>
  <c r="X7" i="9" l="1"/>
  <c r="W7" i="9"/>
  <c r="X8" i="9"/>
  <c r="W8" i="9"/>
  <c r="W6" i="9"/>
  <c r="X6" i="9"/>
  <c r="W5" i="9"/>
  <c r="X5" i="9"/>
  <c r="W4" i="9"/>
  <c r="X4" i="9"/>
  <c r="Z4" i="9" l="1"/>
  <c r="Y4" i="9"/>
  <c r="AA4" i="9" s="1"/>
  <c r="AL4" i="9" l="1"/>
  <c r="AJ4" i="9"/>
  <c r="AB4" i="9"/>
  <c r="AC4" i="9" s="1"/>
  <c r="Z5" i="9"/>
  <c r="Y5" i="9"/>
  <c r="AA5" i="9" s="1"/>
  <c r="AD4" i="9" l="1"/>
  <c r="AS4" i="9" s="1"/>
  <c r="AE4" i="9"/>
  <c r="AF4" i="9" s="1"/>
  <c r="Z6" i="9"/>
  <c r="Y6" i="9"/>
  <c r="AA6" i="9" s="1"/>
  <c r="AL5" i="9"/>
  <c r="AJ5" i="9"/>
  <c r="AB5" i="9"/>
  <c r="AC5" i="9" s="1"/>
  <c r="Y7" i="9" l="1"/>
  <c r="AA7" i="9" s="1"/>
  <c r="Z7" i="9"/>
  <c r="AL6" i="9"/>
  <c r="AJ6" i="9"/>
  <c r="AB6" i="9"/>
  <c r="AC6" i="9" s="1"/>
  <c r="AE5" i="9"/>
  <c r="AF5" i="9" s="1"/>
  <c r="AD5" i="9"/>
  <c r="AS5" i="9" s="1"/>
  <c r="AI4" i="9"/>
  <c r="AP4" i="9" l="1"/>
  <c r="AK4" i="9"/>
  <c r="AI5" i="9"/>
  <c r="AL7" i="9"/>
  <c r="AJ7" i="9"/>
  <c r="AB7" i="9"/>
  <c r="AC7" i="9" s="1"/>
  <c r="AD6" i="9"/>
  <c r="AS6" i="9" s="1"/>
  <c r="AE6" i="9"/>
  <c r="AF6" i="9" s="1"/>
  <c r="AP5" i="9" l="1"/>
  <c r="AK5" i="9"/>
  <c r="AI6" i="9"/>
  <c r="AD7" i="9"/>
  <c r="AS7" i="9" s="1"/>
  <c r="AE7" i="9"/>
  <c r="AF7" i="9" s="1"/>
  <c r="AP6" i="9" l="1"/>
  <c r="AK6" i="9"/>
  <c r="AI7" i="9"/>
  <c r="AP7" i="9" l="1"/>
  <c r="AK7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8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E50" i="3"/>
  <c r="E49" i="3"/>
  <c r="F59" i="3"/>
  <c r="Q59" i="3" s="1"/>
  <c r="E59" i="3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N59" i="3"/>
  <c r="P50" i="3"/>
  <c r="N50" i="3"/>
  <c r="Q50" i="3"/>
  <c r="P49" i="3"/>
  <c r="Q49" i="3"/>
  <c r="O49" i="3"/>
  <c r="N49" i="3"/>
  <c r="D60" i="3"/>
  <c r="Q51" i="3"/>
  <c r="P51" i="3"/>
  <c r="N51" i="3"/>
  <c r="O51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P52" i="3"/>
  <c r="Q60" i="3"/>
  <c r="O60" i="3"/>
  <c r="N60" i="3"/>
  <c r="P60" i="3"/>
  <c r="V60" i="3"/>
  <c r="U60" i="3"/>
  <c r="T60" i="3"/>
  <c r="S60" i="3"/>
  <c r="R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O54" i="3" l="1"/>
  <c r="N54" i="3"/>
  <c r="P54" i="3"/>
  <c r="Q54" i="3"/>
  <c r="Q56" i="3"/>
  <c r="P56" i="3"/>
  <c r="N56" i="3"/>
  <c r="O56" i="3"/>
  <c r="Q55" i="3"/>
  <c r="P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7" i="9"/>
  <c r="Q5" i="9"/>
  <c r="Q4" i="9"/>
  <c r="Q6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N57" i="3"/>
  <c r="O57" i="3"/>
  <c r="Q57" i="3"/>
  <c r="P57" i="3"/>
  <c r="N53" i="3"/>
  <c r="Q53" i="3"/>
  <c r="O53" i="3"/>
  <c r="P53" i="3"/>
  <c r="R54" i="3"/>
  <c r="V54" i="3"/>
  <c r="T54" i="3"/>
  <c r="U54" i="3"/>
  <c r="S54" i="3"/>
  <c r="R50" i="3"/>
  <c r="V50" i="3"/>
  <c r="U50" i="3"/>
  <c r="S50" i="3"/>
  <c r="T50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5" i="9" l="1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AM4" i="9"/>
  <c r="AN4" i="9" s="1"/>
  <c r="AR4" i="9" s="1"/>
  <c r="AG4" i="9"/>
  <c r="AH4" i="9" s="1"/>
  <c r="AQ4" i="9" s="1"/>
  <c r="AM7" i="9"/>
  <c r="AN7" i="9" s="1"/>
  <c r="AR7" i="9" s="1"/>
  <c r="AG7" i="9"/>
  <c r="AH7" i="9" s="1"/>
  <c r="AQ7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8" i="9" l="1"/>
  <c r="Z8" i="9" s="1"/>
  <c r="AL8" i="9" l="1"/>
  <c r="AJ8" i="9"/>
  <c r="D8" i="9" l="1"/>
  <c r="AO8" i="9" s="1"/>
  <c r="E8" i="9"/>
  <c r="F8" i="9" l="1"/>
  <c r="Y8" i="9" s="1"/>
  <c r="AA8" i="9" s="1"/>
  <c r="AM8" i="9" s="1"/>
  <c r="AN8" i="9" s="1"/>
  <c r="AR8" i="9" s="1"/>
  <c r="AB8" i="9" l="1"/>
  <c r="AC8" i="9" s="1"/>
  <c r="AD8" i="9" s="1"/>
  <c r="AS8" i="9" s="1"/>
  <c r="AE8" i="9" l="1"/>
  <c r="AF8" i="9" s="1"/>
  <c r="AI8" i="9"/>
  <c r="AG8" i="9"/>
  <c r="AH8" i="9" s="1"/>
  <c r="AQ8" i="9" l="1"/>
  <c r="AP8" i="9"/>
  <c r="AK8" i="9"/>
</calcChain>
</file>

<file path=xl/sharedStrings.xml><?xml version="1.0" encoding="utf-8"?>
<sst xmlns="http://schemas.openxmlformats.org/spreadsheetml/2006/main" count="645" uniqueCount="181">
  <si>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</si>
  <si>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</si>
  <si>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</si>
  <si>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</si>
  <si>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</si>
  <si>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</si>
  <si>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</si>
  <si>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</si>
  <si>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</si>
  <si>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</si>
  <si>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</si>
  <si>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</si>
  <si>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</si>
  <si>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</si>
  <si>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</si>
  <si>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</si>
  <si>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</si>
  <si>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</si>
  <si>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</si>
  <si>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</si>
  <si>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</si>
  <si>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</si>
  <si>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</si>
  <si>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</si>
  <si>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</si>
  <si>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</si>
  <si>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</si>
  <si>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</si>
  <si>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</si>
  <si>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</si>
  <si>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</si>
  <si>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</si>
  <si>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</si>
  <si>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</si>
  <si>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</si>
  <si>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</si>
  <si>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</si>
  <si>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</si>
  <si>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</si>
  <si>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</si>
  <si>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</si>
  <si>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</si>
  <si>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</si>
  <si>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</si>
  <si>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</si>
  <si>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</si>
  <si>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</si>
  <si>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</si>
  <si>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</si>
  <si>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</si>
  <si>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</si>
  <si>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</si>
  <si>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</si>
  <si>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</si>
  <si>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</si>
  <si>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</si>
  <si>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</si>
  <si>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</si>
  <si>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</si>
  <si>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</si>
  <si>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</si>
  <si>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</si>
  <si>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</si>
  <si>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</si>
  <si>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</si>
  <si>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</si>
  <si>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</si>
  <si>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</si>
  <si>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</si>
  <si>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</si>
  <si>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</si>
  <si>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</si>
  <si>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</si>
  <si>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</si>
  <si>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</si>
  <si>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</si>
  <si>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</si>
  <si>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</si>
  <si>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</si>
  <si>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</si>
  <si>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</si>
  <si>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</si>
  <si>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</si>
  <si>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</si>
  <si>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</si>
  <si>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</si>
  <si>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</si>
  <si>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</si>
  <si>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</si>
  <si>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</si>
  <si>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</si>
  <si>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</si>
  <si>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</si>
  <si>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</si>
  <si>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</si>
  <si>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</si>
  <si>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</si>
  <si>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</si>
  <si>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</si>
  <si>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</si>
  <si>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</si>
  <si>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</si>
  <si>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</si>
  <si>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</si>
  <si>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</si>
  <si>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</si>
  <si>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</si>
  <si>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</si>
  <si>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</si>
  <si>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</si>
  <si>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</si>
  <si>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</si>
  <si>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</si>
  <si>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</si>
  <si>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</si>
  <si>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</si>
  <si>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</si>
  <si>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</si>
  <si>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</si>
  <si>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</si>
  <si>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</si>
  <si>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</si>
  <si>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</si>
  <si>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</si>
  <si>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</si>
  <si>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</si>
  <si>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</si>
  <si>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</si>
  <si>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</si>
  <si>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</si>
  <si>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</si>
  <si>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</si>
  <si>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</si>
  <si>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</si>
  <si>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</si>
  <si>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</si>
  <si>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</si>
  <si>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</si>
  <si>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</si>
  <si>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</si>
  <si>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</si>
  <si>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</si>
  <si>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</si>
  <si>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</si>
  <si>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</si>
  <si>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</si>
  <si>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</si>
  <si>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</si>
  <si>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</si>
  <si>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</si>
  <si>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</si>
  <si>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</si>
  <si>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</si>
  <si>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</si>
  <si>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</si>
  <si>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</si>
  <si>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</si>
  <si>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</si>
  <si>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</si>
  <si>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</si>
  <si>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</si>
  <si>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</si>
  <si>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</si>
  <si>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</si>
  <si>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</si>
  <si>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20/35kV EPR 185mm2 Cu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</si>
  <si>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</si>
  <si>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</si>
  <si>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</si>
  <si>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</si>
  <si>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</si>
  <si>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</si>
  <si>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</si>
  <si>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</si>
  <si>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</si>
  <si>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</si>
  <si>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</si>
  <si>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</si>
  <si>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</si>
  <si>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</si>
  <si>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26/45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</si>
</sst>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169" fontId="0" fillId="0" borderId="0" xfId="0" applyNumberFormat="1"/>
    <xf numFmtId="43" fontId="0" fillId="0" borderId="0" xfId="0" applyNumberFormat="1"/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6</xdr:row>
      <xdr:rowOff>38100</xdr:rowOff>
    </xdr:from>
    <xdr:to>
      <xdr:col>46</xdr:col>
      <xdr:colOff>72693</xdr:colOff>
      <xdr:row>6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5</xdr:row>
      <xdr:rowOff>152400</xdr:rowOff>
    </xdr:from>
    <xdr:to>
      <xdr:col>47</xdr:col>
      <xdr:colOff>716339</xdr:colOff>
      <xdr:row>5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6745369-9106-492D-99EA-1A719111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78200" y="7715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48</xdr:col>
      <xdr:colOff>28395</xdr:colOff>
      <xdr:row>7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6" name="Imagem 5">
          <a:extLst>
            <a:ext uri="{FF2B5EF4-FFF2-40B4-BE49-F238E27FC236}">
              <a16:creationId xmlns:a16="http://schemas.microsoft.com/office/drawing/2014/main" id="{F9B1C4E4-6CFF-4506-8E97-E60C57EE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40100" y="2066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8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8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23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8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45</xdr:col>
      <xdr:colOff>483659</xdr:colOff>
      <xdr:row>15</xdr:row>
      <xdr:rowOff>158750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54159" y="302683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5</xdr:row>
      <xdr:rowOff>152400</xdr:rowOff>
    </xdr:from>
    <xdr:to>
      <xdr:col>48</xdr:col>
      <xdr:colOff>421064</xdr:colOff>
      <xdr:row>5</xdr:row>
      <xdr:rowOff>152400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B251B36-3A54-41CD-AB1B-5C369E87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14425"/>
          <a:ext cx="123068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7</xdr:row>
      <xdr:rowOff>104775</xdr:rowOff>
    </xdr:from>
    <xdr:to>
      <xdr:col>49</xdr:col>
      <xdr:colOff>47445</xdr:colOff>
      <xdr:row>7</xdr:row>
      <xdr:rowOff>104775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EB72DDBB-9F09-4215-807E-8729CCD0C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447800"/>
          <a:ext cx="1457145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4</xdr:row>
      <xdr:rowOff>152400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801986C9-7AC8-427E-A59B-8475B659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29B39E54-83BF-40FF-B9AD-D7DC59D5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28" name="Imagem 27">
          <a:extLst>
            <a:ext uri="{FF2B5EF4-FFF2-40B4-BE49-F238E27FC236}">
              <a16:creationId xmlns:a16="http://schemas.microsoft.com/office/drawing/2014/main" id="{3F9945AA-96EC-42CE-8D77-C0696BAA5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29" name="Imagem 28">
          <a:extLst>
            <a:ext uri="{FF2B5EF4-FFF2-40B4-BE49-F238E27FC236}">
              <a16:creationId xmlns:a16="http://schemas.microsoft.com/office/drawing/2014/main" id="{7F0F8FB0-AB7B-4CAE-9733-7626BF47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0" name="Imagem 29">
          <a:extLst>
            <a:ext uri="{FF2B5EF4-FFF2-40B4-BE49-F238E27FC236}">
              <a16:creationId xmlns:a16="http://schemas.microsoft.com/office/drawing/2014/main" id="{ADA555E2-6CF6-4843-A032-820DC2B89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1DDE85EE-AE3E-4822-9977-94FDC72B2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2" name="Imagem 31">
          <a:extLst>
            <a:ext uri="{FF2B5EF4-FFF2-40B4-BE49-F238E27FC236}">
              <a16:creationId xmlns:a16="http://schemas.microsoft.com/office/drawing/2014/main" id="{1F78A1FE-0EB6-4A9A-B0D8-F33730E8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3" name="Imagem 32">
          <a:extLst>
            <a:ext uri="{FF2B5EF4-FFF2-40B4-BE49-F238E27FC236}">
              <a16:creationId xmlns:a16="http://schemas.microsoft.com/office/drawing/2014/main" id="{6DB9F25A-044D-4EB7-900D-4D66A8AF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2CDCF353-E0F4-4484-8306-D62F05464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B24D3110-1A55-48C7-AF25-1BF9A810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27514" cy="0"/>
    <xdr:pic>
      <xdr:nvPicPr>
        <xdr:cNvPr id="36" name="Imagem 35">
          <a:extLst>
            <a:ext uri="{FF2B5EF4-FFF2-40B4-BE49-F238E27FC236}">
              <a16:creationId xmlns:a16="http://schemas.microsoft.com/office/drawing/2014/main" id="{D57EC730-793A-407E-8807-C174D274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8</xdr:row>
      <xdr:rowOff>0</xdr:rowOff>
    </xdr:from>
    <xdr:ext cx="1450795" cy="0"/>
    <xdr:pic>
      <xdr:nvPicPr>
        <xdr:cNvPr id="37" name="Imagem 36">
          <a:extLst>
            <a:ext uri="{FF2B5EF4-FFF2-40B4-BE49-F238E27FC236}">
              <a16:creationId xmlns:a16="http://schemas.microsoft.com/office/drawing/2014/main" id="{1866E425-4C70-47C1-B079-A7B122C8F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533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C20F10D2-DDC0-4823-A0A1-06CCE40C6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8</xdr:row>
      <xdr:rowOff>0</xdr:rowOff>
    </xdr:from>
    <xdr:ext cx="1219048" cy="0"/>
    <xdr:pic>
      <xdr:nvPicPr>
        <xdr:cNvPr id="39" name="Imagem 38">
          <a:extLst>
            <a:ext uri="{FF2B5EF4-FFF2-40B4-BE49-F238E27FC236}">
              <a16:creationId xmlns:a16="http://schemas.microsoft.com/office/drawing/2014/main" id="{69B8B250-3CDE-49E9-904A-4EA6655D5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533525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49</xdr:col>
      <xdr:colOff>440114</xdr:colOff>
      <xdr:row>4</xdr:row>
      <xdr:rowOff>152400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BAFEB5FB-793D-447C-AEA1-0CFC811CB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1859339" cy="0"/>
        </a:xfrm>
        <a:prstGeom prst="rect">
          <a:avLst/>
        </a:prstGeom>
      </xdr:spPr>
    </xdr:pic>
    <xdr:clientData/>
  </xdr:twoCellAnchor>
  <xdr:twoCellAnchor editAs="oneCell">
    <xdr:from>
      <xdr:col>46</xdr:col>
      <xdr:colOff>409575</xdr:colOff>
      <xdr:row>4</xdr:row>
      <xdr:rowOff>152400</xdr:rowOff>
    </xdr:from>
    <xdr:to>
      <xdr:col>51</xdr:col>
      <xdr:colOff>59114</xdr:colOff>
      <xdr:row>4</xdr:row>
      <xdr:rowOff>152400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91307A3A-1D07-4087-9599-793676D9A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23925"/>
          <a:ext cx="2697539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81F057A5-09FB-4A4B-9FDE-04668EC48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3" name="Imagem 42">
          <a:extLst>
            <a:ext uri="{FF2B5EF4-FFF2-40B4-BE49-F238E27FC236}">
              <a16:creationId xmlns:a16="http://schemas.microsoft.com/office/drawing/2014/main" id="{A2D6BBF5-AD1F-409C-BD9B-9B17D9DA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4" name="Imagem 43">
          <a:extLst>
            <a:ext uri="{FF2B5EF4-FFF2-40B4-BE49-F238E27FC236}">
              <a16:creationId xmlns:a16="http://schemas.microsoft.com/office/drawing/2014/main" id="{F0F9F5EE-0D2C-41CA-88B8-C1FEAB282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5" name="Imagem 44">
          <a:extLst>
            <a:ext uri="{FF2B5EF4-FFF2-40B4-BE49-F238E27FC236}">
              <a16:creationId xmlns:a16="http://schemas.microsoft.com/office/drawing/2014/main" id="{E4AD8837-5404-4DEB-A603-6682B2A49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46" name="Imagem 45">
          <a:extLst>
            <a:ext uri="{FF2B5EF4-FFF2-40B4-BE49-F238E27FC236}">
              <a16:creationId xmlns:a16="http://schemas.microsoft.com/office/drawing/2014/main" id="{0A93F7DF-E44E-4044-96F2-A525503CF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9"/>
  <sheetViews>
    <sheetView tabSelected="1" topLeftCell="AI1" zoomScale="90" zoomScaleNormal="90" workbookViewId="0">
      <selection activeCell="AU11" sqref="AU11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172</v>
      </c>
      <c r="AU3" s="198" t="s">
        <v>173</v>
      </c>
      <c r="AV3" s="198" t="s">
        <v>174</v>
      </c>
      <c r="AW3" s="198" t="s">
        <v>175</v>
      </c>
      <c r="AX3" s="198" t="s">
        <v>176</v>
      </c>
      <c r="AY3" s="198" t="s">
        <v>177</v>
      </c>
      <c r="AZ3" s="198" t="s">
        <v>178</v>
      </c>
      <c r="BB3" s="198" t="s">
        <v>179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7" si="0">D4/(E4*C4)</f>
        <v>4.3478260869565215</v>
      </c>
      <c r="G4" s="157">
        <f>$I$8</f>
        <v>29.64963580070372</v>
      </c>
      <c r="H4" s="157">
        <f>$J$8</f>
        <v>5.4551219674310802</v>
      </c>
      <c r="I4">
        <v>30</v>
      </c>
      <c r="J4">
        <v>7</v>
      </c>
      <c r="K4" s="192">
        <f t="shared" ref="K4:K8" si="1">SQRT((G4-I4)^2+(H4-J4)^2)</f>
        <v>1.5841095945869843</v>
      </c>
      <c r="L4" s="107">
        <v>25</v>
      </c>
      <c r="M4" s="180">
        <v>1</v>
      </c>
      <c r="N4" s="156" t="s">
        <v>159</v>
      </c>
      <c r="O4" s="159">
        <v>1</v>
      </c>
      <c r="P4" s="159">
        <f t="shared" ref="P4:P5" si="2">IF(O4=1,1,IF(O4=2,0.9,0.8))</f>
        <v>1</v>
      </c>
      <c r="Q4" s="181">
        <f>VLOOKUP(N4,Cabos!$B$13:$F$46,2,0)*O4*P4</f>
        <v>153.70000000000002</v>
      </c>
      <c r="R4" s="182">
        <f>((VLOOKUP(N4,Cabos!$B$13:$F$46,3,0)/O4*K4))*(1+A4)</f>
        <v>0.7841342493205572</v>
      </c>
      <c r="S4" s="182">
        <f>(VLOOKUP(N4,Cabos!$B$13:$F$46,4,0)/O4*K4)*B4/60</f>
        <v>0.28355561743107016</v>
      </c>
      <c r="T4" s="182">
        <f>1/(VLOOKUP(N4,Cabos!$B$13:$F$46,5,0)*60/B4) * O4 * K4</f>
        <v>8.3098651554686272E-5</v>
      </c>
      <c r="U4" s="178" t="str">
        <f t="shared" ref="U4:U5" si="3">IMSQRT(IMDIV(COMPLEX(R4,S4),COMPLEX(0,T4)))</f>
        <v>81,9953644820212-57,5409662461408i</v>
      </c>
      <c r="V4" s="178" t="str">
        <f t="shared" ref="V4:V5" si="4">IMSQRT(IMPRODUCT(COMPLEX(R4,S4),COMPLEX(0,T4)))</f>
        <v>0,00478157670420802+0,00681370422219098i</v>
      </c>
      <c r="W4" s="178" t="str">
        <f t="shared" ref="W4:W5" si="5">IMPRODUCT(U4,_xlfn.IMSINH(V4))</f>
        <v>0,784128090428544+0,283563019591016i</v>
      </c>
      <c r="X4" s="178" t="str">
        <f t="shared" ref="X4:X5" si="6">IMDIV(IMSUB(_xlfn.IMCOSH(V4),COMPLEX(1,0)),IMPRODUCT(U4,_xlfn.IMSINH(V4)))</f>
        <v>2,25615847399875E-10+0,0000415494073618596i</v>
      </c>
      <c r="Y4" s="183">
        <f t="shared" ref="Y4:Y5" si="7">F4/L4/SQRT(3)*1000</f>
        <v>100.408742467761</v>
      </c>
      <c r="Z4" s="184" t="str">
        <f t="shared" ref="Z4:Z5" si="8">COMPLEX(L4*1000/SQRT(3)*M4,0)</f>
        <v>14433,7567297406</v>
      </c>
      <c r="AA4" s="184" t="str">
        <f t="shared" ref="AA4:AA5" si="9">COMPLEX(Y4*E4,-Y4*SQRT(1-E4*E4))</f>
        <v>92,3760430703401-39,3520295616861i</v>
      </c>
      <c r="AB4" s="184" t="str">
        <f t="shared" ref="AB4:AB5" si="10">IMPRODUCT(W4,IMSUM(AA4,IMPRODUCT(X4,Z4)))</f>
        <v>83,423376413596-4,1923485368597i</v>
      </c>
      <c r="AC4" s="184" t="str">
        <f t="shared" ref="AC4:AC5" si="11">IMSUM(Z4,AB4)</f>
        <v>14517,1801061542-4,1923485368597i</v>
      </c>
      <c r="AD4" s="184" t="str">
        <f t="shared" ref="AD4:AD5" si="12">IMSUM(IMPRODUCT(AC4,X4),IMDIV(AB4,W4))</f>
        <v>92,3762237917274-38,1491352945299i</v>
      </c>
      <c r="AE4" s="185">
        <f t="shared" ref="AE4:AE5" si="13">IMABS(AC4)/L4/1000*SQRT(3)</f>
        <v>1.0057797829989754</v>
      </c>
      <c r="AF4" s="186">
        <f t="shared" ref="AF4:AF5" si="14">L4*AE4</f>
        <v>25.144494574974384</v>
      </c>
      <c r="AG4" s="185">
        <f t="shared" ref="AG4:AG5" si="15">IMABS(AD4)/Q4</f>
        <v>0.65025114069018231</v>
      </c>
      <c r="AH4" s="186">
        <f t="shared" ref="AH4:AH5" si="16">AG4*Q4/O4</f>
        <v>99.943600324081032</v>
      </c>
      <c r="AI4" s="187">
        <f t="shared" ref="AI4:AI5" si="17">IMREAL(IMPRODUCT(AC4,IMCONJUGATE(AD4)))*3/1000000</f>
        <v>4.0236066383473501</v>
      </c>
      <c r="AJ4" s="185">
        <f t="shared" ref="AJ4:AJ6" si="18">IMABS(Z4)/L4/1000*SQRT(3)</f>
        <v>0.99999999999999678</v>
      </c>
      <c r="AK4" s="176">
        <f>SQRT(AI4^2+AS4^2)</f>
        <v>4.3526979205874143</v>
      </c>
      <c r="AL4" s="186">
        <f>IMABS(Z4)*SQRT(3)/1000</f>
        <v>24.999999999999922</v>
      </c>
      <c r="AM4" s="185">
        <f>IMABS(AA4)/Q4</f>
        <v>0.65327743960807394</v>
      </c>
      <c r="AN4" s="186">
        <f>Q4*AM4/P4</f>
        <v>100.40874246776097</v>
      </c>
      <c r="AO4" s="188">
        <f>D4</f>
        <v>4</v>
      </c>
      <c r="AP4" s="185">
        <f>IF(AO4&gt;0, (AI4-AO4)/AO4,0)</f>
        <v>5.9016595868375266E-3</v>
      </c>
      <c r="AQ4" s="179">
        <f>AF4*AH4*SQRT(3)*O4/1000</f>
        <v>4.3526979205874063</v>
      </c>
      <c r="AR4" s="179">
        <f t="shared" ref="AR4:AR5" si="19">AL4*AN4*SQRT(3)/1000</f>
        <v>4.3478260869565064</v>
      </c>
      <c r="AS4" s="176">
        <f>IMAGINARY(IMPRODUCT(AC4,IMCONJUGATE(AD4)))*3/1000000</f>
        <v>1.660291783914243</v>
      </c>
      <c r="AT4" s="196">
        <f>VLOOKUP(N4,Cabos!$B$9:$I$46,6,0)*K4</f>
        <v>728.69041351001283</v>
      </c>
      <c r="AU4" s="196">
        <f>VLOOKUP(N4,Cabos!$B$9:$I$46,7,0)*K4</f>
        <v>18.713086640856044</v>
      </c>
      <c r="AV4" s="300">
        <f>ROUNDUP(AU4/$AV$2,0)*$AW$2</f>
        <v>2</v>
      </c>
      <c r="AW4" s="300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300">
        <f t="shared" ref="BA4:BA5" si="20">SUM(AX4:AZ4)+AV4</f>
        <v>4</v>
      </c>
      <c r="BB4" s="299">
        <f>BA4*$BA$2</f>
        <v>1100000</v>
      </c>
    </row>
    <row r="5" spans="1:54" x14ac:dyDescent="0.25">
      <c r="A5" s="153">
        <f t="shared" ref="A5:A7" si="21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$I$8</f>
        <v>29.64963580070372</v>
      </c>
      <c r="H5" s="157">
        <f>$J$8</f>
        <v>5.4551219674310802</v>
      </c>
      <c r="I5">
        <v>30</v>
      </c>
      <c r="J5">
        <v>6</v>
      </c>
      <c r="K5" s="192">
        <f t="shared" si="1"/>
        <v>0.64780177718550602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0.32066187970682547</v>
      </c>
      <c r="S5" s="171">
        <f>(VLOOKUP(N5,Cabos!$B$13:$F$46,4,0)/O5*K5)*B5/60</f>
        <v>0.11595651811620557</v>
      </c>
      <c r="T5" s="171">
        <f>1/(VLOOKUP(N5,Cabos!$B$13:$F$46,5,0)*60/B5) * O5 * K5</f>
        <v>3.398215271392257E-5</v>
      </c>
      <c r="U5" s="155" t="str">
        <f t="shared" si="3"/>
        <v>81,9953644820213-57,5409662461407i</v>
      </c>
      <c r="V5" s="155" t="str">
        <f t="shared" si="4"/>
        <v>0,00195536590228302+0,00278637899766179i</v>
      </c>
      <c r="W5" s="155" t="str">
        <f t="shared" si="5"/>
        <v>0,320661458522373+0,11595702432607i</v>
      </c>
      <c r="X5" s="155" t="str">
        <f t="shared" si="6"/>
        <v>1,54288775321545E-11+0,0000169910819363733i</v>
      </c>
      <c r="Y5" s="172">
        <f t="shared" si="7"/>
        <v>100.408742467761</v>
      </c>
      <c r="Z5" s="173" t="str">
        <f t="shared" si="8"/>
        <v>14433,7567297406</v>
      </c>
      <c r="AA5" s="173" t="str">
        <f t="shared" si="9"/>
        <v>92,3760430703401-39,3520295616861i</v>
      </c>
      <c r="AB5" s="173" t="str">
        <f t="shared" si="10"/>
        <v>34,1561431269946-1,82838743046067i</v>
      </c>
      <c r="AC5" s="173" t="str">
        <f t="shared" si="11"/>
        <v>14467,9128728676-1,82838743046067i</v>
      </c>
      <c r="AD5" s="173" t="str">
        <f t="shared" si="12"/>
        <v>92,376074582541-38,8609589253984i</v>
      </c>
      <c r="AE5" s="174">
        <f t="shared" si="13"/>
        <v>1.0023664150157192</v>
      </c>
      <c r="AF5" s="175">
        <f t="shared" si="14"/>
        <v>25.059160375392981</v>
      </c>
      <c r="AG5" s="174">
        <f t="shared" si="15"/>
        <v>0.65203207714508726</v>
      </c>
      <c r="AH5" s="175">
        <f t="shared" si="16"/>
        <v>100.21733025719992</v>
      </c>
      <c r="AI5" s="176">
        <f t="shared" si="17"/>
        <v>4.0096801544596792</v>
      </c>
      <c r="AJ5" s="174">
        <f t="shared" si="18"/>
        <v>0.99999999999999678</v>
      </c>
      <c r="AK5" s="176">
        <f>SQRT(AI5^2+AS5^2)</f>
        <v>4.3498068422724945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2.420038614919795E-3</v>
      </c>
      <c r="AQ5" s="168">
        <f>AF5*AH5*SQRT(3)*O5/1000</f>
        <v>4.3498068422724865</v>
      </c>
      <c r="AR5" s="168">
        <f t="shared" si="19"/>
        <v>4.3478260869565064</v>
      </c>
      <c r="AS5" s="176">
        <f>IMAGINARY(IMPRODUCT(AC5,IMCONJUGATE(AD5)))*3/1000000</f>
        <v>1.686204205905327</v>
      </c>
      <c r="AT5" s="196">
        <f>VLOOKUP(N5,Cabos!$B$9:$I$46,6,0)*K5</f>
        <v>297.98881750533275</v>
      </c>
      <c r="AU5" s="196">
        <f>VLOOKUP(N5,Cabos!$B$9:$I$46,7,0)*K5</f>
        <v>7.6524823938923818</v>
      </c>
      <c r="AV5" s="300">
        <f t="shared" ref="AV5:AV6" si="22">ROUNDUP(AU5/$AV$2,0)*$AW$2</f>
        <v>2</v>
      </c>
      <c r="AW5" s="300">
        <f t="shared" ref="AW5:AW8" si="23">ROUNDDOWN(AU5/$AU$2,0)</f>
        <v>0</v>
      </c>
      <c r="AX5">
        <f t="shared" ref="AX5:AX8" si="24">ROUNDUP((AW5)*$AX$2,0)</f>
        <v>0</v>
      </c>
      <c r="AY5">
        <f>IFERROR(ROUNDUP(K5*O5/$AY$2,0),0)</f>
        <v>1</v>
      </c>
      <c r="AZ5">
        <f>IFERROR(ROUNDUP(K5*O5/$AZ$2,0),0)</f>
        <v>1</v>
      </c>
      <c r="BA5" s="300">
        <f t="shared" si="20"/>
        <v>4</v>
      </c>
      <c r="BB5" s="299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0"/>
        <v>4.3478260869565215</v>
      </c>
      <c r="G6" s="157">
        <f>$I$8</f>
        <v>29.64963580070372</v>
      </c>
      <c r="H6" s="157">
        <f>$J$8</f>
        <v>5.4551219674310802</v>
      </c>
      <c r="I6">
        <v>30</v>
      </c>
      <c r="J6">
        <v>5</v>
      </c>
      <c r="K6" s="192">
        <f t="shared" si="1"/>
        <v>0.57436145186359833</v>
      </c>
      <c r="L6" s="107">
        <v>25</v>
      </c>
      <c r="M6" s="158">
        <v>1</v>
      </c>
      <c r="N6" s="156" t="s">
        <v>159</v>
      </c>
      <c r="O6" s="159">
        <v>1</v>
      </c>
      <c r="P6" s="159">
        <f t="shared" ref="P6:P8" si="25">IF(O6=1,1,IF(O6=2,0.9,0.8))</f>
        <v>1</v>
      </c>
      <c r="Q6" s="160">
        <f>VLOOKUP(N6,Cabos!$B$13:$F$46,2,0)*O6*P6</f>
        <v>153.70000000000002</v>
      </c>
      <c r="R6" s="161">
        <f>((VLOOKUP(N6,Cabos!$B$13:$F$46,3,0)/O6*K6))*(1+A6)</f>
        <v>0.28430891867248115</v>
      </c>
      <c r="S6" s="161">
        <f>(VLOOKUP(N6,Cabos!$B$13:$F$46,4,0)/O6*K6)*B6/60</f>
        <v>0.1028106998835841</v>
      </c>
      <c r="T6" s="161">
        <f>1/(VLOOKUP(N6,Cabos!$B$13:$F$46,5,0)*60/B6) * O6 * K6</f>
        <v>3.0129646533263303E-5</v>
      </c>
      <c r="U6" s="156" t="str">
        <f t="shared" ref="U6:U8" si="26">IMSQRT(IMDIV(COMPLEX(R6,S6),COMPLEX(0,T6)))</f>
        <v>81,9953644820212-57,5409662461408i</v>
      </c>
      <c r="V6" s="156" t="str">
        <f t="shared" ref="V6:V8" si="27">IMSQRT(IMPRODUCT(COMPLEX(R6,S6),COMPLEX(0,T6)))</f>
        <v>0,00173368897417866+0,00247049134920939i</v>
      </c>
      <c r="W6" s="156" t="str">
        <f t="shared" ref="W6:W8" si="28">IMPRODUCT(U6,_xlfn.IMSINH(V6))</f>
        <v>0,284308625109197+0,102811052709203i</v>
      </c>
      <c r="X6" s="156" t="str">
        <f t="shared" ref="X6:X8" si="29">IMDIV(IMSUB(_xlfn.IMCOSH(V6),COMPLEX(1,0)),IMPRODUCT(U6,_xlfn.IMSINH(V6)))</f>
        <v>1,07548600084786E-11+0,0000150648271550866i</v>
      </c>
      <c r="Y6" s="162">
        <f>F6/L6/SQRT(3)*1000</f>
        <v>100.408742467761</v>
      </c>
      <c r="Z6" s="163" t="str">
        <f t="shared" ref="Z6:Z8" si="30">COMPLEX(L6*1000/SQRT(3)*M6,0)</f>
        <v>14433,7567297406</v>
      </c>
      <c r="AA6" s="163" t="str">
        <f>COMPLEX(Y6*E6,-Y6*SQRT(1-E6*E6))</f>
        <v>92,3760430703401-39,3520295616861i</v>
      </c>
      <c r="AB6" s="163" t="str">
        <f t="shared" ref="AB6:AB8" si="31">IMPRODUCT(W6,IMSUM(AA6,IMPRODUCT(X6,Z6)))</f>
        <v>30,2867739818732-1,6290225204366i</v>
      </c>
      <c r="AC6" s="163" t="str">
        <f t="shared" ref="AC6:AC8" si="32">IMSUM(Z6,AB6)</f>
        <v>14464,0435037225-1,6290225204366i</v>
      </c>
      <c r="AD6" s="163" t="str">
        <f t="shared" ref="AD6:AD8" si="33">IMSUM(IMPRODUCT(AC6,X6),IMDIV(AB6,W6))</f>
        <v>92,3760679220747-38,9166891960243i</v>
      </c>
      <c r="AE6" s="164">
        <f t="shared" ref="AE6:AE8" si="34">IMABS(AC6)/L6/1000*SQRT(3)</f>
        <v>1.0020983356089355</v>
      </c>
      <c r="AF6" s="165">
        <f t="shared" ref="AF6:AF8" si="35">L6*AE6</f>
        <v>25.052458390223386</v>
      </c>
      <c r="AG6" s="164">
        <f t="shared" ref="AG6:AG8" si="36">IMABS(AD6)/Q6</f>
        <v>0.65217272370696255</v>
      </c>
      <c r="AH6" s="165">
        <f t="shared" ref="AH6:AH8" si="37">AG6*Q6/O6</f>
        <v>100.23894763376016</v>
      </c>
      <c r="AI6" s="166">
        <f t="shared" ref="AI6:AI8" si="38">IMREAL(IMPRODUCT(AC6,IMCONJUGATE(AD6)))*3/1000000</f>
        <v>4.0085845838724898</v>
      </c>
      <c r="AJ6" s="164">
        <f t="shared" si="18"/>
        <v>0.99999999999999678</v>
      </c>
      <c r="AK6" s="176">
        <f>SQRT(AI6^2+AS6^2)</f>
        <v>4.3495815256124146</v>
      </c>
      <c r="AL6" s="165">
        <f>IMABS(Z6)*SQRT(3)/1000</f>
        <v>24.999999999999922</v>
      </c>
      <c r="AM6" s="164">
        <f>IMABS(AA6)/Q6</f>
        <v>0.65327743960807394</v>
      </c>
      <c r="AN6" s="165">
        <f>Q6*AM6/P6</f>
        <v>100.40874246776097</v>
      </c>
      <c r="AO6" s="167">
        <f>D6</f>
        <v>4</v>
      </c>
      <c r="AP6" s="164">
        <f>IF(AO6&gt;0, (AI6-AO6)/AO6,0)</f>
        <v>2.1461459681224593E-3</v>
      </c>
      <c r="AQ6" s="157">
        <f>AF6*AH6*SQRT(3)*O6/1000</f>
        <v>4.3495815256124262</v>
      </c>
      <c r="AR6" s="157">
        <f>AL6*AN6*SQRT(3)/1000</f>
        <v>4.3478260869565064</v>
      </c>
      <c r="AS6" s="176">
        <f>IMAGINARY(IMPRODUCT(AC6,IMCONJUGATE(AD6)))*3/1000000</f>
        <v>1.6882266085714441</v>
      </c>
      <c r="AT6" s="196">
        <f>VLOOKUP(N6,Cabos!$B$9:$I$46,6,0)*K6</f>
        <v>264.20626785725523</v>
      </c>
      <c r="AU6" s="196">
        <f>VLOOKUP(N6,Cabos!$B$9:$I$46,7,0)*K6</f>
        <v>6.7849318308646867</v>
      </c>
      <c r="AV6" s="300">
        <f t="shared" si="22"/>
        <v>2</v>
      </c>
      <c r="AW6" s="300">
        <f t="shared" si="23"/>
        <v>0</v>
      </c>
      <c r="AX6">
        <f t="shared" si="24"/>
        <v>0</v>
      </c>
      <c r="AY6">
        <f>IFERROR(ROUNDUP(K6*O6/$AY$2,0),0)</f>
        <v>1</v>
      </c>
      <c r="AZ6">
        <f>IFERROR(ROUNDUP(K6*O6/$AZ$2,0),0)</f>
        <v>1</v>
      </c>
      <c r="BA6" s="300">
        <f>SUM(AX6:AZ6)+AV6</f>
        <v>4</v>
      </c>
      <c r="BB6" s="299">
        <f>BA6*$BA$2</f>
        <v>1100000</v>
      </c>
    </row>
    <row r="7" spans="1:54" x14ac:dyDescent="0.25">
      <c r="A7" s="153">
        <f t="shared" si="21"/>
        <v>0</v>
      </c>
      <c r="B7">
        <v>60</v>
      </c>
      <c r="C7" s="133">
        <v>1</v>
      </c>
      <c r="D7" s="107">
        <v>4</v>
      </c>
      <c r="E7" s="194">
        <v>0.92</v>
      </c>
      <c r="F7" s="168">
        <f t="shared" si="0"/>
        <v>4.3478260869565215</v>
      </c>
      <c r="G7" s="157">
        <f>$I$8</f>
        <v>29.64963580070372</v>
      </c>
      <c r="H7" s="157">
        <f>$J$8</f>
        <v>5.4551219674310802</v>
      </c>
      <c r="I7">
        <v>30</v>
      </c>
      <c r="J7">
        <v>4</v>
      </c>
      <c r="K7" s="192">
        <f t="shared" si="1"/>
        <v>1.4967080584566319</v>
      </c>
      <c r="L7" s="107">
        <v>25</v>
      </c>
      <c r="M7" s="169">
        <v>1</v>
      </c>
      <c r="N7" s="156" t="s">
        <v>159</v>
      </c>
      <c r="O7" s="159">
        <v>1</v>
      </c>
      <c r="P7" s="159">
        <f t="shared" si="25"/>
        <v>1</v>
      </c>
      <c r="Q7" s="170">
        <f>VLOOKUP(N7,Cabos!$B$13:$F$46,2,0)*O7*P7</f>
        <v>153.70000000000002</v>
      </c>
      <c r="R7" s="171">
        <f>((VLOOKUP(N7,Cabos!$B$13:$F$46,3,0)/O7*K7))*(1+A7)</f>
        <v>0.7408704889360328</v>
      </c>
      <c r="S7" s="171">
        <f>(VLOOKUP(N7,Cabos!$B$13:$F$46,4,0)/O7*K7)*B7/60</f>
        <v>0.26791074246373708</v>
      </c>
      <c r="T7" s="171">
        <f>1/(VLOOKUP(N7,Cabos!$B$13:$F$46,5,0)*60/B7) * O7 * K7</f>
        <v>7.8513773197116506E-5</v>
      </c>
      <c r="U7" s="155" t="str">
        <f t="shared" si="26"/>
        <v>81,9953644820213-57,5409662461408i</v>
      </c>
      <c r="V7" s="155" t="str">
        <f t="shared" si="27"/>
        <v>0,00451775837339244+0,00643776545015632i</v>
      </c>
      <c r="W7" s="155" t="str">
        <f t="shared" si="28"/>
        <v>0,740865294264645+0,267916985764601i</v>
      </c>
      <c r="X7" s="155" t="str">
        <f t="shared" si="29"/>
        <v>1,90293582413282E-10+0,00003925695541068i</v>
      </c>
      <c r="Y7" s="172">
        <f>F7/L7/SQRT(3)*1000</f>
        <v>100.408742467761</v>
      </c>
      <c r="Z7" s="173" t="str">
        <f t="shared" si="30"/>
        <v>14433,7567297406</v>
      </c>
      <c r="AA7" s="173" t="str">
        <f>COMPLEX(Y7*E7,-Y7*SQRT(1-E7*E7))</f>
        <v>92,3760430703401-39,3520295616861i</v>
      </c>
      <c r="AB7" s="173" t="str">
        <f t="shared" si="31"/>
        <v>78,8294749567805-3,98564815651038i</v>
      </c>
      <c r="AC7" s="173" t="str">
        <f t="shared" si="32"/>
        <v>14512,5862046974-3,98564815651038i</v>
      </c>
      <c r="AD7" s="173" t="str">
        <f t="shared" si="33"/>
        <v>92,3762050430554-38,2156842685651i</v>
      </c>
      <c r="AE7" s="174">
        <f t="shared" si="34"/>
        <v>1.0054615041482142</v>
      </c>
      <c r="AF7" s="175">
        <f t="shared" si="35"/>
        <v>25.136537603705357</v>
      </c>
      <c r="AG7" s="174">
        <f t="shared" si="36"/>
        <v>0.65041642230077812</v>
      </c>
      <c r="AH7" s="175">
        <f t="shared" si="37"/>
        <v>99.969004107629601</v>
      </c>
      <c r="AI7" s="176">
        <f t="shared" si="38"/>
        <v>4.0223098596650999</v>
      </c>
      <c r="AJ7" s="174">
        <f t="shared" ref="AJ7:AJ8" si="39">IMABS(Z7)/L7/1000*SQRT(3)</f>
        <v>0.99999999999999678</v>
      </c>
      <c r="AK7" s="176">
        <f>SQRT(AI7^2+AS7^2)</f>
        <v>4.3524265338673924</v>
      </c>
      <c r="AL7" s="175">
        <f>IMABS(Z7)*SQRT(3)/1000</f>
        <v>24.999999999999922</v>
      </c>
      <c r="AM7" s="174">
        <f>IMABS(AA7)/Q7</f>
        <v>0.65327743960807394</v>
      </c>
      <c r="AN7" s="175">
        <f>Q7*AM7/P7</f>
        <v>100.40874246776097</v>
      </c>
      <c r="AO7" s="177">
        <f>D7</f>
        <v>4</v>
      </c>
      <c r="AP7" s="174">
        <f>IF(AO7&gt;0, (AI7-AO7)/AO7,0)</f>
        <v>5.5774649162749768E-3</v>
      </c>
      <c r="AQ7" s="168">
        <f>AF7*AH7*SQRT(3)*O7/1000</f>
        <v>4.3524265338673889</v>
      </c>
      <c r="AR7" s="168">
        <f t="shared" ref="AR7:AR8" si="40">AL7*AN7*SQRT(3)/1000</f>
        <v>4.3478260869565064</v>
      </c>
      <c r="AS7" s="176">
        <f>IMAGINARY(IMPRODUCT(AC7,IMCONJUGATE(AD7)))*3/1000000</f>
        <v>1.6627206998031421</v>
      </c>
      <c r="AT7" s="196">
        <f>VLOOKUP(N7,Cabos!$B$9:$I$46,6,0)*K7</f>
        <v>688.48570689005066</v>
      </c>
      <c r="AU7" s="196">
        <f>VLOOKUP(N7,Cabos!$B$9:$I$46,7,0)*K7</f>
        <v>17.68061229454819</v>
      </c>
      <c r="AV7" s="300">
        <f>ROUNDUP(AU7/$AV$2,0)*$AW$2</f>
        <v>2</v>
      </c>
      <c r="AW7" s="300">
        <f t="shared" si="23"/>
        <v>0</v>
      </c>
      <c r="AX7">
        <f t="shared" si="24"/>
        <v>0</v>
      </c>
      <c r="AY7">
        <f>IFERROR(ROUNDUP(K7*O7/$AY$2,0),0)</f>
        <v>1</v>
      </c>
      <c r="AZ7">
        <f>IFERROR(ROUNDUP(K7*O7/$AZ$2,0),0)</f>
        <v>1</v>
      </c>
      <c r="BA7" s="300">
        <f>SUM(AX7:AZ7)+AV7</f>
        <v>4</v>
      </c>
      <c r="BB7" s="299">
        <f>BA7*$BA$2</f>
        <v>1100000</v>
      </c>
    </row>
    <row r="8" spans="1:54" x14ac:dyDescent="0.25">
      <c r="A8" s="153">
        <f>IF($B$1="não",0,1-60/$B8)</f>
        <v>0</v>
      </c>
      <c r="B8">
        <v>60</v>
      </c>
      <c r="C8" s="133">
        <v>1</v>
      </c>
      <c r="D8" s="107">
        <f>SUM(AI4:AI6)</f>
        <v>12.04187137667952</v>
      </c>
      <c r="E8" s="194">
        <f>(SUM(AI4:AI7))/(SUM(AK4:AK7))</f>
        <v>0.92298942235977421</v>
      </c>
      <c r="F8" s="168">
        <f>D8/(E8*C8)</f>
        <v>13.046597376915216</v>
      </c>
      <c r="G8" s="157">
        <v>0</v>
      </c>
      <c r="H8" s="157">
        <v>4.5</v>
      </c>
      <c r="I8" s="195">
        <v>29.64963580070372</v>
      </c>
      <c r="J8" s="195">
        <v>5.4551219674310802</v>
      </c>
      <c r="K8" s="192">
        <f t="shared" si="1"/>
        <v>29.665015777630071</v>
      </c>
      <c r="L8" s="107">
        <f>MAX(AF4:AF7)</f>
        <v>25.144494574974384</v>
      </c>
      <c r="M8" s="180">
        <v>1</v>
      </c>
      <c r="N8" s="156" t="s">
        <v>165</v>
      </c>
      <c r="O8" s="159">
        <v>1</v>
      </c>
      <c r="P8" s="159">
        <f t="shared" si="25"/>
        <v>1</v>
      </c>
      <c r="Q8" s="181">
        <f>VLOOKUP(N8,Cabos!$B$13:$F$46,2,0)*O8*P8</f>
        <v>311.02500000000003</v>
      </c>
      <c r="R8" s="182">
        <f>((VLOOKUP(N8,Cabos!$B$13:$F$46,3,0)/O8*K8))*(1+A8)</f>
        <v>3.0748233828750235</v>
      </c>
      <c r="S8" s="182">
        <f>(VLOOKUP(N8,Cabos!$B$13:$F$46,4,0)/O8*K8)*B8/60</f>
        <v>3.6191319248708687</v>
      </c>
      <c r="T8" s="182">
        <f>1/(VLOOKUP(N8,Cabos!$B$13:$F$46,5,0)*60/B8) * O8 * K8</f>
        <v>2.3210246285603683E-3</v>
      </c>
      <c r="U8" s="178" t="str">
        <f t="shared" si="26"/>
        <v>42,4578932571608-15,6009839380875i</v>
      </c>
      <c r="V8" s="178" t="str">
        <f t="shared" si="27"/>
        <v>0,0362102679500758+0,0985458159266576i</v>
      </c>
      <c r="W8" s="178" t="str">
        <f t="shared" si="28"/>
        <v>3,0662178993415+3,61771997381363i</v>
      </c>
      <c r="X8" s="178" t="str">
        <f t="shared" si="29"/>
        <v>6,91350286573273E-07+0,0011613248711717i</v>
      </c>
      <c r="Y8" s="183">
        <f>F8/L8/SQRT(3)*1000</f>
        <v>299.56682903729984</v>
      </c>
      <c r="Z8" s="184" t="str">
        <f t="shared" si="30"/>
        <v>14517,1807114985</v>
      </c>
      <c r="AA8" s="173" t="str">
        <f>COMPLEX(Y8*E8,-Y8*SQRT(1-E8*E8))</f>
        <v>276,497014491287-115,280900572766i</v>
      </c>
      <c r="AB8" s="184" t="str">
        <f t="shared" si="31"/>
        <v>1203,89315471559+698,542587746144i</v>
      </c>
      <c r="AC8" s="184" t="str">
        <f t="shared" si="32"/>
        <v>15721,0738662141+698,542587746144i</v>
      </c>
      <c r="AD8" s="184" t="str">
        <f t="shared" si="33"/>
        <v>275,706684836532-80,163980533228i</v>
      </c>
      <c r="AE8" s="185">
        <f t="shared" si="34"/>
        <v>1.0839973599578279</v>
      </c>
      <c r="AF8" s="186">
        <f t="shared" si="35"/>
        <v>27.256565736746158</v>
      </c>
      <c r="AG8" s="185">
        <f t="shared" si="36"/>
        <v>0.92315547841556878</v>
      </c>
      <c r="AH8" s="186">
        <f t="shared" si="37"/>
        <v>287.1244326742023</v>
      </c>
      <c r="AI8" s="187">
        <f t="shared" si="38"/>
        <v>12.835221609955259</v>
      </c>
      <c r="AJ8" s="185">
        <f t="shared" si="39"/>
        <v>0.99999999999999678</v>
      </c>
      <c r="AK8" s="176">
        <f>SQRT(AI8^2+AS8^2)</f>
        <v>13.555074607993221</v>
      </c>
      <c r="AL8" s="186">
        <f>IMABS(Z8)*SQRT(3)/1000</f>
        <v>25.144494574974306</v>
      </c>
      <c r="AM8" s="185">
        <f>IMABS(AA8)/Q8</f>
        <v>0.96315996796816972</v>
      </c>
      <c r="AN8" s="186">
        <f>Q8*AM8/P8</f>
        <v>299.56682903730001</v>
      </c>
      <c r="AO8" s="188">
        <f>D8</f>
        <v>12.04187137667952</v>
      </c>
      <c r="AP8" s="185">
        <f>IF(AO8&gt;0, (AI8-AO8)/AO8,0)</f>
        <v>6.588263638259359E-2</v>
      </c>
      <c r="AQ8" s="179">
        <f>AF8*AH8*SQRT(3)*O8/1000</f>
        <v>13.555074607993211</v>
      </c>
      <c r="AR8" s="179">
        <f t="shared" si="40"/>
        <v>13.046597376915182</v>
      </c>
      <c r="AS8" s="176">
        <f>IMAGINARY(IMPRODUCT(AC8,IMCONJUGATE(AD8)))*3/1000000</f>
        <v>4.35857016137175</v>
      </c>
      <c r="AT8" s="196">
        <f>VLOOKUP(N8,Cabos!$B$9:$I$46,6,0)*K8</f>
        <v>14041.440801411567</v>
      </c>
      <c r="AU8" s="196">
        <f>VLOOKUP(N8,Cabos!$B$9:$I$46,7,0)*K8</f>
        <v>525.78273964271523</v>
      </c>
      <c r="AV8" s="300">
        <f>ROUNDUP(AU8/$AV$2,0)*$AW$2</f>
        <v>2</v>
      </c>
      <c r="AW8" s="300">
        <f t="shared" si="23"/>
        <v>1</v>
      </c>
      <c r="AX8">
        <f t="shared" si="24"/>
        <v>2</v>
      </c>
      <c r="AY8">
        <f>IFERROR(ROUNDUP(K8*O8/$AY$2,0),0)</f>
        <v>2</v>
      </c>
      <c r="AZ8">
        <f>IFERROR(ROUNDUP(K8*O8/$AZ$2,0),0)</f>
        <v>4</v>
      </c>
      <c r="BA8" s="300">
        <f>SUM(AX8:AZ8)+AV8</f>
        <v>10</v>
      </c>
      <c r="BB8" s="299">
        <f>BA8*$BA$2</f>
        <v>2750000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193"/>
      <c r="AJ9" s="193"/>
      <c r="AK9" s="193"/>
      <c r="AL9" s="81"/>
      <c r="AM9" s="81"/>
      <c r="AN9" s="81"/>
      <c r="AO9" s="81"/>
      <c r="AP9" s="81"/>
      <c r="AS9" s="193"/>
      <c r="AT9" s="197">
        <f>SUM(AT4:AT8)</f>
        <v>16020.812007174218</v>
      </c>
      <c r="BB9" s="197">
        <f>SUM(BB4:BB8)</f>
        <v>7150000</v>
      </c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154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B28" t="s">
        <v>153</v>
      </c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  <row r="309" spans="17:45" x14ac:dyDescent="0.25">
      <c r="Q309" s="84"/>
      <c r="R309" s="81"/>
      <c r="S309" s="81"/>
      <c r="T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S309" s="81"/>
    </row>
  </sheetData>
  <mergeCells count="2">
    <mergeCell ref="D1:E1"/>
    <mergeCell ref="N1:Q1"/>
  </mergeCells>
  <conditionalFormatting sqref="AF4 AJ4 AL4">
    <cfRule type="cellIs" dxfId="47" priority="286" operator="greaterThan">
      <formula>1.08</formula>
    </cfRule>
  </conditionalFormatting>
  <conditionalFormatting sqref="AM4:AN4 AG4:AH4">
    <cfRule type="cellIs" dxfId="46" priority="267" operator="greaterThan">
      <formula>1</formula>
    </cfRule>
  </conditionalFormatting>
  <conditionalFormatting sqref="AE4">
    <cfRule type="cellIs" dxfId="45" priority="193" operator="greaterThan">
      <formula>1.1</formula>
    </cfRule>
  </conditionalFormatting>
  <conditionalFormatting sqref="AP4">
    <cfRule type="cellIs" dxfId="44" priority="191" operator="greaterThan">
      <formula>7%</formula>
    </cfRule>
  </conditionalFormatting>
  <conditionalFormatting sqref="AF4:AF5">
    <cfRule type="cellIs" dxfId="43" priority="190" operator="greaterThan">
      <formula>1.08</formula>
    </cfRule>
  </conditionalFormatting>
  <conditionalFormatting sqref="AJ4:AJ5 AL4:AL5">
    <cfRule type="cellIs" dxfId="42" priority="188" operator="greaterThan">
      <formula>1.08</formula>
    </cfRule>
  </conditionalFormatting>
  <conditionalFormatting sqref="AM4:AN5">
    <cfRule type="cellIs" dxfId="41" priority="186" operator="greaterThan">
      <formula>1</formula>
    </cfRule>
  </conditionalFormatting>
  <conditionalFormatting sqref="AE5">
    <cfRule type="cellIs" dxfId="40" priority="189" operator="greaterThan">
      <formula>1.1</formula>
    </cfRule>
  </conditionalFormatting>
  <conditionalFormatting sqref="AG4:AH5">
    <cfRule type="cellIs" dxfId="39" priority="187" operator="greaterThan">
      <formula>1</formula>
    </cfRule>
  </conditionalFormatting>
  <conditionalFormatting sqref="AP5">
    <cfRule type="cellIs" dxfId="38" priority="185" operator="greaterThan">
      <formula>7%</formula>
    </cfRule>
  </conditionalFormatting>
  <conditionalFormatting sqref="AE4">
    <cfRule type="cellIs" dxfId="37" priority="184" operator="greaterThan">
      <formula>1.1</formula>
    </cfRule>
  </conditionalFormatting>
  <conditionalFormatting sqref="AE5">
    <cfRule type="cellIs" dxfId="36" priority="183" operator="greaterThan">
      <formula>1.1</formula>
    </cfRule>
  </conditionalFormatting>
  <conditionalFormatting sqref="AP4">
    <cfRule type="cellIs" dxfId="35" priority="182" operator="greaterThan">
      <formula>7%</formula>
    </cfRule>
  </conditionalFormatting>
  <conditionalFormatting sqref="AP5">
    <cfRule type="cellIs" dxfId="34" priority="181" operator="greaterThan">
      <formula>7%</formula>
    </cfRule>
  </conditionalFormatting>
  <conditionalFormatting sqref="AF6:AF8">
    <cfRule type="cellIs" dxfId="33" priority="180" operator="greaterThan">
      <formula>1.08</formula>
    </cfRule>
  </conditionalFormatting>
  <conditionalFormatting sqref="AJ6:AJ8 AL6:AL8">
    <cfRule type="cellIs" dxfId="32" priority="178" operator="greaterThan">
      <formula>1.08</formula>
    </cfRule>
  </conditionalFormatting>
  <conditionalFormatting sqref="AM6:AN8">
    <cfRule type="cellIs" dxfId="31" priority="176" operator="greaterThan">
      <formula>1</formula>
    </cfRule>
  </conditionalFormatting>
  <conditionalFormatting sqref="AE6">
    <cfRule type="cellIs" dxfId="30" priority="179" operator="greaterThan">
      <formula>1.1</formula>
    </cfRule>
  </conditionalFormatting>
  <conditionalFormatting sqref="AG6:AH8">
    <cfRule type="cellIs" dxfId="29" priority="177" operator="greaterThan">
      <formula>1</formula>
    </cfRule>
  </conditionalFormatting>
  <conditionalFormatting sqref="AE7:AE8">
    <cfRule type="cellIs" dxfId="28" priority="175" operator="greaterThan">
      <formula>1.1</formula>
    </cfRule>
  </conditionalFormatting>
  <conditionalFormatting sqref="AP6">
    <cfRule type="cellIs" dxfId="27" priority="174" operator="greaterThan">
      <formula>7%</formula>
    </cfRule>
  </conditionalFormatting>
  <conditionalFormatting sqref="AP7:AP8">
    <cfRule type="cellIs" dxfId="26" priority="173" operator="greaterThan">
      <formula>7%</formula>
    </cfRule>
  </conditionalFormatting>
  <conditionalFormatting sqref="AF8">
    <cfRule type="cellIs" dxfId="25" priority="172" operator="greaterThan">
      <formula>1.08</formula>
    </cfRule>
  </conditionalFormatting>
  <conditionalFormatting sqref="AJ8 AL8">
    <cfRule type="cellIs" dxfId="24" priority="170" operator="greaterThan">
      <formula>1.08</formula>
    </cfRule>
  </conditionalFormatting>
  <conditionalFormatting sqref="AM8:AN8">
    <cfRule type="cellIs" dxfId="23" priority="168" operator="greaterThan">
      <formula>1</formula>
    </cfRule>
  </conditionalFormatting>
  <conditionalFormatting sqref="AG8:AH8">
    <cfRule type="cellIs" dxfId="22" priority="169" operator="greaterThan">
      <formula>1</formula>
    </cfRule>
  </conditionalFormatting>
  <conditionalFormatting sqref="AE8">
    <cfRule type="cellIs" dxfId="21" priority="166" operator="greaterThan">
      <formula>1.1</formula>
    </cfRule>
  </conditionalFormatting>
  <conditionalFormatting sqref="AP8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$B$27:$B$28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0">
        <v>183</v>
      </c>
      <c r="C28" s="207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1"/>
      <c r="C29" s="205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1"/>
      <c r="C30" s="205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1"/>
      <c r="C31" s="205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1"/>
      <c r="C32" s="205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2"/>
      <c r="C33" s="206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3">
        <v>200</v>
      </c>
      <c r="C34" s="208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1"/>
      <c r="C35" s="205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1"/>
      <c r="C36" s="205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1"/>
      <c r="C37" s="205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1"/>
      <c r="C38" s="205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2"/>
      <c r="C39" s="206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4">
        <v>325</v>
      </c>
      <c r="C40" s="209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1"/>
      <c r="C41" s="205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1"/>
      <c r="C42" s="205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1"/>
      <c r="C43" s="205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1"/>
      <c r="C44" s="205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2"/>
      <c r="C45" s="206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1">
        <v>183</v>
      </c>
      <c r="C52" s="205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1"/>
      <c r="C53" s="205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1">
        <v>200</v>
      </c>
      <c r="C54" s="205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1"/>
      <c r="C55" s="205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1">
        <v>325</v>
      </c>
      <c r="C56" s="205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1"/>
      <c r="C57" s="205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1">
        <v>183</v>
      </c>
      <c r="C65" s="205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1"/>
      <c r="C66" s="205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H1" sqref="H1:M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2" x14ac:dyDescent="0.25">
      <c r="A1" t="s">
        <v>5</v>
      </c>
    </row>
    <row r="2" spans="1:12" x14ac:dyDescent="0.25">
      <c r="A2">
        <v>6.6</v>
      </c>
    </row>
    <row r="3" spans="1:12" x14ac:dyDescent="0.25">
      <c r="A3">
        <v>26</v>
      </c>
      <c r="D3">
        <v>200</v>
      </c>
    </row>
    <row r="4" spans="1:12" x14ac:dyDescent="0.25">
      <c r="A4">
        <v>26.5</v>
      </c>
      <c r="D4" s="3">
        <f>'Dados Típicos'!O43</f>
        <v>316.66666666666669</v>
      </c>
    </row>
    <row r="5" spans="1:12" x14ac:dyDescent="0.25">
      <c r="A5">
        <v>9</v>
      </c>
      <c r="C5">
        <v>220</v>
      </c>
      <c r="D5">
        <f>C5/1.2</f>
        <v>183.33333333333334</v>
      </c>
    </row>
    <row r="6" spans="1:12" x14ac:dyDescent="0.25">
      <c r="A6">
        <v>6.9</v>
      </c>
    </row>
    <row r="7" spans="1:12" x14ac:dyDescent="0.25">
      <c r="H7">
        <v>15</v>
      </c>
    </row>
    <row r="8" spans="1:12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</row>
    <row r="9" spans="1:12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>
        <f>0.0866*I9^2 + 0.5838*I9 + 7.9+$I$7</f>
        <v>8.5704000000000011</v>
      </c>
      <c r="I9">
        <v>1</v>
      </c>
    </row>
    <row r="10" spans="1:12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>
        <f t="shared" ref="H10:H20" si="0">0.0866*I10^2 + 0.5838*I10 + 7.9+$I$7</f>
        <v>9.4139999999999997</v>
      </c>
      <c r="I10">
        <v>2</v>
      </c>
    </row>
    <row r="11" spans="1:12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>
        <f t="shared" si="0"/>
        <v>10.4308</v>
      </c>
      <c r="I11">
        <v>3</v>
      </c>
    </row>
    <row r="12" spans="1:12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>
        <f t="shared" si="0"/>
        <v>11.620799999999999</v>
      </c>
      <c r="I12">
        <v>4</v>
      </c>
      <c r="L12" t="s">
        <v>180</v>
      </c>
    </row>
    <row r="13" spans="1:12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>
        <f t="shared" si="0"/>
        <v>12.984</v>
      </c>
      <c r="I13">
        <v>5</v>
      </c>
      <c r="J13">
        <v>23.2</v>
      </c>
      <c r="K13">
        <f>J13-G13</f>
        <v>-250.7</v>
      </c>
      <c r="L13">
        <v>39.369999999999997</v>
      </c>
    </row>
    <row r="14" spans="1:12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>
        <f t="shared" si="0"/>
        <v>14.5204</v>
      </c>
      <c r="I14">
        <v>6</v>
      </c>
    </row>
    <row r="15" spans="1:12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>
        <f t="shared" si="0"/>
        <v>16.229999999999997</v>
      </c>
      <c r="I15">
        <v>7</v>
      </c>
    </row>
    <row r="16" spans="1:12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>
        <f t="shared" si="0"/>
        <v>18.1128</v>
      </c>
      <c r="I16">
        <v>8</v>
      </c>
      <c r="J16">
        <v>33.64</v>
      </c>
      <c r="K16">
        <f>J16-G16</f>
        <v>-349.16</v>
      </c>
    </row>
    <row r="17" spans="2:9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>
        <f t="shared" si="0"/>
        <v>20.168799999999997</v>
      </c>
      <c r="I17">
        <v>9</v>
      </c>
    </row>
    <row r="18" spans="2:9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>
        <f t="shared" si="0"/>
        <v>22.398000000000003</v>
      </c>
      <c r="I18">
        <v>10</v>
      </c>
    </row>
    <row r="19" spans="2:9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>
        <f t="shared" si="0"/>
        <v>24.800400000000003</v>
      </c>
      <c r="I19">
        <v>11</v>
      </c>
    </row>
    <row r="20" spans="2:9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>
        <f t="shared" si="0"/>
        <v>27.375999999999998</v>
      </c>
      <c r="I20">
        <v>12</v>
      </c>
    </row>
    <row r="21" spans="2:9" ht="18" customHeight="1" x14ac:dyDescent="0.25">
      <c r="B21" s="2" t="s">
        <v>147</v>
      </c>
      <c r="C21" s="3"/>
      <c r="D21" s="76"/>
      <c r="F21" s="77"/>
    </row>
    <row r="22" spans="2:9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>
        <f>0.2502*I22^2 - 0.5692*I22 + 12.132+$I$7</f>
        <v>11.812999999999999</v>
      </c>
      <c r="I22">
        <v>1</v>
      </c>
    </row>
    <row r="23" spans="2:9" ht="18" customHeight="1" x14ac:dyDescent="0.25">
      <c r="B23" s="2" t="s">
        <v>149</v>
      </c>
      <c r="C23" s="3">
        <f t="shared" ref="C23:C30" si="1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>
        <f t="shared" ref="H23:H32" si="2">0.2502*I23^2 - 0.5692*I23 + 12.132+$I$7</f>
        <v>11.994399999999999</v>
      </c>
      <c r="I23">
        <v>2</v>
      </c>
    </row>
    <row r="24" spans="2:9" ht="18" customHeight="1" x14ac:dyDescent="0.25">
      <c r="B24" s="2" t="s">
        <v>150</v>
      </c>
      <c r="C24" s="3">
        <f t="shared" si="1"/>
        <v>221.85</v>
      </c>
      <c r="D24" s="76">
        <v>0.248</v>
      </c>
      <c r="E24">
        <v>0.16</v>
      </c>
      <c r="F24" s="77">
        <v>15680</v>
      </c>
      <c r="G24">
        <v>468</v>
      </c>
      <c r="H24">
        <f t="shared" si="2"/>
        <v>12.6762</v>
      </c>
      <c r="I24">
        <v>3</v>
      </c>
    </row>
    <row r="25" spans="2:9" ht="18" customHeight="1" x14ac:dyDescent="0.25">
      <c r="B25" s="2" t="s">
        <v>10</v>
      </c>
      <c r="C25" s="3">
        <f t="shared" si="1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>
        <f t="shared" si="2"/>
        <v>13.8584</v>
      </c>
      <c r="I25">
        <v>4</v>
      </c>
    </row>
    <row r="26" spans="2:9" ht="18" customHeight="1" x14ac:dyDescent="0.25">
      <c r="B26" s="2" t="s">
        <v>11</v>
      </c>
      <c r="C26" s="3">
        <f t="shared" si="1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>
        <f t="shared" si="2"/>
        <v>15.540999999999999</v>
      </c>
      <c r="I26">
        <v>5</v>
      </c>
    </row>
    <row r="27" spans="2:9" ht="18" customHeight="1" x14ac:dyDescent="0.25">
      <c r="B27" s="2" t="s">
        <v>12</v>
      </c>
      <c r="C27" s="3">
        <f t="shared" si="1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>
        <f t="shared" si="2"/>
        <v>17.723999999999997</v>
      </c>
      <c r="I27">
        <v>6</v>
      </c>
    </row>
    <row r="28" spans="2:9" ht="18" customHeight="1" x14ac:dyDescent="0.25">
      <c r="B28" s="2" t="s">
        <v>13</v>
      </c>
      <c r="C28" s="3">
        <f t="shared" si="1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>
        <f t="shared" si="2"/>
        <v>20.407399999999996</v>
      </c>
      <c r="I28">
        <v>7</v>
      </c>
    </row>
    <row r="29" spans="2:9" ht="18" customHeight="1" x14ac:dyDescent="0.25">
      <c r="B29" s="2" t="s">
        <v>14</v>
      </c>
      <c r="C29" s="3">
        <f t="shared" si="1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>
        <f t="shared" si="2"/>
        <v>23.591200000000001</v>
      </c>
      <c r="I29">
        <v>8</v>
      </c>
    </row>
    <row r="30" spans="2:9" ht="18" customHeight="1" x14ac:dyDescent="0.25">
      <c r="B30" s="2" t="s">
        <v>16</v>
      </c>
      <c r="C30" s="3">
        <f t="shared" si="1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>
        <f t="shared" si="2"/>
        <v>27.275399999999998</v>
      </c>
      <c r="I30">
        <v>9</v>
      </c>
    </row>
    <row r="31" spans="2:9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>
        <f t="shared" si="2"/>
        <v>31.459999999999994</v>
      </c>
      <c r="I31">
        <v>10</v>
      </c>
    </row>
    <row r="32" spans="2:9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>
        <f t="shared" si="2"/>
        <v>36.144999999999996</v>
      </c>
      <c r="I32">
        <v>11</v>
      </c>
    </row>
    <row r="33" spans="2:11" ht="18" customHeight="1" x14ac:dyDescent="0.25">
      <c r="B33" s="2" t="s">
        <v>21</v>
      </c>
      <c r="C33" s="80">
        <f t="shared" ref="C33:C38" si="3">C25</f>
        <v>250.85</v>
      </c>
      <c r="D33" s="85">
        <v>0.1582895</v>
      </c>
      <c r="E33" s="81">
        <v>0.13</v>
      </c>
      <c r="F33" s="80">
        <f t="shared" ref="F33:F38" si="4">F13*1.1</f>
        <v>8099.3000000000011</v>
      </c>
    </row>
    <row r="34" spans="2:11" ht="18" customHeight="1" x14ac:dyDescent="0.25">
      <c r="B34" s="2" t="s">
        <v>22</v>
      </c>
      <c r="C34" s="80">
        <f t="shared" si="3"/>
        <v>278.39999999999998</v>
      </c>
      <c r="D34" s="85">
        <v>0.12936349999999999</v>
      </c>
      <c r="E34" s="81">
        <v>0.126</v>
      </c>
      <c r="F34" s="80">
        <f t="shared" si="4"/>
        <v>7483.3</v>
      </c>
    </row>
    <row r="35" spans="2:11" ht="18" customHeight="1" x14ac:dyDescent="0.25">
      <c r="B35" s="2" t="s">
        <v>23</v>
      </c>
      <c r="C35" s="80">
        <f t="shared" si="3"/>
        <v>311.02500000000003</v>
      </c>
      <c r="D35" s="85">
        <v>0.10365150000000001</v>
      </c>
      <c r="E35" s="81">
        <v>0.122</v>
      </c>
      <c r="F35" s="80">
        <f t="shared" si="4"/>
        <v>6921.2000000000007</v>
      </c>
    </row>
    <row r="36" spans="2:11" ht="18" customHeight="1" x14ac:dyDescent="0.25">
      <c r="B36" s="2" t="s">
        <v>24</v>
      </c>
      <c r="C36" s="80">
        <f t="shared" si="3"/>
        <v>362.5</v>
      </c>
      <c r="D36" s="85">
        <v>8.0350000000000005E-2</v>
      </c>
      <c r="E36" s="81">
        <v>0.12</v>
      </c>
      <c r="F36" s="80">
        <f t="shared" si="4"/>
        <v>6878.3</v>
      </c>
    </row>
    <row r="37" spans="2:11" ht="18" customHeight="1" x14ac:dyDescent="0.25">
      <c r="B37" s="2" t="s">
        <v>25</v>
      </c>
      <c r="C37" s="80">
        <f t="shared" si="3"/>
        <v>395.125</v>
      </c>
      <c r="D37" s="85">
        <v>6.5083500000000002E-2</v>
      </c>
      <c r="E37" s="81">
        <v>0.11700000000000001</v>
      </c>
      <c r="F37" s="80">
        <f t="shared" si="4"/>
        <v>6320.6</v>
      </c>
    </row>
    <row r="38" spans="2:11" ht="18" customHeight="1" x14ac:dyDescent="0.25">
      <c r="B38" s="2" t="s">
        <v>26</v>
      </c>
      <c r="C38" s="80">
        <f t="shared" si="3"/>
        <v>435</v>
      </c>
      <c r="D38" s="85">
        <v>5.3031000000000002E-2</v>
      </c>
      <c r="E38" s="81">
        <v>0.112</v>
      </c>
      <c r="F38" s="80">
        <f t="shared" si="4"/>
        <v>5615.5</v>
      </c>
    </row>
    <row r="39" spans="2:11" ht="18" customHeight="1" x14ac:dyDescent="0.25">
      <c r="B39" s="2" t="s">
        <v>27</v>
      </c>
      <c r="C39" s="93"/>
      <c r="D39" s="94"/>
      <c r="E39" s="95"/>
      <c r="F39" s="95"/>
    </row>
    <row r="40" spans="2:11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5">F13*1.15</f>
        <v>8467.4499999999989</v>
      </c>
    </row>
    <row r="41" spans="2:11" ht="18" customHeight="1" x14ac:dyDescent="0.25">
      <c r="B41" s="2" t="s">
        <v>111</v>
      </c>
      <c r="C41" s="80">
        <f t="shared" ref="C41:C45" si="6">C34</f>
        <v>278.39999999999998</v>
      </c>
      <c r="D41" s="85">
        <v>0.12936349999999999</v>
      </c>
      <c r="E41" s="81">
        <v>0.126</v>
      </c>
      <c r="F41" s="80">
        <f t="shared" si="5"/>
        <v>7823.45</v>
      </c>
    </row>
    <row r="42" spans="2:11" ht="18" customHeight="1" x14ac:dyDescent="0.25">
      <c r="B42" s="2" t="s">
        <v>112</v>
      </c>
      <c r="C42" s="80">
        <f t="shared" si="6"/>
        <v>311.02500000000003</v>
      </c>
      <c r="D42" s="85">
        <v>0.10365150000000001</v>
      </c>
      <c r="E42" s="81">
        <v>0.122</v>
      </c>
      <c r="F42" s="80">
        <f t="shared" si="5"/>
        <v>7235.7999999999993</v>
      </c>
    </row>
    <row r="43" spans="2:11" ht="18" customHeight="1" x14ac:dyDescent="0.25">
      <c r="B43" s="2" t="s">
        <v>113</v>
      </c>
      <c r="C43" s="80">
        <f t="shared" si="6"/>
        <v>362.5</v>
      </c>
      <c r="D43" s="85">
        <v>8.0350000000000005E-2</v>
      </c>
      <c r="E43" s="81">
        <v>0.12</v>
      </c>
      <c r="F43" s="80">
        <f t="shared" si="5"/>
        <v>7190.95</v>
      </c>
    </row>
    <row r="44" spans="2:11" ht="18" customHeight="1" x14ac:dyDescent="0.25">
      <c r="B44" s="2" t="s">
        <v>114</v>
      </c>
      <c r="C44" s="80">
        <f t="shared" si="6"/>
        <v>395.125</v>
      </c>
      <c r="D44" s="85">
        <v>6.5083500000000002E-2</v>
      </c>
      <c r="E44" s="81">
        <v>0.11700000000000001</v>
      </c>
      <c r="F44" s="80">
        <f t="shared" si="5"/>
        <v>6607.9</v>
      </c>
    </row>
    <row r="45" spans="2:11" ht="18" customHeight="1" x14ac:dyDescent="0.25">
      <c r="B45" s="2" t="s">
        <v>115</v>
      </c>
      <c r="C45" s="80">
        <f t="shared" si="6"/>
        <v>435</v>
      </c>
      <c r="D45" s="85">
        <v>5.3031000000000002E-2</v>
      </c>
      <c r="E45" s="81">
        <v>0.112</v>
      </c>
      <c r="F45" s="80">
        <f t="shared" si="5"/>
        <v>5870.75</v>
      </c>
    </row>
    <row r="46" spans="2:11" ht="18" customHeight="1" x14ac:dyDescent="0.25">
      <c r="B46" s="2" t="s">
        <v>116</v>
      </c>
      <c r="C46" s="93"/>
      <c r="D46" s="94"/>
      <c r="E46" s="95"/>
      <c r="F46" s="95"/>
    </row>
    <row r="47" spans="2:11" ht="18" customHeight="1" x14ac:dyDescent="0.25"/>
    <row r="48" spans="2:11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84</v>
      </c>
      <c r="I48">
        <v>80</v>
      </c>
      <c r="J48">
        <v>75</v>
      </c>
      <c r="K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7">C9</f>
        <v>130.5</v>
      </c>
      <c r="D49">
        <f t="shared" si="7"/>
        <v>0.53834500000000007</v>
      </c>
      <c r="E49" s="152">
        <f t="shared" si="7"/>
        <v>0.157</v>
      </c>
      <c r="F49" s="3">
        <f t="shared" si="7"/>
        <v>11132</v>
      </c>
      <c r="H49">
        <f>($E49)*$I$48/60</f>
        <v>0.20933333333333334</v>
      </c>
      <c r="I49">
        <f>($E49)*$J$48/60</f>
        <v>0.19625000000000001</v>
      </c>
      <c r="J49">
        <f>($E49)*$K$48/60</f>
        <v>0.157</v>
      </c>
      <c r="K49">
        <f>($E49)*$L$48/60</f>
        <v>0</v>
      </c>
      <c r="L49">
        <f>$F49*60/$H$48</f>
        <v>7951.4285714285716</v>
      </c>
      <c r="M49">
        <f>$F49*60/$H$48</f>
        <v>7951.4285714285716</v>
      </c>
      <c r="N49">
        <f>$F49*60/$I$48</f>
        <v>8349</v>
      </c>
      <c r="O49">
        <f>$F49*60/$J$48</f>
        <v>8905.6</v>
      </c>
      <c r="P49">
        <f>$F49*60/$K$48</f>
        <v>11132</v>
      </c>
      <c r="Q49" t="e">
        <f>$F49*60/$L$48</f>
        <v>#DIV/0!</v>
      </c>
      <c r="R49">
        <f>$D49*(1+(1-(60/$H$48)))</f>
        <v>0.69215785714285716</v>
      </c>
      <c r="S49">
        <f>$D49*(1+(1-(60/$I$48)))</f>
        <v>0.67293125000000009</v>
      </c>
      <c r="T49">
        <f>$D49*(1+(1-(60/$J$48)))</f>
        <v>0.64601400000000009</v>
      </c>
      <c r="U49">
        <f>$D49*(1+(1-(60/$K$48)))</f>
        <v>0.53834500000000007</v>
      </c>
      <c r="V49" t="e">
        <f>$D49*(1+(1-(60/$L$48)))</f>
        <v>#DIV/0!</v>
      </c>
    </row>
    <row r="50" spans="1:22" ht="18" customHeight="1" x14ac:dyDescent="0.25">
      <c r="A50">
        <v>50</v>
      </c>
      <c r="B50" s="2" t="s">
        <v>142</v>
      </c>
      <c r="C50" s="3">
        <f t="shared" si="7"/>
        <v>153.70000000000002</v>
      </c>
      <c r="D50" s="152">
        <f t="shared" si="7"/>
        <v>0.495</v>
      </c>
      <c r="E50" s="152">
        <f t="shared" si="7"/>
        <v>0.14899999999999999</v>
      </c>
      <c r="F50" s="3">
        <f t="shared" si="7"/>
        <v>9958</v>
      </c>
      <c r="H50">
        <f t="shared" ref="H50:H60" si="8">($E50)*$I$48/60</f>
        <v>0.19866666666666666</v>
      </c>
      <c r="I50">
        <f t="shared" ref="I50:I60" si="9">($E50)*$J$48/60</f>
        <v>0.18624999999999997</v>
      </c>
      <c r="J50">
        <f t="shared" ref="J50:J60" si="10">($E50)*$K$48/60</f>
        <v>0.14899999999999999</v>
      </c>
      <c r="K50">
        <f t="shared" ref="K50:K60" si="11">($E50)*$L$48/60</f>
        <v>0</v>
      </c>
      <c r="L50">
        <f t="shared" ref="L50:M60" si="12">$F50*60/$H$48</f>
        <v>7112.8571428571431</v>
      </c>
      <c r="M50">
        <f t="shared" si="12"/>
        <v>7112.8571428571431</v>
      </c>
      <c r="N50">
        <f t="shared" ref="N50:N60" si="13">$F50*60/$I$48</f>
        <v>7468.5</v>
      </c>
      <c r="O50">
        <f t="shared" ref="O50:O60" si="14">$F50*60/$J$48</f>
        <v>7966.4</v>
      </c>
      <c r="P50">
        <f t="shared" ref="P50:P60" si="15">$F50*60/$K$48</f>
        <v>9958</v>
      </c>
      <c r="Q50" t="e">
        <f t="shared" ref="Q50:Q60" si="16">$F50*60/$L$48</f>
        <v>#DIV/0!</v>
      </c>
      <c r="R50">
        <f t="shared" ref="R50:R59" si="17">$D50*(1+(1-(60/$H$48)))</f>
        <v>0.63642857142857134</v>
      </c>
      <c r="S50">
        <f t="shared" ref="S50:S60" si="18">$D50*(1+(1-(60/$I$48)))</f>
        <v>0.61875000000000002</v>
      </c>
      <c r="T50">
        <f t="shared" ref="T50:T60" si="19">$D50*(1+(1-(60/$J$48)))</f>
        <v>0.59399999999999997</v>
      </c>
      <c r="U50">
        <f t="shared" ref="U50:U60" si="20">$D50*(1+(1-(60/$K$48)))</f>
        <v>0.495</v>
      </c>
      <c r="V50" t="e">
        <f t="shared" ref="V50:V60" si="21">$D50*(1+(1-(60/$L$48)))</f>
        <v>#DIV/0!</v>
      </c>
    </row>
    <row r="51" spans="1:22" ht="18" customHeight="1" x14ac:dyDescent="0.25">
      <c r="A51">
        <v>70</v>
      </c>
      <c r="B51" s="2" t="s">
        <v>141</v>
      </c>
      <c r="C51" s="3">
        <f t="shared" si="7"/>
        <v>187.05</v>
      </c>
      <c r="D51" s="152">
        <f t="shared" si="7"/>
        <v>0.34399999999999997</v>
      </c>
      <c r="E51" s="152">
        <f t="shared" si="7"/>
        <v>0.14099999999999999</v>
      </c>
      <c r="F51" s="3">
        <f t="shared" si="7"/>
        <v>8949</v>
      </c>
      <c r="H51">
        <f t="shared" si="8"/>
        <v>0.188</v>
      </c>
      <c r="I51">
        <f t="shared" si="9"/>
        <v>0.17624999999999999</v>
      </c>
      <c r="J51">
        <f t="shared" si="10"/>
        <v>0.14099999999999999</v>
      </c>
      <c r="K51">
        <f t="shared" si="11"/>
        <v>0</v>
      </c>
      <c r="L51">
        <f t="shared" si="12"/>
        <v>6392.1428571428569</v>
      </c>
      <c r="M51">
        <f t="shared" si="12"/>
        <v>6392.1428571428569</v>
      </c>
      <c r="N51">
        <f t="shared" si="13"/>
        <v>6711.75</v>
      </c>
      <c r="O51">
        <f t="shared" si="14"/>
        <v>7159.2</v>
      </c>
      <c r="P51">
        <f t="shared" si="15"/>
        <v>8949</v>
      </c>
      <c r="Q51" t="e">
        <f t="shared" si="16"/>
        <v>#DIV/0!</v>
      </c>
      <c r="R51">
        <f t="shared" si="17"/>
        <v>0.44228571428571423</v>
      </c>
      <c r="S51">
        <f t="shared" si="18"/>
        <v>0.42999999999999994</v>
      </c>
      <c r="T51">
        <f t="shared" si="19"/>
        <v>0.41279999999999994</v>
      </c>
      <c r="U51">
        <f t="shared" si="20"/>
        <v>0.34399999999999997</v>
      </c>
      <c r="V51" t="e">
        <f t="shared" si="21"/>
        <v>#DIV/0!</v>
      </c>
    </row>
    <row r="52" spans="1:22" ht="18" customHeight="1" x14ac:dyDescent="0.25">
      <c r="A52">
        <v>95</v>
      </c>
      <c r="B52" s="2" t="s">
        <v>140</v>
      </c>
      <c r="C52" s="3">
        <f t="shared" si="7"/>
        <v>221.85</v>
      </c>
      <c r="D52" s="152">
        <f t="shared" si="7"/>
        <v>0.248</v>
      </c>
      <c r="E52" s="152">
        <f t="shared" si="7"/>
        <v>0.13500000000000001</v>
      </c>
      <c r="F52" s="3">
        <f t="shared" si="7"/>
        <v>8025</v>
      </c>
      <c r="H52">
        <f t="shared" si="8"/>
        <v>0.18000000000000002</v>
      </c>
      <c r="I52">
        <f t="shared" si="9"/>
        <v>0.16875000000000001</v>
      </c>
      <c r="J52">
        <f t="shared" si="10"/>
        <v>0.13500000000000004</v>
      </c>
      <c r="K52">
        <f t="shared" si="11"/>
        <v>0</v>
      </c>
      <c r="L52">
        <f t="shared" si="12"/>
        <v>5732.1428571428569</v>
      </c>
      <c r="M52">
        <f t="shared" si="12"/>
        <v>5732.1428571428569</v>
      </c>
      <c r="N52">
        <f t="shared" si="13"/>
        <v>6018.75</v>
      </c>
      <c r="O52">
        <f t="shared" si="14"/>
        <v>6420</v>
      </c>
      <c r="P52">
        <f t="shared" si="15"/>
        <v>8025</v>
      </c>
      <c r="Q52" t="e">
        <f t="shared" si="16"/>
        <v>#DIV/0!</v>
      </c>
      <c r="R52">
        <f t="shared" si="17"/>
        <v>0.31885714285714284</v>
      </c>
      <c r="S52">
        <f t="shared" si="18"/>
        <v>0.31</v>
      </c>
      <c r="T52">
        <f t="shared" si="19"/>
        <v>0.29759999999999998</v>
      </c>
      <c r="U52">
        <f t="shared" si="20"/>
        <v>0.248</v>
      </c>
      <c r="V52" t="e">
        <f t="shared" si="21"/>
        <v>#DIV/0!</v>
      </c>
    </row>
    <row r="53" spans="1:22" ht="18" customHeight="1" x14ac:dyDescent="0.25">
      <c r="A53">
        <v>120</v>
      </c>
      <c r="B53" s="2" t="s">
        <v>84</v>
      </c>
      <c r="C53" s="3">
        <f t="shared" si="7"/>
        <v>250.85</v>
      </c>
      <c r="D53" s="152">
        <f t="shared" si="7"/>
        <v>0.1582895</v>
      </c>
      <c r="E53" s="152">
        <f t="shared" si="7"/>
        <v>0.13</v>
      </c>
      <c r="F53" s="3">
        <f t="shared" si="7"/>
        <v>7363</v>
      </c>
      <c r="H53">
        <f t="shared" si="8"/>
        <v>0.17333333333333334</v>
      </c>
      <c r="I53">
        <f t="shared" si="9"/>
        <v>0.16250000000000001</v>
      </c>
      <c r="J53">
        <f t="shared" si="10"/>
        <v>0.13</v>
      </c>
      <c r="K53">
        <f t="shared" si="11"/>
        <v>0</v>
      </c>
      <c r="L53">
        <f t="shared" si="12"/>
        <v>5259.2857142857147</v>
      </c>
      <c r="M53">
        <f t="shared" si="12"/>
        <v>5259.2857142857147</v>
      </c>
      <c r="N53">
        <f t="shared" si="13"/>
        <v>5522.25</v>
      </c>
      <c r="O53">
        <f t="shared" si="14"/>
        <v>5890.4</v>
      </c>
      <c r="P53">
        <f t="shared" si="15"/>
        <v>7363</v>
      </c>
      <c r="Q53" t="e">
        <f t="shared" si="16"/>
        <v>#DIV/0!</v>
      </c>
      <c r="R53">
        <f t="shared" si="17"/>
        <v>0.20351507142857142</v>
      </c>
      <c r="S53">
        <f t="shared" si="18"/>
        <v>0.19786187499999999</v>
      </c>
      <c r="T53">
        <f t="shared" si="19"/>
        <v>0.18994739999999999</v>
      </c>
      <c r="U53">
        <f t="shared" si="20"/>
        <v>0.1582895</v>
      </c>
      <c r="V53" t="e">
        <f t="shared" si="21"/>
        <v>#DIV/0!</v>
      </c>
    </row>
    <row r="54" spans="1:22" ht="18" customHeight="1" x14ac:dyDescent="0.25">
      <c r="A54">
        <v>150</v>
      </c>
      <c r="B54" s="2" t="s">
        <v>85</v>
      </c>
      <c r="C54" s="3">
        <f t="shared" si="7"/>
        <v>278.39999999999998</v>
      </c>
      <c r="D54" s="152">
        <f t="shared" si="7"/>
        <v>0.12936349999999999</v>
      </c>
      <c r="E54" s="152">
        <f t="shared" si="7"/>
        <v>0.126</v>
      </c>
      <c r="F54" s="3">
        <f t="shared" si="7"/>
        <v>6803</v>
      </c>
      <c r="H54">
        <f t="shared" si="8"/>
        <v>0.16800000000000001</v>
      </c>
      <c r="I54">
        <f t="shared" si="9"/>
        <v>0.1575</v>
      </c>
      <c r="J54">
        <f t="shared" si="10"/>
        <v>0.126</v>
      </c>
      <c r="K54">
        <f t="shared" si="11"/>
        <v>0</v>
      </c>
      <c r="L54">
        <f t="shared" si="12"/>
        <v>4859.2857142857147</v>
      </c>
      <c r="M54">
        <f t="shared" si="12"/>
        <v>4859.2857142857147</v>
      </c>
      <c r="N54">
        <f t="shared" si="13"/>
        <v>5102.25</v>
      </c>
      <c r="O54">
        <f t="shared" si="14"/>
        <v>5442.4</v>
      </c>
      <c r="P54">
        <f t="shared" si="15"/>
        <v>6803</v>
      </c>
      <c r="Q54" t="e">
        <f t="shared" si="16"/>
        <v>#DIV/0!</v>
      </c>
      <c r="R54">
        <f t="shared" si="17"/>
        <v>0.16632449999999999</v>
      </c>
      <c r="S54">
        <f t="shared" si="18"/>
        <v>0.16170437499999998</v>
      </c>
      <c r="T54">
        <f t="shared" si="19"/>
        <v>0.15523619999999999</v>
      </c>
      <c r="U54">
        <f t="shared" si="20"/>
        <v>0.12936349999999999</v>
      </c>
      <c r="V54" t="e">
        <f t="shared" si="21"/>
        <v>#DIV/0!</v>
      </c>
    </row>
    <row r="55" spans="1:22" ht="18" customHeight="1" x14ac:dyDescent="0.25">
      <c r="A55">
        <v>185</v>
      </c>
      <c r="B55" s="2" t="s">
        <v>86</v>
      </c>
      <c r="C55" s="3">
        <f t="shared" si="7"/>
        <v>311.02500000000003</v>
      </c>
      <c r="D55" s="152">
        <f t="shared" si="7"/>
        <v>0.10365150000000001</v>
      </c>
      <c r="E55" s="152">
        <f t="shared" si="7"/>
        <v>0.122</v>
      </c>
      <c r="F55" s="3">
        <f t="shared" si="7"/>
        <v>6292</v>
      </c>
      <c r="H55">
        <f t="shared" si="8"/>
        <v>0.16266666666666665</v>
      </c>
      <c r="I55">
        <f t="shared" si="9"/>
        <v>0.1525</v>
      </c>
      <c r="J55">
        <f t="shared" si="10"/>
        <v>0.12200000000000001</v>
      </c>
      <c r="K55">
        <f t="shared" si="11"/>
        <v>0</v>
      </c>
      <c r="L55">
        <f t="shared" si="12"/>
        <v>4494.2857142857147</v>
      </c>
      <c r="M55">
        <f t="shared" si="12"/>
        <v>4494.2857142857147</v>
      </c>
      <c r="N55">
        <f t="shared" si="13"/>
        <v>4719</v>
      </c>
      <c r="O55">
        <f t="shared" si="14"/>
        <v>5033.6000000000004</v>
      </c>
      <c r="P55">
        <f t="shared" si="15"/>
        <v>6292</v>
      </c>
      <c r="Q55" t="e">
        <f t="shared" si="16"/>
        <v>#DIV/0!</v>
      </c>
      <c r="R55">
        <f t="shared" si="17"/>
        <v>0.13326621428571428</v>
      </c>
      <c r="S55">
        <f t="shared" si="18"/>
        <v>0.12956437500000001</v>
      </c>
      <c r="T55">
        <f t="shared" si="19"/>
        <v>0.1243818</v>
      </c>
      <c r="U55">
        <f t="shared" si="20"/>
        <v>0.10365150000000001</v>
      </c>
      <c r="V55" t="e">
        <f t="shared" si="21"/>
        <v>#DIV/0!</v>
      </c>
    </row>
    <row r="56" spans="1:22" ht="18" customHeight="1" x14ac:dyDescent="0.25">
      <c r="A56">
        <v>240</v>
      </c>
      <c r="B56" s="2" t="s">
        <v>87</v>
      </c>
      <c r="C56" s="3">
        <f t="shared" si="7"/>
        <v>362.5</v>
      </c>
      <c r="D56" s="152">
        <f t="shared" si="7"/>
        <v>8.0350000000000005E-2</v>
      </c>
      <c r="E56" s="152">
        <f t="shared" si="7"/>
        <v>0.12</v>
      </c>
      <c r="F56" s="3">
        <f t="shared" si="7"/>
        <v>6253</v>
      </c>
      <c r="H56">
        <f t="shared" si="8"/>
        <v>0.16</v>
      </c>
      <c r="I56">
        <f t="shared" si="9"/>
        <v>0.15</v>
      </c>
      <c r="J56">
        <f t="shared" si="10"/>
        <v>0.11999999999999998</v>
      </c>
      <c r="K56">
        <f t="shared" si="11"/>
        <v>0</v>
      </c>
      <c r="L56">
        <f t="shared" si="12"/>
        <v>4466.4285714285716</v>
      </c>
      <c r="M56">
        <f t="shared" si="12"/>
        <v>4466.4285714285716</v>
      </c>
      <c r="N56">
        <f t="shared" si="13"/>
        <v>4689.75</v>
      </c>
      <c r="O56">
        <f t="shared" si="14"/>
        <v>5002.3999999999996</v>
      </c>
      <c r="P56">
        <f t="shared" si="15"/>
        <v>6253</v>
      </c>
      <c r="Q56" t="e">
        <f t="shared" si="16"/>
        <v>#DIV/0!</v>
      </c>
      <c r="R56">
        <f t="shared" si="17"/>
        <v>0.10330714285714285</v>
      </c>
      <c r="S56">
        <f t="shared" si="18"/>
        <v>0.10043750000000001</v>
      </c>
      <c r="T56">
        <f t="shared" si="19"/>
        <v>9.6420000000000006E-2</v>
      </c>
      <c r="U56">
        <f t="shared" si="20"/>
        <v>8.0350000000000005E-2</v>
      </c>
      <c r="V56" t="e">
        <f t="shared" si="21"/>
        <v>#DIV/0!</v>
      </c>
    </row>
    <row r="57" spans="1:22" ht="18" customHeight="1" x14ac:dyDescent="0.25">
      <c r="A57">
        <v>300</v>
      </c>
      <c r="B57" s="2" t="s">
        <v>88</v>
      </c>
      <c r="C57" s="3">
        <f t="shared" si="7"/>
        <v>395.125</v>
      </c>
      <c r="D57" s="152">
        <f t="shared" si="7"/>
        <v>6.5083500000000002E-2</v>
      </c>
      <c r="E57" s="152">
        <f t="shared" si="7"/>
        <v>0.11700000000000001</v>
      </c>
      <c r="F57" s="3">
        <f t="shared" si="7"/>
        <v>5746</v>
      </c>
      <c r="H57">
        <f t="shared" si="8"/>
        <v>0.15600000000000003</v>
      </c>
      <c r="I57">
        <f t="shared" si="9"/>
        <v>0.14625000000000002</v>
      </c>
      <c r="J57">
        <f t="shared" si="10"/>
        <v>0.11700000000000001</v>
      </c>
      <c r="K57">
        <f t="shared" si="11"/>
        <v>0</v>
      </c>
      <c r="L57">
        <f t="shared" si="12"/>
        <v>4104.2857142857147</v>
      </c>
      <c r="M57">
        <f t="shared" si="12"/>
        <v>4104.2857142857147</v>
      </c>
      <c r="N57">
        <f t="shared" si="13"/>
        <v>4309.5</v>
      </c>
      <c r="O57">
        <f t="shared" si="14"/>
        <v>4596.8</v>
      </c>
      <c r="P57">
        <f t="shared" si="15"/>
        <v>5746</v>
      </c>
      <c r="Q57" t="e">
        <f t="shared" si="16"/>
        <v>#DIV/0!</v>
      </c>
      <c r="R57">
        <f t="shared" si="17"/>
        <v>8.3678785714285706E-2</v>
      </c>
      <c r="S57">
        <f t="shared" si="18"/>
        <v>8.1354375000000007E-2</v>
      </c>
      <c r="T57">
        <f t="shared" si="19"/>
        <v>7.8100199999999995E-2</v>
      </c>
      <c r="U57">
        <f t="shared" si="20"/>
        <v>6.5083500000000002E-2</v>
      </c>
      <c r="V57" t="e">
        <f t="shared" si="21"/>
        <v>#DIV/0!</v>
      </c>
    </row>
    <row r="58" spans="1:22" ht="18" customHeight="1" x14ac:dyDescent="0.25">
      <c r="A58">
        <v>400</v>
      </c>
      <c r="B58" s="2" t="s">
        <v>89</v>
      </c>
      <c r="C58" s="3">
        <f t="shared" si="7"/>
        <v>435</v>
      </c>
      <c r="D58" s="152">
        <f t="shared" si="7"/>
        <v>5.3031000000000002E-2</v>
      </c>
      <c r="E58" s="152">
        <f t="shared" si="7"/>
        <v>0.112</v>
      </c>
      <c r="F58" s="3">
        <f t="shared" si="7"/>
        <v>5105</v>
      </c>
      <c r="H58">
        <f t="shared" si="8"/>
        <v>0.14933333333333335</v>
      </c>
      <c r="I58">
        <f t="shared" si="9"/>
        <v>0.14000000000000001</v>
      </c>
      <c r="J58">
        <f t="shared" si="10"/>
        <v>0.112</v>
      </c>
      <c r="K58">
        <f t="shared" si="11"/>
        <v>0</v>
      </c>
      <c r="L58">
        <f t="shared" si="12"/>
        <v>3646.4285714285716</v>
      </c>
      <c r="M58">
        <f t="shared" si="12"/>
        <v>3646.4285714285716</v>
      </c>
      <c r="N58">
        <f t="shared" si="13"/>
        <v>3828.75</v>
      </c>
      <c r="O58">
        <f t="shared" si="14"/>
        <v>4084</v>
      </c>
      <c r="P58">
        <f t="shared" si="15"/>
        <v>5105</v>
      </c>
      <c r="Q58" t="e">
        <f t="shared" si="16"/>
        <v>#DIV/0!</v>
      </c>
      <c r="R58">
        <f t="shared" si="17"/>
        <v>6.8182714285714277E-2</v>
      </c>
      <c r="S58">
        <f t="shared" si="18"/>
        <v>6.6288750000000007E-2</v>
      </c>
      <c r="T58">
        <f t="shared" si="19"/>
        <v>6.3637200000000005E-2</v>
      </c>
      <c r="U58">
        <f t="shared" si="20"/>
        <v>5.3031000000000002E-2</v>
      </c>
      <c r="V58" t="e">
        <f t="shared" si="21"/>
        <v>#DIV/0!</v>
      </c>
    </row>
    <row r="59" spans="1:22" ht="18" customHeight="1" x14ac:dyDescent="0.25">
      <c r="A59">
        <v>500</v>
      </c>
      <c r="B59" s="2" t="s">
        <v>90</v>
      </c>
      <c r="C59" s="3">
        <f t="shared" si="7"/>
        <v>477.77500000000003</v>
      </c>
      <c r="D59" s="152">
        <f t="shared" si="7"/>
        <v>4.7490500000000005E-2</v>
      </c>
      <c r="E59" s="152">
        <f t="shared" si="7"/>
        <v>0.112</v>
      </c>
      <c r="F59" s="3">
        <f t="shared" si="7"/>
        <v>4669</v>
      </c>
      <c r="H59">
        <f t="shared" si="8"/>
        <v>0.14933333333333335</v>
      </c>
      <c r="I59">
        <f t="shared" si="9"/>
        <v>0.14000000000000001</v>
      </c>
      <c r="J59">
        <f t="shared" si="10"/>
        <v>0.112</v>
      </c>
      <c r="K59">
        <f t="shared" si="11"/>
        <v>0</v>
      </c>
      <c r="L59">
        <f t="shared" si="12"/>
        <v>3335</v>
      </c>
      <c r="M59">
        <f t="shared" si="12"/>
        <v>3335</v>
      </c>
      <c r="N59">
        <f t="shared" si="13"/>
        <v>3501.75</v>
      </c>
      <c r="O59">
        <f t="shared" si="14"/>
        <v>3735.2</v>
      </c>
      <c r="P59">
        <f t="shared" si="15"/>
        <v>4669</v>
      </c>
      <c r="Q59" t="e">
        <f t="shared" si="16"/>
        <v>#DIV/0!</v>
      </c>
      <c r="R59">
        <f t="shared" si="17"/>
        <v>6.1059214285714286E-2</v>
      </c>
      <c r="S59">
        <f t="shared" si="18"/>
        <v>5.9363125000000003E-2</v>
      </c>
      <c r="T59">
        <f t="shared" si="19"/>
        <v>5.69886E-2</v>
      </c>
      <c r="U59">
        <f t="shared" si="20"/>
        <v>4.7490500000000005E-2</v>
      </c>
      <c r="V59" t="e">
        <f t="shared" si="21"/>
        <v>#DIV/0!</v>
      </c>
    </row>
    <row r="60" spans="1:22" ht="18" customHeight="1" x14ac:dyDescent="0.25">
      <c r="A60">
        <v>630</v>
      </c>
      <c r="B60" s="2" t="s">
        <v>137</v>
      </c>
      <c r="C60" s="3">
        <f t="shared" si="7"/>
        <v>522.72500000000002</v>
      </c>
      <c r="D60" s="152">
        <f t="shared" si="7"/>
        <v>4.1950000000000001E-2</v>
      </c>
      <c r="E60" s="152">
        <f t="shared" si="7"/>
        <v>0.1137</v>
      </c>
      <c r="F60" s="3">
        <f t="shared" si="7"/>
        <v>4583</v>
      </c>
      <c r="H60">
        <f t="shared" si="8"/>
        <v>0.15160000000000001</v>
      </c>
      <c r="I60">
        <f t="shared" si="9"/>
        <v>0.142125</v>
      </c>
      <c r="J60">
        <f t="shared" si="10"/>
        <v>0.1137</v>
      </c>
      <c r="K60">
        <f t="shared" si="11"/>
        <v>0</v>
      </c>
      <c r="L60">
        <f t="shared" si="12"/>
        <v>3273.5714285714284</v>
      </c>
      <c r="M60">
        <f t="shared" si="12"/>
        <v>3273.5714285714284</v>
      </c>
      <c r="N60">
        <f t="shared" si="13"/>
        <v>3437.25</v>
      </c>
      <c r="O60">
        <f t="shared" si="14"/>
        <v>3666.4</v>
      </c>
      <c r="P60">
        <f t="shared" si="15"/>
        <v>4583</v>
      </c>
      <c r="Q60" t="e">
        <f t="shared" si="16"/>
        <v>#DIV/0!</v>
      </c>
      <c r="R60">
        <f>$D60*(1+(1-(60/$H$48)))</f>
        <v>5.3935714285714281E-2</v>
      </c>
      <c r="S60">
        <f t="shared" si="18"/>
        <v>5.2437499999999998E-2</v>
      </c>
      <c r="T60">
        <f t="shared" si="19"/>
        <v>5.0340000000000003E-2</v>
      </c>
      <c r="U60">
        <f t="shared" si="20"/>
        <v>4.1950000000000001E-2</v>
      </c>
      <c r="V60" t="e">
        <f t="shared" si="21"/>
        <v>#DIV/0!</v>
      </c>
    </row>
    <row r="61" spans="1:22" ht="18" customHeight="1" x14ac:dyDescent="0.25">
      <c r="B61" s="3" t="str">
        <f>B21</f>
        <v>20/35kV EPR 35mm2 Cu</v>
      </c>
      <c r="C61" s="3">
        <f t="shared" si="7"/>
        <v>0</v>
      </c>
      <c r="D61" s="152">
        <f t="shared" si="7"/>
        <v>0</v>
      </c>
      <c r="E61" s="152">
        <f t="shared" si="7"/>
        <v>0</v>
      </c>
      <c r="F61" s="3">
        <f t="shared" si="7"/>
        <v>0</v>
      </c>
    </row>
    <row r="62" spans="1:22" ht="18" customHeight="1" x14ac:dyDescent="0.25">
      <c r="B62" s="3" t="str">
        <f>B22</f>
        <v>20/35kV EPR 50mm2 Cu</v>
      </c>
      <c r="C62" s="3">
        <f t="shared" si="7"/>
        <v>153.70000000000002</v>
      </c>
      <c r="D62" s="152">
        <f t="shared" si="7"/>
        <v>0.495</v>
      </c>
      <c r="E62" s="152">
        <f t="shared" si="7"/>
        <v>0.17899999999999999</v>
      </c>
      <c r="F62" s="3">
        <f t="shared" si="7"/>
        <v>19063</v>
      </c>
    </row>
    <row r="63" spans="1:22" ht="18" customHeight="1" x14ac:dyDescent="0.25">
      <c r="B63" s="3" t="str">
        <f>B23</f>
        <v>20/35kV EPR 70mm2 Cu</v>
      </c>
      <c r="C63" s="3">
        <f t="shared" si="7"/>
        <v>187.05</v>
      </c>
      <c r="D63" s="152">
        <f t="shared" si="7"/>
        <v>0.34399999999999997</v>
      </c>
      <c r="E63" s="152">
        <f t="shared" si="7"/>
        <v>0.16800000000000001</v>
      </c>
      <c r="F63" s="3">
        <f t="shared" si="7"/>
        <v>17244</v>
      </c>
    </row>
    <row r="64" spans="1:22" ht="18" customHeight="1" x14ac:dyDescent="0.25">
      <c r="B64" s="3" t="str">
        <f>B24</f>
        <v>20/35kV EPR 95mm2 Cu</v>
      </c>
      <c r="C64" s="3">
        <f t="shared" si="7"/>
        <v>221.85</v>
      </c>
      <c r="D64" s="152">
        <f t="shared" si="7"/>
        <v>0.248</v>
      </c>
      <c r="E64" s="152">
        <f t="shared" si="7"/>
        <v>0.16</v>
      </c>
      <c r="F64" s="3">
        <f t="shared" si="7"/>
        <v>15680</v>
      </c>
    </row>
    <row r="65" spans="2:6" ht="18" customHeight="1" x14ac:dyDescent="0.25">
      <c r="B65" s="2" t="s">
        <v>10</v>
      </c>
      <c r="C65" s="3">
        <f t="shared" si="7"/>
        <v>250.85</v>
      </c>
      <c r="D65" s="152">
        <f t="shared" si="7"/>
        <v>0.1582895</v>
      </c>
      <c r="E65" s="152">
        <f t="shared" si="7"/>
        <v>0.13</v>
      </c>
      <c r="F65" s="3">
        <f t="shared" si="7"/>
        <v>14663</v>
      </c>
    </row>
    <row r="66" spans="2:6" ht="18" customHeight="1" x14ac:dyDescent="0.25">
      <c r="B66" s="2" t="s">
        <v>11</v>
      </c>
      <c r="C66" s="3">
        <f t="shared" si="7"/>
        <v>278.39999999999998</v>
      </c>
      <c r="D66" s="152">
        <f t="shared" si="7"/>
        <v>0.12936349999999999</v>
      </c>
      <c r="E66" s="152">
        <f t="shared" si="7"/>
        <v>0.126</v>
      </c>
      <c r="F66" s="3">
        <f t="shared" si="7"/>
        <v>13715</v>
      </c>
    </row>
    <row r="67" spans="2:6" ht="18" customHeight="1" x14ac:dyDescent="0.25">
      <c r="B67" s="2" t="s">
        <v>12</v>
      </c>
      <c r="C67" s="3">
        <f t="shared" si="7"/>
        <v>311.02500000000003</v>
      </c>
      <c r="D67" s="152">
        <f t="shared" si="7"/>
        <v>0.10365150000000001</v>
      </c>
      <c r="E67" s="152">
        <f t="shared" si="7"/>
        <v>0.122</v>
      </c>
      <c r="F67" s="3">
        <f t="shared" si="7"/>
        <v>12781</v>
      </c>
    </row>
    <row r="68" spans="2:6" ht="18" customHeight="1" x14ac:dyDescent="0.25">
      <c r="B68" s="2" t="s">
        <v>13</v>
      </c>
      <c r="C68" s="3">
        <f t="shared" si="7"/>
        <v>362.5</v>
      </c>
      <c r="D68" s="152">
        <f t="shared" si="7"/>
        <v>8.0350000000000005E-2</v>
      </c>
      <c r="E68" s="152">
        <f t="shared" si="7"/>
        <v>0.12</v>
      </c>
      <c r="F68" s="3">
        <f t="shared" si="7"/>
        <v>11528</v>
      </c>
    </row>
    <row r="69" spans="2:6" ht="18" customHeight="1" x14ac:dyDescent="0.25">
      <c r="B69" s="2" t="s">
        <v>14</v>
      </c>
      <c r="C69" s="3">
        <f t="shared" si="7"/>
        <v>395.125</v>
      </c>
      <c r="D69" s="152">
        <f t="shared" si="7"/>
        <v>6.5083500000000002E-2</v>
      </c>
      <c r="E69" s="152">
        <f t="shared" si="7"/>
        <v>0.11700000000000001</v>
      </c>
      <c r="F69" s="3">
        <f t="shared" si="7"/>
        <v>10665</v>
      </c>
    </row>
    <row r="70" spans="2:6" ht="18" customHeight="1" x14ac:dyDescent="0.25">
      <c r="B70" s="2" t="s">
        <v>16</v>
      </c>
      <c r="C70" s="3">
        <f t="shared" si="7"/>
        <v>435</v>
      </c>
      <c r="D70" s="152">
        <f t="shared" si="7"/>
        <v>5.3031000000000002E-2</v>
      </c>
      <c r="E70" s="152">
        <f t="shared" si="7"/>
        <v>0.112</v>
      </c>
      <c r="F70" s="3">
        <f t="shared" si="7"/>
        <v>9879</v>
      </c>
    </row>
    <row r="71" spans="2:6" ht="18" customHeight="1" x14ac:dyDescent="0.25">
      <c r="B71" s="2" t="s">
        <v>15</v>
      </c>
      <c r="C71" s="3">
        <f t="shared" si="7"/>
        <v>477.77500000000003</v>
      </c>
      <c r="D71" s="152">
        <f t="shared" si="7"/>
        <v>3.573614130444993E-2</v>
      </c>
      <c r="E71" s="152">
        <f t="shared" si="7"/>
        <v>0.10871469193119648</v>
      </c>
      <c r="F71" s="3">
        <f t="shared" si="7"/>
        <v>9145.1924066778101</v>
      </c>
    </row>
    <row r="72" spans="2:6" ht="18" customHeight="1" x14ac:dyDescent="0.25">
      <c r="B72" s="2" t="s">
        <v>21</v>
      </c>
      <c r="C72" s="3">
        <f t="shared" ref="C72:F85" si="22">C33</f>
        <v>250.85</v>
      </c>
      <c r="D72" s="152">
        <f t="shared" si="22"/>
        <v>0.1582895</v>
      </c>
      <c r="E72" s="152">
        <f t="shared" si="22"/>
        <v>0.13</v>
      </c>
      <c r="F72" s="3">
        <f t="shared" si="22"/>
        <v>8099.3000000000011</v>
      </c>
    </row>
    <row r="73" spans="2:6" ht="18" customHeight="1" x14ac:dyDescent="0.25">
      <c r="B73" s="2" t="s">
        <v>22</v>
      </c>
      <c r="C73" s="3">
        <f t="shared" si="22"/>
        <v>278.39999999999998</v>
      </c>
      <c r="D73" s="152">
        <f t="shared" si="22"/>
        <v>0.12936349999999999</v>
      </c>
      <c r="E73" s="152">
        <f t="shared" si="22"/>
        <v>0.126</v>
      </c>
      <c r="F73" s="3">
        <f t="shared" si="22"/>
        <v>7483.3</v>
      </c>
    </row>
    <row r="74" spans="2:6" ht="18" customHeight="1" x14ac:dyDescent="0.25">
      <c r="B74" s="2" t="s">
        <v>23</v>
      </c>
      <c r="C74" s="3">
        <f t="shared" si="22"/>
        <v>311.02500000000003</v>
      </c>
      <c r="D74" s="152">
        <f t="shared" si="22"/>
        <v>0.10365150000000001</v>
      </c>
      <c r="E74" s="152">
        <f t="shared" si="22"/>
        <v>0.122</v>
      </c>
      <c r="F74" s="3">
        <f t="shared" si="22"/>
        <v>6921.2000000000007</v>
      </c>
    </row>
    <row r="75" spans="2:6" ht="18" customHeight="1" x14ac:dyDescent="0.25">
      <c r="B75" s="2" t="s">
        <v>24</v>
      </c>
      <c r="C75" s="3">
        <f t="shared" si="22"/>
        <v>362.5</v>
      </c>
      <c r="D75" s="152">
        <f t="shared" si="22"/>
        <v>8.0350000000000005E-2</v>
      </c>
      <c r="E75" s="152">
        <f t="shared" si="22"/>
        <v>0.12</v>
      </c>
      <c r="F75" s="3">
        <f t="shared" si="22"/>
        <v>6878.3</v>
      </c>
    </row>
    <row r="76" spans="2:6" ht="17.25" x14ac:dyDescent="0.25">
      <c r="B76" s="2" t="s">
        <v>25</v>
      </c>
      <c r="C76" s="3">
        <f t="shared" si="22"/>
        <v>395.125</v>
      </c>
      <c r="D76" s="152">
        <f t="shared" si="22"/>
        <v>6.5083500000000002E-2</v>
      </c>
      <c r="E76" s="152">
        <f t="shared" si="22"/>
        <v>0.11700000000000001</v>
      </c>
      <c r="F76" s="3">
        <f t="shared" si="22"/>
        <v>6320.6</v>
      </c>
    </row>
    <row r="77" spans="2:6" ht="17.25" x14ac:dyDescent="0.25">
      <c r="B77" s="2" t="s">
        <v>26</v>
      </c>
      <c r="C77" s="3">
        <f t="shared" si="22"/>
        <v>435</v>
      </c>
      <c r="D77" s="152">
        <f t="shared" si="22"/>
        <v>5.3031000000000002E-2</v>
      </c>
      <c r="E77" s="152">
        <f t="shared" si="22"/>
        <v>0.112</v>
      </c>
      <c r="F77" s="3">
        <f t="shared" si="22"/>
        <v>5615.5</v>
      </c>
    </row>
    <row r="78" spans="2:6" ht="17.25" x14ac:dyDescent="0.25">
      <c r="B78" s="2" t="s">
        <v>27</v>
      </c>
      <c r="C78" s="3">
        <f t="shared" si="22"/>
        <v>0</v>
      </c>
      <c r="D78" s="152">
        <f t="shared" si="22"/>
        <v>0</v>
      </c>
      <c r="E78" s="152">
        <f t="shared" si="22"/>
        <v>0</v>
      </c>
      <c r="F78" s="3">
        <f t="shared" si="22"/>
        <v>0</v>
      </c>
    </row>
    <row r="79" spans="2:6" ht="17.25" x14ac:dyDescent="0.25">
      <c r="B79" s="2" t="s">
        <v>110</v>
      </c>
      <c r="C79" s="3">
        <f t="shared" si="22"/>
        <v>250.85</v>
      </c>
      <c r="D79" s="152">
        <f t="shared" si="22"/>
        <v>0.1582895</v>
      </c>
      <c r="E79" s="152">
        <f t="shared" si="22"/>
        <v>0.13</v>
      </c>
      <c r="F79" s="3">
        <f t="shared" si="22"/>
        <v>8467.4499999999989</v>
      </c>
    </row>
    <row r="80" spans="2:6" ht="17.25" x14ac:dyDescent="0.25">
      <c r="B80" s="2" t="s">
        <v>111</v>
      </c>
      <c r="C80" s="3">
        <f t="shared" si="22"/>
        <v>278.39999999999998</v>
      </c>
      <c r="D80" s="152">
        <f t="shared" si="22"/>
        <v>0.12936349999999999</v>
      </c>
      <c r="E80" s="152">
        <f t="shared" si="22"/>
        <v>0.126</v>
      </c>
      <c r="F80" s="3">
        <f t="shared" si="22"/>
        <v>7823.45</v>
      </c>
    </row>
    <row r="81" spans="2:6" ht="17.25" x14ac:dyDescent="0.25">
      <c r="B81" s="2" t="s">
        <v>112</v>
      </c>
      <c r="C81" s="3">
        <f t="shared" si="22"/>
        <v>311.02500000000003</v>
      </c>
      <c r="D81" s="152">
        <f t="shared" si="22"/>
        <v>0.10365150000000001</v>
      </c>
      <c r="E81" s="152">
        <f t="shared" si="22"/>
        <v>0.122</v>
      </c>
      <c r="F81" s="3">
        <f t="shared" si="22"/>
        <v>7235.7999999999993</v>
      </c>
    </row>
    <row r="82" spans="2:6" ht="17.25" x14ac:dyDescent="0.25">
      <c r="B82" s="2" t="s">
        <v>113</v>
      </c>
      <c r="C82" s="3">
        <f t="shared" si="22"/>
        <v>362.5</v>
      </c>
      <c r="D82" s="152">
        <f t="shared" si="22"/>
        <v>8.0350000000000005E-2</v>
      </c>
      <c r="E82" s="152">
        <f t="shared" si="22"/>
        <v>0.12</v>
      </c>
      <c r="F82" s="3">
        <f t="shared" si="22"/>
        <v>7190.95</v>
      </c>
    </row>
    <row r="83" spans="2:6" ht="17.25" x14ac:dyDescent="0.25">
      <c r="B83" s="2" t="s">
        <v>114</v>
      </c>
      <c r="C83" s="3">
        <f t="shared" si="22"/>
        <v>395.125</v>
      </c>
      <c r="D83" s="152">
        <f t="shared" si="22"/>
        <v>6.5083500000000002E-2</v>
      </c>
      <c r="E83" s="152">
        <f t="shared" si="22"/>
        <v>0.11700000000000001</v>
      </c>
      <c r="F83" s="3">
        <f t="shared" si="22"/>
        <v>6607.9</v>
      </c>
    </row>
    <row r="84" spans="2:6" ht="17.25" x14ac:dyDescent="0.25">
      <c r="B84" s="2" t="s">
        <v>115</v>
      </c>
      <c r="C84" s="3">
        <f t="shared" si="22"/>
        <v>435</v>
      </c>
      <c r="D84" s="152">
        <f t="shared" si="22"/>
        <v>5.3031000000000002E-2</v>
      </c>
      <c r="E84" s="152">
        <f t="shared" si="22"/>
        <v>0.112</v>
      </c>
      <c r="F84" s="3">
        <f t="shared" si="22"/>
        <v>5870.75</v>
      </c>
    </row>
    <row r="85" spans="2:6" ht="17.25" x14ac:dyDescent="0.25">
      <c r="B85" s="2" t="s">
        <v>116</v>
      </c>
      <c r="C85" s="3">
        <f t="shared" si="22"/>
        <v>0</v>
      </c>
      <c r="D85" s="152">
        <f t="shared" si="22"/>
        <v>0</v>
      </c>
      <c r="E85" s="152">
        <f t="shared" si="22"/>
        <v>0</v>
      </c>
      <c r="F85" s="3">
        <f t="shared" si="2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46" t="s">
        <v>28</v>
      </c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8"/>
      <c r="Q2" s="11"/>
      <c r="R2" s="12"/>
      <c r="S2" s="246" t="s">
        <v>29</v>
      </c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8"/>
      <c r="AH2" s="13"/>
      <c r="AI2" s="12"/>
      <c r="AJ2" s="249" t="s">
        <v>30</v>
      </c>
      <c r="AK2" s="250"/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1"/>
      <c r="AY2" s="13"/>
      <c r="AZ2" s="12"/>
      <c r="BA2" s="246" t="s">
        <v>31</v>
      </c>
      <c r="BB2" s="247"/>
      <c r="BC2" s="247"/>
      <c r="BD2" s="247"/>
      <c r="BE2" s="247"/>
      <c r="BF2" s="247"/>
      <c r="BG2" s="247"/>
      <c r="BH2" s="247"/>
      <c r="BI2" s="247"/>
      <c r="BJ2" s="247"/>
      <c r="BK2" s="247"/>
      <c r="BL2" s="247"/>
      <c r="BM2" s="247"/>
      <c r="BN2" s="247"/>
      <c r="BO2" s="248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2"/>
      <c r="AK3" s="253"/>
      <c r="AL3" s="253"/>
      <c r="AM3" s="253"/>
      <c r="AN3" s="253"/>
      <c r="AO3" s="253"/>
      <c r="AP3" s="253"/>
      <c r="AQ3" s="253"/>
      <c r="AR3" s="253"/>
      <c r="AS3" s="253"/>
      <c r="AT3" s="253"/>
      <c r="AU3" s="253"/>
      <c r="AV3" s="253"/>
      <c r="AW3" s="253"/>
      <c r="AX3" s="254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58" t="s">
        <v>32</v>
      </c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60"/>
      <c r="Q4" s="20"/>
      <c r="R4" s="21"/>
      <c r="S4" s="258" t="s">
        <v>33</v>
      </c>
      <c r="T4" s="267"/>
      <c r="U4" s="267"/>
      <c r="V4" s="267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8"/>
      <c r="AH4" s="22"/>
      <c r="AI4" s="21"/>
      <c r="AJ4" s="255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7"/>
      <c r="AY4" s="22"/>
      <c r="AZ4" s="21"/>
      <c r="BA4" s="275" t="s">
        <v>34</v>
      </c>
      <c r="BB4" s="275"/>
      <c r="BC4" s="275"/>
      <c r="BD4" s="275"/>
      <c r="BE4" s="275"/>
      <c r="BF4" s="275"/>
      <c r="BG4" s="275"/>
      <c r="BH4" s="275"/>
      <c r="BI4" s="275"/>
      <c r="BJ4" s="275"/>
      <c r="BK4" s="275"/>
      <c r="BL4" s="275"/>
      <c r="BM4" s="275"/>
      <c r="BN4" s="275"/>
      <c r="BO4" s="275"/>
      <c r="BP4" s="22"/>
    </row>
    <row r="5" spans="1:68" s="23" customFormat="1" ht="15" customHeight="1" thickBot="1" x14ac:dyDescent="0.3">
      <c r="A5" s="19"/>
      <c r="B5" s="261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3"/>
      <c r="Q5" s="20"/>
      <c r="R5" s="21"/>
      <c r="S5" s="269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1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75" t="s">
        <v>35</v>
      </c>
      <c r="BB5" s="275"/>
      <c r="BC5" s="275" t="s">
        <v>36</v>
      </c>
      <c r="BD5" s="275"/>
      <c r="BE5" s="275"/>
      <c r="BF5" s="275"/>
      <c r="BG5" s="275"/>
      <c r="BH5" s="275"/>
      <c r="BI5" s="275"/>
      <c r="BJ5" s="275"/>
      <c r="BK5" s="275"/>
      <c r="BL5" s="275"/>
      <c r="BM5" s="275"/>
      <c r="BN5" s="275"/>
      <c r="BO5" s="275"/>
      <c r="BP5" s="22"/>
    </row>
    <row r="6" spans="1:68" s="23" customFormat="1" ht="15" customHeight="1" thickBot="1" x14ac:dyDescent="0.3">
      <c r="A6" s="19"/>
      <c r="B6" s="261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3"/>
      <c r="Q6" s="20"/>
      <c r="R6" s="21"/>
      <c r="S6" s="269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1"/>
      <c r="AH6" s="22"/>
      <c r="AI6" s="21"/>
      <c r="AJ6" s="219" t="s">
        <v>37</v>
      </c>
      <c r="AK6" s="220"/>
      <c r="AL6" s="220"/>
      <c r="AM6" s="220"/>
      <c r="AN6" s="220"/>
      <c r="AO6" s="22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64"/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6"/>
      <c r="Q7" s="20"/>
      <c r="R7" s="21"/>
      <c r="S7" s="272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4"/>
      <c r="AH7" s="22"/>
      <c r="AI7" s="21"/>
      <c r="AJ7" s="276" t="s">
        <v>39</v>
      </c>
      <c r="AK7" s="277"/>
      <c r="AL7" s="277"/>
      <c r="AM7" s="277"/>
      <c r="AN7" s="277"/>
      <c r="AO7" s="278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38" t="s">
        <v>41</v>
      </c>
      <c r="AK8" s="239"/>
      <c r="AL8" s="239"/>
      <c r="AM8" s="23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79" t="s">
        <v>43</v>
      </c>
      <c r="C9" s="280"/>
      <c r="D9" s="280"/>
      <c r="E9" s="280"/>
      <c r="F9" s="280"/>
      <c r="G9" s="280"/>
      <c r="H9" s="281"/>
      <c r="I9" s="11"/>
      <c r="J9" s="219" t="s">
        <v>44</v>
      </c>
      <c r="K9" s="220"/>
      <c r="L9" s="220"/>
      <c r="M9" s="220"/>
      <c r="N9" s="220"/>
      <c r="O9" s="220"/>
      <c r="P9" s="221"/>
      <c r="Q9" s="11"/>
      <c r="R9" s="12"/>
      <c r="S9" s="219" t="s">
        <v>43</v>
      </c>
      <c r="T9" s="220"/>
      <c r="U9" s="220"/>
      <c r="V9" s="220"/>
      <c r="W9" s="220"/>
      <c r="X9" s="220"/>
      <c r="Y9" s="221"/>
      <c r="Z9" s="11"/>
      <c r="AA9" s="219" t="s">
        <v>44</v>
      </c>
      <c r="AB9" s="220"/>
      <c r="AC9" s="220"/>
      <c r="AD9" s="220"/>
      <c r="AE9" s="220"/>
      <c r="AF9" s="220"/>
      <c r="AG9" s="221"/>
      <c r="AH9" s="13"/>
      <c r="AI9" s="12"/>
      <c r="AJ9" s="238" t="s">
        <v>5</v>
      </c>
      <c r="AK9" s="239"/>
      <c r="AL9" s="239"/>
      <c r="AM9" s="23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36" t="s">
        <v>46</v>
      </c>
      <c r="C10" s="237"/>
      <c r="D10" s="237"/>
      <c r="E10" s="237"/>
      <c r="F10" s="237"/>
      <c r="G10" s="30">
        <v>35</v>
      </c>
      <c r="H10" s="31" t="s">
        <v>47</v>
      </c>
      <c r="I10" s="29"/>
      <c r="J10" s="236" t="s">
        <v>46</v>
      </c>
      <c r="K10" s="237"/>
      <c r="L10" s="237"/>
      <c r="M10" s="237"/>
      <c r="N10" s="237"/>
      <c r="O10" s="30">
        <v>50</v>
      </c>
      <c r="P10" s="31" t="s">
        <v>47</v>
      </c>
      <c r="Q10" s="29"/>
      <c r="R10" s="32"/>
      <c r="S10" s="222" t="s">
        <v>46</v>
      </c>
      <c r="T10" s="223"/>
      <c r="U10" s="223"/>
      <c r="V10" s="223"/>
      <c r="W10" s="224"/>
      <c r="X10" s="30">
        <v>35</v>
      </c>
      <c r="Y10" s="31" t="s">
        <v>47</v>
      </c>
      <c r="Z10" s="29"/>
      <c r="AA10" s="222" t="s">
        <v>46</v>
      </c>
      <c r="AB10" s="223"/>
      <c r="AC10" s="223"/>
      <c r="AD10" s="223"/>
      <c r="AE10" s="224"/>
      <c r="AF10" s="30">
        <v>50</v>
      </c>
      <c r="AG10" s="31" t="s">
        <v>47</v>
      </c>
      <c r="AH10" s="33"/>
      <c r="AI10" s="32"/>
      <c r="AJ10" s="238" t="s">
        <v>41</v>
      </c>
      <c r="AK10" s="239"/>
      <c r="AL10" s="239"/>
      <c r="AM10" s="23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38" t="s">
        <v>49</v>
      </c>
      <c r="C11" s="239"/>
      <c r="D11" s="239"/>
      <c r="E11" s="239"/>
      <c r="F11" s="239"/>
      <c r="G11" s="34">
        <v>180</v>
      </c>
      <c r="H11" s="27" t="s">
        <v>50</v>
      </c>
      <c r="I11" s="29"/>
      <c r="J11" s="238" t="s">
        <v>49</v>
      </c>
      <c r="K11" s="239"/>
      <c r="L11" s="239"/>
      <c r="M11" s="239"/>
      <c r="N11" s="23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38" t="s">
        <v>53</v>
      </c>
      <c r="AK11" s="239"/>
      <c r="AL11" s="239"/>
      <c r="AM11" s="23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38" t="s">
        <v>55</v>
      </c>
      <c r="C12" s="239"/>
      <c r="D12" s="239"/>
      <c r="E12" s="239"/>
      <c r="F12" s="239"/>
      <c r="G12" s="38">
        <f>G11/1.2</f>
        <v>150</v>
      </c>
      <c r="H12" s="27" t="s">
        <v>50</v>
      </c>
      <c r="I12" s="29"/>
      <c r="J12" s="238" t="s">
        <v>55</v>
      </c>
      <c r="K12" s="239"/>
      <c r="L12" s="239"/>
      <c r="M12" s="239"/>
      <c r="N12" s="23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38" t="s">
        <v>57</v>
      </c>
      <c r="AK12" s="239"/>
      <c r="AL12" s="239"/>
      <c r="AM12" s="23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0" t="s">
        <v>58</v>
      </c>
      <c r="C13" s="241"/>
      <c r="D13" s="241"/>
      <c r="E13" s="241"/>
      <c r="F13" s="241"/>
      <c r="G13" s="41">
        <f>G11*0.87</f>
        <v>156.6</v>
      </c>
      <c r="H13" s="42" t="s">
        <v>50</v>
      </c>
      <c r="I13" s="29"/>
      <c r="J13" s="240" t="s">
        <v>58</v>
      </c>
      <c r="K13" s="241"/>
      <c r="L13" s="241"/>
      <c r="M13" s="241"/>
      <c r="N13" s="241"/>
      <c r="O13" s="41">
        <f>O11*0.87</f>
        <v>184.44</v>
      </c>
      <c r="P13" s="42" t="s">
        <v>50</v>
      </c>
      <c r="Q13" s="43"/>
      <c r="R13" s="44"/>
      <c r="S13" s="225" t="s">
        <v>59</v>
      </c>
      <c r="T13" s="226"/>
      <c r="U13" s="226"/>
      <c r="V13" s="226"/>
      <c r="W13" s="227"/>
      <c r="X13" s="45">
        <v>0.157</v>
      </c>
      <c r="Y13" s="46" t="s">
        <v>52</v>
      </c>
      <c r="Z13" s="29"/>
      <c r="AA13" s="225" t="s">
        <v>59</v>
      </c>
      <c r="AB13" s="226"/>
      <c r="AC13" s="226"/>
      <c r="AD13" s="226"/>
      <c r="AE13" s="227"/>
      <c r="AF13" s="45">
        <v>0.14899999999999999</v>
      </c>
      <c r="AG13" s="46" t="s">
        <v>52</v>
      </c>
      <c r="AH13" s="47"/>
      <c r="AI13" s="44"/>
      <c r="AJ13" s="238" t="s">
        <v>60</v>
      </c>
      <c r="AK13" s="239"/>
      <c r="AL13" s="239"/>
      <c r="AM13" s="23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0" t="s">
        <v>62</v>
      </c>
      <c r="C14" s="241"/>
      <c r="D14" s="241"/>
      <c r="E14" s="241"/>
      <c r="F14" s="241"/>
      <c r="G14" s="41">
        <f>G13/1.2</f>
        <v>130.5</v>
      </c>
      <c r="H14" s="42" t="s">
        <v>50</v>
      </c>
      <c r="I14" s="29"/>
      <c r="J14" s="240" t="s">
        <v>62</v>
      </c>
      <c r="K14" s="241"/>
      <c r="L14" s="241"/>
      <c r="M14" s="241"/>
      <c r="N14" s="241"/>
      <c r="O14" s="41">
        <f>O13/1.2</f>
        <v>153.70000000000002</v>
      </c>
      <c r="P14" s="42" t="s">
        <v>50</v>
      </c>
      <c r="Q14" s="43"/>
      <c r="R14" s="44"/>
      <c r="S14" s="282">
        <v>60</v>
      </c>
      <c r="T14" s="282"/>
      <c r="U14" s="282"/>
      <c r="V14" s="282"/>
      <c r="W14" s="282"/>
      <c r="X14" s="48"/>
      <c r="Y14" s="29"/>
      <c r="Z14" s="29"/>
      <c r="AA14" s="282"/>
      <c r="AB14" s="282"/>
      <c r="AC14" s="282"/>
      <c r="AD14" s="282"/>
      <c r="AE14" s="282"/>
      <c r="AF14" s="48"/>
      <c r="AG14" s="29"/>
      <c r="AH14" s="47"/>
      <c r="AI14" s="44"/>
      <c r="AJ14" s="238" t="s">
        <v>63</v>
      </c>
      <c r="AK14" s="239"/>
      <c r="AL14" s="239"/>
      <c r="AM14" s="23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2" t="s">
        <v>64</v>
      </c>
      <c r="C15" s="243"/>
      <c r="D15" s="243"/>
      <c r="E15" s="243"/>
      <c r="F15" s="243"/>
      <c r="G15" s="51">
        <f>G11*0.76</f>
        <v>136.80000000000001</v>
      </c>
      <c r="H15" s="52" t="s">
        <v>50</v>
      </c>
      <c r="I15" s="29"/>
      <c r="J15" s="242" t="s">
        <v>64</v>
      </c>
      <c r="K15" s="243"/>
      <c r="L15" s="243"/>
      <c r="M15" s="243"/>
      <c r="N15" s="243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38" t="s">
        <v>65</v>
      </c>
      <c r="AK15" s="239"/>
      <c r="AL15" s="239"/>
      <c r="AM15" s="23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44" t="s">
        <v>66</v>
      </c>
      <c r="C16" s="245"/>
      <c r="D16" s="245"/>
      <c r="E16" s="245"/>
      <c r="F16" s="245"/>
      <c r="G16" s="56">
        <f>G15/1.2</f>
        <v>114.00000000000001</v>
      </c>
      <c r="H16" s="57" t="s">
        <v>50</v>
      </c>
      <c r="I16" s="29"/>
      <c r="J16" s="244" t="s">
        <v>66</v>
      </c>
      <c r="K16" s="245"/>
      <c r="L16" s="245"/>
      <c r="M16" s="245"/>
      <c r="N16" s="245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3" t="s">
        <v>67</v>
      </c>
      <c r="AK16" s="284"/>
      <c r="AL16" s="284"/>
      <c r="AM16" s="284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85" t="s">
        <v>158</v>
      </c>
      <c r="C17" s="286"/>
      <c r="D17" s="286"/>
      <c r="E17" s="286"/>
      <c r="F17" s="286"/>
      <c r="G17" s="191">
        <f>G11*0.708</f>
        <v>127.44</v>
      </c>
      <c r="H17" s="190" t="s">
        <v>50</v>
      </c>
      <c r="I17" s="29"/>
      <c r="J17" s="285" t="s">
        <v>158</v>
      </c>
      <c r="K17" s="286"/>
      <c r="L17" s="286"/>
      <c r="M17" s="286"/>
      <c r="N17" s="286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19" t="s">
        <v>69</v>
      </c>
      <c r="C18" s="220"/>
      <c r="D18" s="220"/>
      <c r="E18" s="220"/>
      <c r="F18" s="220"/>
      <c r="G18" s="220"/>
      <c r="H18" s="221"/>
      <c r="I18" s="11"/>
      <c r="J18" s="219" t="s">
        <v>70</v>
      </c>
      <c r="K18" s="220"/>
      <c r="L18" s="220"/>
      <c r="M18" s="220"/>
      <c r="N18" s="220"/>
      <c r="O18" s="220"/>
      <c r="P18" s="221"/>
      <c r="Q18" s="11"/>
      <c r="R18" s="12"/>
      <c r="S18" s="219" t="s">
        <v>69</v>
      </c>
      <c r="T18" s="220"/>
      <c r="U18" s="220"/>
      <c r="V18" s="220"/>
      <c r="W18" s="220"/>
      <c r="X18" s="220"/>
      <c r="Y18" s="221"/>
      <c r="Z18" s="11"/>
      <c r="AA18" s="219" t="s">
        <v>70</v>
      </c>
      <c r="AB18" s="220"/>
      <c r="AC18" s="220"/>
      <c r="AD18" s="220"/>
      <c r="AE18" s="220"/>
      <c r="AF18" s="220"/>
      <c r="AG18" s="221"/>
      <c r="AH18" s="13"/>
      <c r="AI18" s="12"/>
      <c r="AJ18" s="249" t="s">
        <v>71</v>
      </c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1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36" t="s">
        <v>46</v>
      </c>
      <c r="C19" s="237"/>
      <c r="D19" s="237"/>
      <c r="E19" s="237"/>
      <c r="F19" s="237"/>
      <c r="G19" s="30">
        <v>70</v>
      </c>
      <c r="H19" s="31" t="s">
        <v>47</v>
      </c>
      <c r="I19" s="29"/>
      <c r="J19" s="236" t="s">
        <v>46</v>
      </c>
      <c r="K19" s="237"/>
      <c r="L19" s="237"/>
      <c r="M19" s="237"/>
      <c r="N19" s="237"/>
      <c r="O19" s="30">
        <v>95</v>
      </c>
      <c r="P19" s="31" t="s">
        <v>47</v>
      </c>
      <c r="Q19" s="29"/>
      <c r="R19" s="32"/>
      <c r="S19" s="222" t="s">
        <v>46</v>
      </c>
      <c r="T19" s="223"/>
      <c r="U19" s="223"/>
      <c r="V19" s="223"/>
      <c r="W19" s="224"/>
      <c r="X19" s="30">
        <v>70</v>
      </c>
      <c r="Y19" s="31" t="s">
        <v>47</v>
      </c>
      <c r="Z19" s="29"/>
      <c r="AA19" s="222" t="s">
        <v>46</v>
      </c>
      <c r="AB19" s="223"/>
      <c r="AC19" s="223"/>
      <c r="AD19" s="223"/>
      <c r="AE19" s="224"/>
      <c r="AF19" s="30">
        <v>95</v>
      </c>
      <c r="AG19" s="31" t="s">
        <v>47</v>
      </c>
      <c r="AH19" s="33"/>
      <c r="AI19" s="32"/>
      <c r="AJ19" s="255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7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38" t="s">
        <v>49</v>
      </c>
      <c r="C20" s="239"/>
      <c r="D20" s="239"/>
      <c r="E20" s="239"/>
      <c r="F20" s="239"/>
      <c r="G20" s="34">
        <v>258</v>
      </c>
      <c r="H20" s="27" t="s">
        <v>50</v>
      </c>
      <c r="I20" s="29"/>
      <c r="J20" s="238" t="s">
        <v>49</v>
      </c>
      <c r="K20" s="239"/>
      <c r="L20" s="239"/>
      <c r="M20" s="239"/>
      <c r="N20" s="23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38" t="s">
        <v>55</v>
      </c>
      <c r="C21" s="239"/>
      <c r="D21" s="239"/>
      <c r="E21" s="239"/>
      <c r="F21" s="239"/>
      <c r="G21" s="38">
        <f>G20/1.2</f>
        <v>215</v>
      </c>
      <c r="H21" s="27" t="s">
        <v>50</v>
      </c>
      <c r="I21" s="29"/>
      <c r="J21" s="238" t="s">
        <v>55</v>
      </c>
      <c r="K21" s="239"/>
      <c r="L21" s="239"/>
      <c r="M21" s="239"/>
      <c r="N21" s="23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19" t="s">
        <v>72</v>
      </c>
      <c r="AK21" s="220"/>
      <c r="AL21" s="220"/>
      <c r="AM21" s="220"/>
      <c r="AN21" s="221"/>
      <c r="AO21" s="29"/>
      <c r="AP21" s="219" t="s">
        <v>73</v>
      </c>
      <c r="AQ21" s="220"/>
      <c r="AR21" s="220"/>
      <c r="AS21" s="220"/>
      <c r="AT21" s="22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0" t="s">
        <v>58</v>
      </c>
      <c r="C22" s="241"/>
      <c r="D22" s="241"/>
      <c r="E22" s="241"/>
      <c r="F22" s="241"/>
      <c r="G22" s="41">
        <f>G20*0.87</f>
        <v>224.46</v>
      </c>
      <c r="H22" s="42" t="s">
        <v>50</v>
      </c>
      <c r="I22" s="29"/>
      <c r="J22" s="240" t="s">
        <v>58</v>
      </c>
      <c r="K22" s="241"/>
      <c r="L22" s="241"/>
      <c r="M22" s="241"/>
      <c r="N22" s="241"/>
      <c r="O22" s="41">
        <f>O20*0.87</f>
        <v>266.21999999999997</v>
      </c>
      <c r="P22" s="42" t="s">
        <v>50</v>
      </c>
      <c r="Q22" s="43"/>
      <c r="R22" s="44"/>
      <c r="S22" s="225" t="s">
        <v>59</v>
      </c>
      <c r="T22" s="226"/>
      <c r="U22" s="226"/>
      <c r="V22" s="226"/>
      <c r="W22" s="227"/>
      <c r="X22" s="45">
        <v>0.14099999999999999</v>
      </c>
      <c r="Y22" s="46" t="s">
        <v>52</v>
      </c>
      <c r="Z22" s="29"/>
      <c r="AA22" s="225" t="s">
        <v>59</v>
      </c>
      <c r="AB22" s="226"/>
      <c r="AC22" s="226"/>
      <c r="AD22" s="226"/>
      <c r="AE22" s="227"/>
      <c r="AF22" s="45">
        <v>0.13500000000000001</v>
      </c>
      <c r="AG22" s="46" t="s">
        <v>52</v>
      </c>
      <c r="AH22" s="47"/>
      <c r="AI22" s="44"/>
      <c r="AJ22" s="276" t="s">
        <v>39</v>
      </c>
      <c r="AK22" s="277"/>
      <c r="AL22" s="277"/>
      <c r="AM22" s="277"/>
      <c r="AN22" s="278"/>
      <c r="AO22" s="43"/>
      <c r="AP22" s="276" t="s">
        <v>39</v>
      </c>
      <c r="AQ22" s="277"/>
      <c r="AR22" s="277"/>
      <c r="AS22" s="277"/>
      <c r="AT22" s="278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0" t="s">
        <v>62</v>
      </c>
      <c r="C23" s="241"/>
      <c r="D23" s="241"/>
      <c r="E23" s="241"/>
      <c r="F23" s="241"/>
      <c r="G23" s="41">
        <f>G22/1.2</f>
        <v>187.05</v>
      </c>
      <c r="H23" s="42" t="s">
        <v>50</v>
      </c>
      <c r="I23" s="29"/>
      <c r="J23" s="240" t="s">
        <v>62</v>
      </c>
      <c r="K23" s="241"/>
      <c r="L23" s="241"/>
      <c r="M23" s="241"/>
      <c r="N23" s="241"/>
      <c r="O23" s="41">
        <f>O22/1.2</f>
        <v>221.85</v>
      </c>
      <c r="P23" s="42" t="s">
        <v>50</v>
      </c>
      <c r="Q23" s="43"/>
      <c r="R23" s="44"/>
      <c r="S23" s="282"/>
      <c r="T23" s="282"/>
      <c r="U23" s="282"/>
      <c r="V23" s="282"/>
      <c r="W23" s="282"/>
      <c r="X23" s="48"/>
      <c r="Y23" s="29"/>
      <c r="Z23" s="29"/>
      <c r="AA23" s="282"/>
      <c r="AB23" s="282"/>
      <c r="AC23" s="282"/>
      <c r="AD23" s="282"/>
      <c r="AE23" s="282"/>
      <c r="AF23" s="48"/>
      <c r="AG23" s="29"/>
      <c r="AH23" s="47"/>
      <c r="AI23" s="44"/>
      <c r="AJ23" s="238" t="s">
        <v>41</v>
      </c>
      <c r="AK23" s="239"/>
      <c r="AL23" s="239"/>
      <c r="AM23" s="26">
        <v>1119</v>
      </c>
      <c r="AN23" s="60" t="s">
        <v>48</v>
      </c>
      <c r="AO23" s="43"/>
      <c r="AP23" s="238" t="s">
        <v>41</v>
      </c>
      <c r="AQ23" s="239"/>
      <c r="AR23" s="23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2" t="s">
        <v>64</v>
      </c>
      <c r="C24" s="243"/>
      <c r="D24" s="243"/>
      <c r="E24" s="243"/>
      <c r="F24" s="243"/>
      <c r="G24" s="51">
        <f>G20*0.76</f>
        <v>196.08</v>
      </c>
      <c r="H24" s="52" t="s">
        <v>50</v>
      </c>
      <c r="I24" s="29"/>
      <c r="J24" s="242" t="s">
        <v>64</v>
      </c>
      <c r="K24" s="243"/>
      <c r="L24" s="243"/>
      <c r="M24" s="243"/>
      <c r="N24" s="243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38" t="s">
        <v>5</v>
      </c>
      <c r="AK24" s="239"/>
      <c r="AL24" s="239"/>
      <c r="AM24" s="26">
        <v>6600</v>
      </c>
      <c r="AN24" s="60" t="s">
        <v>45</v>
      </c>
      <c r="AO24" s="53"/>
      <c r="AP24" s="238" t="s">
        <v>5</v>
      </c>
      <c r="AQ24" s="239"/>
      <c r="AR24" s="23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44" t="s">
        <v>66</v>
      </c>
      <c r="C25" s="245"/>
      <c r="D25" s="245"/>
      <c r="E25" s="245"/>
      <c r="F25" s="245"/>
      <c r="G25" s="56">
        <f>G24/1.2</f>
        <v>163.4</v>
      </c>
      <c r="H25" s="57" t="s">
        <v>50</v>
      </c>
      <c r="I25" s="29"/>
      <c r="J25" s="244" t="s">
        <v>66</v>
      </c>
      <c r="K25" s="245"/>
      <c r="L25" s="245"/>
      <c r="M25" s="245"/>
      <c r="N25" s="245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38" t="s">
        <v>74</v>
      </c>
      <c r="AK25" s="239"/>
      <c r="AL25" s="239"/>
      <c r="AM25" s="61">
        <v>86</v>
      </c>
      <c r="AN25" s="60" t="s">
        <v>54</v>
      </c>
      <c r="AO25" s="53"/>
      <c r="AP25" s="238" t="s">
        <v>74</v>
      </c>
      <c r="AQ25" s="239"/>
      <c r="AR25" s="23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85" t="s">
        <v>158</v>
      </c>
      <c r="C26" s="286"/>
      <c r="D26" s="286"/>
      <c r="E26" s="286"/>
      <c r="F26" s="286"/>
      <c r="G26" s="191">
        <f>G20*0.708</f>
        <v>182.66399999999999</v>
      </c>
      <c r="H26" s="190" t="s">
        <v>50</v>
      </c>
      <c r="I26" s="29"/>
      <c r="J26" s="285" t="s">
        <v>158</v>
      </c>
      <c r="K26" s="286"/>
      <c r="L26" s="286"/>
      <c r="M26" s="286"/>
      <c r="N26" s="286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87" t="s">
        <v>75</v>
      </c>
      <c r="AK26" s="288"/>
      <c r="AL26" s="289"/>
      <c r="AM26" s="61">
        <f>71/AM25*100</f>
        <v>82.558139534883722</v>
      </c>
      <c r="AN26" s="60" t="s">
        <v>54</v>
      </c>
      <c r="AO26" s="29"/>
      <c r="AP26" s="287" t="s">
        <v>75</v>
      </c>
      <c r="AQ26" s="288"/>
      <c r="AR26" s="289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19" t="s">
        <v>76</v>
      </c>
      <c r="C27" s="220"/>
      <c r="D27" s="220"/>
      <c r="E27" s="220"/>
      <c r="F27" s="220"/>
      <c r="G27" s="220"/>
      <c r="H27" s="221"/>
      <c r="I27" s="11"/>
      <c r="J27" s="219" t="s">
        <v>77</v>
      </c>
      <c r="K27" s="220"/>
      <c r="L27" s="220"/>
      <c r="M27" s="220"/>
      <c r="N27" s="220"/>
      <c r="O27" s="220"/>
      <c r="P27" s="221"/>
      <c r="Q27" s="11"/>
      <c r="R27" s="12"/>
      <c r="S27" s="219" t="s">
        <v>76</v>
      </c>
      <c r="T27" s="220"/>
      <c r="U27" s="220"/>
      <c r="V27" s="220"/>
      <c r="W27" s="220"/>
      <c r="X27" s="220"/>
      <c r="Y27" s="221"/>
      <c r="Z27" s="11"/>
      <c r="AA27" s="219" t="s">
        <v>77</v>
      </c>
      <c r="AB27" s="220"/>
      <c r="AC27" s="220"/>
      <c r="AD27" s="220"/>
      <c r="AE27" s="220"/>
      <c r="AF27" s="220"/>
      <c r="AG27" s="221"/>
      <c r="AH27" s="13"/>
      <c r="AI27" s="12"/>
      <c r="AJ27" s="238" t="s">
        <v>60</v>
      </c>
      <c r="AK27" s="239"/>
      <c r="AL27" s="239"/>
      <c r="AM27" s="26">
        <f>AM23/AM25/AM26*10000</f>
        <v>1576.056338028169</v>
      </c>
      <c r="AN27" s="60" t="s">
        <v>61</v>
      </c>
      <c r="AO27" s="11"/>
      <c r="AP27" s="238" t="s">
        <v>60</v>
      </c>
      <c r="AQ27" s="239"/>
      <c r="AR27" s="23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36" t="s">
        <v>46</v>
      </c>
      <c r="C28" s="237"/>
      <c r="D28" s="237"/>
      <c r="E28" s="237"/>
      <c r="F28" s="237"/>
      <c r="G28" s="30">
        <v>120</v>
      </c>
      <c r="H28" s="31" t="s">
        <v>47</v>
      </c>
      <c r="I28" s="29"/>
      <c r="J28" s="236" t="s">
        <v>46</v>
      </c>
      <c r="K28" s="237"/>
      <c r="L28" s="237"/>
      <c r="M28" s="237"/>
      <c r="N28" s="237"/>
      <c r="O28" s="30">
        <v>150</v>
      </c>
      <c r="P28" s="31" t="s">
        <v>47</v>
      </c>
      <c r="Q28" s="29"/>
      <c r="R28" s="32"/>
      <c r="S28" s="222" t="s">
        <v>46</v>
      </c>
      <c r="T28" s="223"/>
      <c r="U28" s="223"/>
      <c r="V28" s="223"/>
      <c r="W28" s="224"/>
      <c r="X28" s="30">
        <v>120</v>
      </c>
      <c r="Y28" s="31" t="s">
        <v>47</v>
      </c>
      <c r="Z28" s="29"/>
      <c r="AA28" s="222" t="s">
        <v>46</v>
      </c>
      <c r="AB28" s="223"/>
      <c r="AC28" s="223"/>
      <c r="AD28" s="223"/>
      <c r="AE28" s="224"/>
      <c r="AF28" s="30">
        <v>150</v>
      </c>
      <c r="AG28" s="31" t="s">
        <v>47</v>
      </c>
      <c r="AH28" s="33"/>
      <c r="AI28" s="32"/>
      <c r="AJ28" s="238" t="s">
        <v>19</v>
      </c>
      <c r="AK28" s="239"/>
      <c r="AL28" s="239"/>
      <c r="AM28" s="62">
        <f>AM27/SQRT(3)/AM24*1000</f>
        <v>137.86917439675443</v>
      </c>
      <c r="AN28" s="60" t="s">
        <v>50</v>
      </c>
      <c r="AO28" s="29"/>
      <c r="AP28" s="238" t="s">
        <v>19</v>
      </c>
      <c r="AQ28" s="239"/>
      <c r="AR28" s="23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38" t="s">
        <v>49</v>
      </c>
      <c r="C29" s="239"/>
      <c r="D29" s="239"/>
      <c r="E29" s="239"/>
      <c r="F29" s="239"/>
      <c r="G29" s="34">
        <v>346</v>
      </c>
      <c r="H29" s="27" t="s">
        <v>50</v>
      </c>
      <c r="I29" s="29"/>
      <c r="J29" s="238" t="s">
        <v>49</v>
      </c>
      <c r="K29" s="239"/>
      <c r="L29" s="239"/>
      <c r="M29" s="239"/>
      <c r="N29" s="23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38" t="s">
        <v>65</v>
      </c>
      <c r="AK29" s="239"/>
      <c r="AL29" s="239"/>
      <c r="AM29" s="64">
        <f>AM23/AM26*100</f>
        <v>1355.4084507042253</v>
      </c>
      <c r="AN29" s="60" t="s">
        <v>48</v>
      </c>
      <c r="AO29" s="29"/>
      <c r="AP29" s="238" t="s">
        <v>65</v>
      </c>
      <c r="AQ29" s="239"/>
      <c r="AR29" s="23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38" t="s">
        <v>55</v>
      </c>
      <c r="C30" s="239"/>
      <c r="D30" s="239"/>
      <c r="E30" s="239"/>
      <c r="F30" s="239"/>
      <c r="G30" s="38">
        <f>G29/1.2</f>
        <v>288.33333333333337</v>
      </c>
      <c r="H30" s="27" t="s">
        <v>50</v>
      </c>
      <c r="I30" s="29"/>
      <c r="J30" s="238" t="s">
        <v>55</v>
      </c>
      <c r="K30" s="239"/>
      <c r="L30" s="239"/>
      <c r="M30" s="239"/>
      <c r="N30" s="23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3" t="s">
        <v>67</v>
      </c>
      <c r="AK30" s="284"/>
      <c r="AL30" s="284"/>
      <c r="AM30" s="65">
        <f>SQRT(AM27^2-AM29^2)</f>
        <v>804.25214478938983</v>
      </c>
      <c r="AN30" s="66" t="s">
        <v>68</v>
      </c>
      <c r="AO30" s="29"/>
      <c r="AP30" s="283" t="s">
        <v>67</v>
      </c>
      <c r="AQ30" s="284"/>
      <c r="AR30" s="284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0" t="s">
        <v>58</v>
      </c>
      <c r="C31" s="241"/>
      <c r="D31" s="241"/>
      <c r="E31" s="241"/>
      <c r="F31" s="241"/>
      <c r="G31" s="41">
        <f>G29*0.87</f>
        <v>301.02</v>
      </c>
      <c r="H31" s="42" t="s">
        <v>50</v>
      </c>
      <c r="I31" s="29"/>
      <c r="J31" s="240" t="s">
        <v>58</v>
      </c>
      <c r="K31" s="241"/>
      <c r="L31" s="241"/>
      <c r="M31" s="241"/>
      <c r="N31" s="241"/>
      <c r="O31" s="41">
        <f>O29*0.87</f>
        <v>334.08</v>
      </c>
      <c r="P31" s="42" t="s">
        <v>50</v>
      </c>
      <c r="Q31" s="43"/>
      <c r="R31" s="44"/>
      <c r="S31" s="225" t="s">
        <v>59</v>
      </c>
      <c r="T31" s="226"/>
      <c r="U31" s="226"/>
      <c r="V31" s="226"/>
      <c r="W31" s="227"/>
      <c r="X31" s="45">
        <v>0.13</v>
      </c>
      <c r="Y31" s="46" t="s">
        <v>52</v>
      </c>
      <c r="Z31" s="29"/>
      <c r="AA31" s="225" t="s">
        <v>59</v>
      </c>
      <c r="AB31" s="226"/>
      <c r="AC31" s="226"/>
      <c r="AD31" s="226"/>
      <c r="AE31" s="227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0" t="s">
        <v>62</v>
      </c>
      <c r="C32" s="241"/>
      <c r="D32" s="241"/>
      <c r="E32" s="241"/>
      <c r="F32" s="241"/>
      <c r="G32" s="41">
        <f>G31/1.2</f>
        <v>250.85</v>
      </c>
      <c r="H32" s="42" t="s">
        <v>50</v>
      </c>
      <c r="I32" s="29"/>
      <c r="J32" s="240" t="s">
        <v>62</v>
      </c>
      <c r="K32" s="241"/>
      <c r="L32" s="241"/>
      <c r="M32" s="241"/>
      <c r="N32" s="241"/>
      <c r="O32" s="41">
        <f>O31/1.2</f>
        <v>278.39999999999998</v>
      </c>
      <c r="P32" s="42" t="s">
        <v>50</v>
      </c>
      <c r="Q32" s="43"/>
      <c r="R32" s="44"/>
      <c r="S32" s="282"/>
      <c r="T32" s="282"/>
      <c r="U32" s="282"/>
      <c r="V32" s="282"/>
      <c r="W32" s="282"/>
      <c r="X32" s="48"/>
      <c r="Y32" s="29"/>
      <c r="Z32" s="29"/>
      <c r="AA32" s="282"/>
      <c r="AB32" s="282"/>
      <c r="AC32" s="282"/>
      <c r="AD32" s="282"/>
      <c r="AE32" s="282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19" t="s">
        <v>78</v>
      </c>
      <c r="AQ32" s="220"/>
      <c r="AR32" s="220"/>
      <c r="AS32" s="220"/>
      <c r="AT32" s="22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2" t="s">
        <v>64</v>
      </c>
      <c r="C33" s="243"/>
      <c r="D33" s="243"/>
      <c r="E33" s="243"/>
      <c r="F33" s="243"/>
      <c r="G33" s="51">
        <f>G29*0.76</f>
        <v>262.95999999999998</v>
      </c>
      <c r="H33" s="52" t="s">
        <v>50</v>
      </c>
      <c r="I33" s="29"/>
      <c r="J33" s="242" t="s">
        <v>64</v>
      </c>
      <c r="K33" s="243"/>
      <c r="L33" s="243"/>
      <c r="M33" s="243"/>
      <c r="N33" s="243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0"/>
      <c r="AN33" s="290"/>
      <c r="AO33" s="53"/>
      <c r="AP33" s="276" t="s">
        <v>39</v>
      </c>
      <c r="AQ33" s="277"/>
      <c r="AR33" s="277"/>
      <c r="AS33" s="277"/>
      <c r="AT33" s="278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44" t="s">
        <v>66</v>
      </c>
      <c r="C34" s="245"/>
      <c r="D34" s="245"/>
      <c r="E34" s="245"/>
      <c r="F34" s="245"/>
      <c r="G34" s="56">
        <f>G33/1.2</f>
        <v>219.13333333333333</v>
      </c>
      <c r="H34" s="57" t="s">
        <v>50</v>
      </c>
      <c r="I34" s="29"/>
      <c r="J34" s="244" t="s">
        <v>66</v>
      </c>
      <c r="K34" s="245"/>
      <c r="L34" s="245"/>
      <c r="M34" s="245"/>
      <c r="N34" s="245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38" t="s">
        <v>41</v>
      </c>
      <c r="AQ34" s="239"/>
      <c r="AR34" s="23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85" t="s">
        <v>158</v>
      </c>
      <c r="C35" s="286"/>
      <c r="D35" s="286"/>
      <c r="E35" s="286"/>
      <c r="F35" s="286"/>
      <c r="G35" s="191">
        <f>G29*0.708</f>
        <v>244.96799999999999</v>
      </c>
      <c r="H35" s="190" t="s">
        <v>50</v>
      </c>
      <c r="I35" s="29"/>
      <c r="J35" s="285" t="s">
        <v>158</v>
      </c>
      <c r="K35" s="286"/>
      <c r="L35" s="286"/>
      <c r="M35" s="286"/>
      <c r="N35" s="286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38" t="s">
        <v>5</v>
      </c>
      <c r="AQ35" s="239"/>
      <c r="AR35" s="23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19" t="s">
        <v>79</v>
      </c>
      <c r="C36" s="220"/>
      <c r="D36" s="220"/>
      <c r="E36" s="220"/>
      <c r="F36" s="220"/>
      <c r="G36" s="220"/>
      <c r="H36" s="221"/>
      <c r="I36" s="11"/>
      <c r="J36" s="219" t="s">
        <v>80</v>
      </c>
      <c r="K36" s="220"/>
      <c r="L36" s="220"/>
      <c r="M36" s="220"/>
      <c r="N36" s="220"/>
      <c r="O36" s="220"/>
      <c r="P36" s="221"/>
      <c r="Q36" s="11"/>
      <c r="R36" s="12"/>
      <c r="S36" s="219" t="s">
        <v>79</v>
      </c>
      <c r="T36" s="220"/>
      <c r="U36" s="220"/>
      <c r="V36" s="220"/>
      <c r="W36" s="220"/>
      <c r="X36" s="220"/>
      <c r="Y36" s="221"/>
      <c r="Z36" s="11"/>
      <c r="AA36" s="219" t="s">
        <v>80</v>
      </c>
      <c r="AB36" s="220"/>
      <c r="AC36" s="220"/>
      <c r="AD36" s="220"/>
      <c r="AE36" s="220"/>
      <c r="AF36" s="220"/>
      <c r="AG36" s="221"/>
      <c r="AH36" s="13"/>
      <c r="AI36" s="12"/>
      <c r="AJ36" s="29"/>
      <c r="AK36" s="29"/>
      <c r="AL36" s="29"/>
      <c r="AM36" s="29"/>
      <c r="AN36" s="29"/>
      <c r="AO36" s="11"/>
      <c r="AP36" s="238" t="s">
        <v>74</v>
      </c>
      <c r="AQ36" s="239"/>
      <c r="AR36" s="23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36" t="s">
        <v>46</v>
      </c>
      <c r="C37" s="237"/>
      <c r="D37" s="237"/>
      <c r="E37" s="237"/>
      <c r="F37" s="237"/>
      <c r="G37" s="30">
        <v>185</v>
      </c>
      <c r="H37" s="31" t="s">
        <v>47</v>
      </c>
      <c r="I37" s="29"/>
      <c r="J37" s="236" t="s">
        <v>46</v>
      </c>
      <c r="K37" s="237"/>
      <c r="L37" s="237"/>
      <c r="M37" s="237"/>
      <c r="N37" s="237"/>
      <c r="O37" s="30">
        <v>240</v>
      </c>
      <c r="P37" s="31" t="s">
        <v>47</v>
      </c>
      <c r="Q37" s="29"/>
      <c r="R37" s="32"/>
      <c r="S37" s="222" t="s">
        <v>46</v>
      </c>
      <c r="T37" s="223"/>
      <c r="U37" s="223"/>
      <c r="V37" s="223"/>
      <c r="W37" s="224"/>
      <c r="X37" s="30">
        <v>185</v>
      </c>
      <c r="Y37" s="31" t="s">
        <v>47</v>
      </c>
      <c r="Z37" s="29"/>
      <c r="AA37" s="222" t="s">
        <v>46</v>
      </c>
      <c r="AB37" s="223"/>
      <c r="AC37" s="223"/>
      <c r="AD37" s="223"/>
      <c r="AE37" s="224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87" t="s">
        <v>75</v>
      </c>
      <c r="AQ37" s="288"/>
      <c r="AR37" s="289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38" t="s">
        <v>49</v>
      </c>
      <c r="C38" s="239"/>
      <c r="D38" s="239"/>
      <c r="E38" s="239"/>
      <c r="F38" s="239"/>
      <c r="G38" s="34">
        <v>429</v>
      </c>
      <c r="H38" s="27" t="s">
        <v>50</v>
      </c>
      <c r="I38" s="29"/>
      <c r="J38" s="238" t="s">
        <v>49</v>
      </c>
      <c r="K38" s="239"/>
      <c r="L38" s="239"/>
      <c r="M38" s="239"/>
      <c r="N38" s="23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38" t="s">
        <v>60</v>
      </c>
      <c r="AQ38" s="239"/>
      <c r="AR38" s="23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38" t="s">
        <v>55</v>
      </c>
      <c r="C39" s="239"/>
      <c r="D39" s="239"/>
      <c r="E39" s="239"/>
      <c r="F39" s="239"/>
      <c r="G39" s="38">
        <f>G38/1.2</f>
        <v>357.5</v>
      </c>
      <c r="H39" s="27" t="s">
        <v>50</v>
      </c>
      <c r="I39" s="29"/>
      <c r="J39" s="238" t="s">
        <v>55</v>
      </c>
      <c r="K39" s="239"/>
      <c r="L39" s="239"/>
      <c r="M39" s="239"/>
      <c r="N39" s="23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38" t="s">
        <v>19</v>
      </c>
      <c r="AQ39" s="239"/>
      <c r="AR39" s="23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0" t="s">
        <v>58</v>
      </c>
      <c r="C40" s="241"/>
      <c r="D40" s="241"/>
      <c r="E40" s="241"/>
      <c r="F40" s="241"/>
      <c r="G40" s="41">
        <f>G38*0.87</f>
        <v>373.23</v>
      </c>
      <c r="H40" s="42" t="s">
        <v>50</v>
      </c>
      <c r="I40" s="29"/>
      <c r="J40" s="240" t="s">
        <v>58</v>
      </c>
      <c r="K40" s="241"/>
      <c r="L40" s="241"/>
      <c r="M40" s="241"/>
      <c r="N40" s="241"/>
      <c r="O40" s="41">
        <f>O38*0.87</f>
        <v>435</v>
      </c>
      <c r="P40" s="42" t="s">
        <v>50</v>
      </c>
      <c r="Q40" s="43"/>
      <c r="R40" s="44"/>
      <c r="S40" s="225" t="s">
        <v>59</v>
      </c>
      <c r="T40" s="226"/>
      <c r="U40" s="226"/>
      <c r="V40" s="226"/>
      <c r="W40" s="227"/>
      <c r="X40" s="45">
        <v>0.122</v>
      </c>
      <c r="Y40" s="46" t="s">
        <v>52</v>
      </c>
      <c r="Z40" s="29"/>
      <c r="AA40" s="225" t="s">
        <v>59</v>
      </c>
      <c r="AB40" s="226"/>
      <c r="AC40" s="226"/>
      <c r="AD40" s="226"/>
      <c r="AE40" s="227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38" t="s">
        <v>65</v>
      </c>
      <c r="AQ40" s="239"/>
      <c r="AR40" s="23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0" t="s">
        <v>62</v>
      </c>
      <c r="C41" s="241"/>
      <c r="D41" s="241"/>
      <c r="E41" s="241"/>
      <c r="F41" s="241"/>
      <c r="G41" s="41">
        <f>G40/1.2</f>
        <v>311.02500000000003</v>
      </c>
      <c r="H41" s="42" t="s">
        <v>50</v>
      </c>
      <c r="I41" s="29"/>
      <c r="J41" s="240" t="s">
        <v>62</v>
      </c>
      <c r="K41" s="241"/>
      <c r="L41" s="241"/>
      <c r="M41" s="241"/>
      <c r="N41" s="241"/>
      <c r="O41" s="41">
        <f>O40/1.2</f>
        <v>362.5</v>
      </c>
      <c r="P41" s="42" t="s">
        <v>50</v>
      </c>
      <c r="Q41" s="43"/>
      <c r="R41" s="44"/>
      <c r="S41" s="282"/>
      <c r="T41" s="282"/>
      <c r="U41" s="282"/>
      <c r="V41" s="282"/>
      <c r="W41" s="282"/>
      <c r="X41" s="48"/>
      <c r="Y41" s="29"/>
      <c r="Z41" s="29"/>
      <c r="AA41" s="282"/>
      <c r="AB41" s="282"/>
      <c r="AC41" s="282"/>
      <c r="AD41" s="282"/>
      <c r="AE41" s="282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3" t="s">
        <v>67</v>
      </c>
      <c r="AQ41" s="284"/>
      <c r="AR41" s="284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2" t="s">
        <v>64</v>
      </c>
      <c r="C42" s="243"/>
      <c r="D42" s="243"/>
      <c r="E42" s="243"/>
      <c r="F42" s="243"/>
      <c r="G42" s="51">
        <f>G38*0.76</f>
        <v>326.04000000000002</v>
      </c>
      <c r="H42" s="52" t="s">
        <v>50</v>
      </c>
      <c r="I42" s="29"/>
      <c r="J42" s="242" t="s">
        <v>64</v>
      </c>
      <c r="K42" s="243"/>
      <c r="L42" s="243"/>
      <c r="M42" s="243"/>
      <c r="N42" s="243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44" t="s">
        <v>66</v>
      </c>
      <c r="C43" s="245"/>
      <c r="D43" s="245"/>
      <c r="E43" s="245"/>
      <c r="F43" s="245"/>
      <c r="G43" s="56">
        <f>G42/1.2</f>
        <v>271.70000000000005</v>
      </c>
      <c r="H43" s="57" t="s">
        <v>50</v>
      </c>
      <c r="I43" s="29"/>
      <c r="J43" s="244" t="s">
        <v>66</v>
      </c>
      <c r="K43" s="245"/>
      <c r="L43" s="245"/>
      <c r="M43" s="245"/>
      <c r="N43" s="245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1" t="s">
        <v>81</v>
      </c>
      <c r="AK43" s="292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2"/>
      <c r="AX43" s="293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85" t="s">
        <v>158</v>
      </c>
      <c r="C44" s="286"/>
      <c r="D44" s="286"/>
      <c r="E44" s="286"/>
      <c r="F44" s="286"/>
      <c r="G44" s="191">
        <f>G38*0.708</f>
        <v>303.73199999999997</v>
      </c>
      <c r="H44" s="190" t="s">
        <v>50</v>
      </c>
      <c r="I44" s="29"/>
      <c r="J44" s="285" t="s">
        <v>158</v>
      </c>
      <c r="K44" s="286"/>
      <c r="L44" s="286"/>
      <c r="M44" s="286"/>
      <c r="N44" s="286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94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6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19" t="s">
        <v>82</v>
      </c>
      <c r="C45" s="220"/>
      <c r="D45" s="220"/>
      <c r="E45" s="220"/>
      <c r="F45" s="220"/>
      <c r="G45" s="220"/>
      <c r="H45" s="221"/>
      <c r="I45" s="11"/>
      <c r="J45" s="219" t="s">
        <v>83</v>
      </c>
      <c r="K45" s="220"/>
      <c r="L45" s="220"/>
      <c r="M45" s="220"/>
      <c r="N45" s="220"/>
      <c r="O45" s="220"/>
      <c r="P45" s="221"/>
      <c r="Q45" s="11"/>
      <c r="R45" s="12"/>
      <c r="S45" s="219" t="s">
        <v>82</v>
      </c>
      <c r="T45" s="220"/>
      <c r="U45" s="220"/>
      <c r="V45" s="220"/>
      <c r="W45" s="220"/>
      <c r="X45" s="220"/>
      <c r="Y45" s="221"/>
      <c r="Z45" s="11"/>
      <c r="AA45" s="219" t="s">
        <v>83</v>
      </c>
      <c r="AB45" s="220"/>
      <c r="AC45" s="220"/>
      <c r="AD45" s="220"/>
      <c r="AE45" s="220"/>
      <c r="AF45" s="220"/>
      <c r="AG45" s="22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36" t="s">
        <v>46</v>
      </c>
      <c r="C46" s="237"/>
      <c r="D46" s="237"/>
      <c r="E46" s="237"/>
      <c r="F46" s="237"/>
      <c r="G46" s="30">
        <v>300</v>
      </c>
      <c r="H46" s="31" t="s">
        <v>47</v>
      </c>
      <c r="I46" s="29"/>
      <c r="J46" s="236" t="s">
        <v>46</v>
      </c>
      <c r="K46" s="237"/>
      <c r="L46" s="237"/>
      <c r="M46" s="237"/>
      <c r="N46" s="237"/>
      <c r="O46" s="30">
        <v>400</v>
      </c>
      <c r="P46" s="31" t="s">
        <v>47</v>
      </c>
      <c r="Q46" s="29"/>
      <c r="R46" s="32"/>
      <c r="S46" s="222" t="s">
        <v>46</v>
      </c>
      <c r="T46" s="223"/>
      <c r="U46" s="223"/>
      <c r="V46" s="223"/>
      <c r="W46" s="224"/>
      <c r="X46" s="30">
        <v>300</v>
      </c>
      <c r="Y46" s="31" t="s">
        <v>47</v>
      </c>
      <c r="Z46" s="29"/>
      <c r="AA46" s="222" t="s">
        <v>46</v>
      </c>
      <c r="AB46" s="223"/>
      <c r="AC46" s="223"/>
      <c r="AD46" s="223"/>
      <c r="AE46" s="224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38" t="s">
        <v>49</v>
      </c>
      <c r="C47" s="239"/>
      <c r="D47" s="239"/>
      <c r="E47" s="239"/>
      <c r="F47" s="239"/>
      <c r="G47" s="34">
        <v>545</v>
      </c>
      <c r="H47" s="27" t="s">
        <v>50</v>
      </c>
      <c r="I47" s="29"/>
      <c r="J47" s="238" t="s">
        <v>49</v>
      </c>
      <c r="K47" s="239"/>
      <c r="L47" s="239"/>
      <c r="M47" s="239"/>
      <c r="N47" s="23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38" t="s">
        <v>55</v>
      </c>
      <c r="C48" s="239"/>
      <c r="D48" s="239"/>
      <c r="E48" s="239"/>
      <c r="F48" s="239"/>
      <c r="G48" s="38">
        <f>G47/1.2</f>
        <v>454.16666666666669</v>
      </c>
      <c r="H48" s="27" t="s">
        <v>50</v>
      </c>
      <c r="I48" s="29"/>
      <c r="J48" s="238" t="s">
        <v>55</v>
      </c>
      <c r="K48" s="239"/>
      <c r="L48" s="239"/>
      <c r="M48" s="239"/>
      <c r="N48" s="23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0" t="s">
        <v>58</v>
      </c>
      <c r="C49" s="241"/>
      <c r="D49" s="241"/>
      <c r="E49" s="241"/>
      <c r="F49" s="241"/>
      <c r="G49" s="41">
        <f>G47*0.87</f>
        <v>474.15</v>
      </c>
      <c r="H49" s="42" t="s">
        <v>50</v>
      </c>
      <c r="I49" s="29"/>
      <c r="J49" s="240" t="s">
        <v>58</v>
      </c>
      <c r="K49" s="241"/>
      <c r="L49" s="241"/>
      <c r="M49" s="241"/>
      <c r="N49" s="241"/>
      <c r="O49" s="41">
        <f>O47*0.87</f>
        <v>522</v>
      </c>
      <c r="P49" s="42" t="s">
        <v>50</v>
      </c>
      <c r="Q49" s="43"/>
      <c r="R49" s="44"/>
      <c r="S49" s="225" t="s">
        <v>59</v>
      </c>
      <c r="T49" s="226"/>
      <c r="U49" s="226"/>
      <c r="V49" s="226"/>
      <c r="W49" s="227"/>
      <c r="X49" s="45">
        <v>0.11700000000000001</v>
      </c>
      <c r="Y49" s="46" t="s">
        <v>52</v>
      </c>
      <c r="Z49" s="29"/>
      <c r="AA49" s="225" t="s">
        <v>59</v>
      </c>
      <c r="AB49" s="226"/>
      <c r="AC49" s="226"/>
      <c r="AD49" s="226"/>
      <c r="AE49" s="227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0" t="s">
        <v>62</v>
      </c>
      <c r="C50" s="241"/>
      <c r="D50" s="241"/>
      <c r="E50" s="241"/>
      <c r="F50" s="241"/>
      <c r="G50" s="41">
        <f>G49/1.2</f>
        <v>395.125</v>
      </c>
      <c r="H50" s="42" t="s">
        <v>50</v>
      </c>
      <c r="I50" s="29"/>
      <c r="J50" s="240" t="s">
        <v>62</v>
      </c>
      <c r="K50" s="241"/>
      <c r="L50" s="241"/>
      <c r="M50" s="241"/>
      <c r="N50" s="241"/>
      <c r="O50" s="41">
        <f>O49/1.2</f>
        <v>435</v>
      </c>
      <c r="P50" s="42" t="s">
        <v>50</v>
      </c>
      <c r="Q50" s="43"/>
      <c r="R50" s="44"/>
      <c r="S50" s="282"/>
      <c r="T50" s="282"/>
      <c r="U50" s="282"/>
      <c r="V50" s="282"/>
      <c r="W50" s="282"/>
      <c r="X50" s="48"/>
      <c r="Y50" s="29"/>
      <c r="Z50" s="29"/>
      <c r="AA50" s="282"/>
      <c r="AB50" s="282"/>
      <c r="AC50" s="282"/>
      <c r="AD50" s="282"/>
      <c r="AE50" s="282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2" t="s">
        <v>64</v>
      </c>
      <c r="C51" s="243"/>
      <c r="D51" s="243"/>
      <c r="E51" s="243"/>
      <c r="F51" s="243"/>
      <c r="G51" s="51">
        <f>G47*0.76</f>
        <v>414.2</v>
      </c>
      <c r="H51" s="52" t="s">
        <v>50</v>
      </c>
      <c r="I51" s="29"/>
      <c r="J51" s="242" t="s">
        <v>64</v>
      </c>
      <c r="K51" s="243"/>
      <c r="L51" s="243"/>
      <c r="M51" s="243"/>
      <c r="N51" s="243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44" t="s">
        <v>66</v>
      </c>
      <c r="C52" s="245"/>
      <c r="D52" s="245"/>
      <c r="E52" s="245"/>
      <c r="F52" s="245"/>
      <c r="G52" s="56">
        <f>G51/1.2</f>
        <v>345.16666666666669</v>
      </c>
      <c r="H52" s="57" t="s">
        <v>50</v>
      </c>
      <c r="I52" s="69"/>
      <c r="J52" s="244" t="s">
        <v>66</v>
      </c>
      <c r="K52" s="245"/>
      <c r="L52" s="245"/>
      <c r="M52" s="245"/>
      <c r="N52" s="245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85" t="s">
        <v>158</v>
      </c>
      <c r="C53" s="286"/>
      <c r="D53" s="286"/>
      <c r="E53" s="286"/>
      <c r="F53" s="286"/>
      <c r="G53" s="191">
        <f>G47*0.708</f>
        <v>385.85999999999996</v>
      </c>
      <c r="H53" s="190" t="s">
        <v>50</v>
      </c>
      <c r="J53" s="285" t="s">
        <v>158</v>
      </c>
      <c r="K53" s="286"/>
      <c r="L53" s="286"/>
      <c r="M53" s="286"/>
      <c r="N53" s="286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0" t="s">
        <v>138</v>
      </c>
      <c r="C55" s="211"/>
      <c r="D55" s="211"/>
      <c r="E55" s="211"/>
      <c r="F55" s="211"/>
      <c r="G55" s="211"/>
      <c r="H55" s="212"/>
      <c r="J55" s="219" t="s">
        <v>139</v>
      </c>
      <c r="K55" s="220"/>
      <c r="L55" s="220"/>
      <c r="M55" s="220"/>
      <c r="N55" s="220"/>
      <c r="O55" s="220"/>
      <c r="P55" s="221"/>
      <c r="S55" s="210" t="s">
        <v>138</v>
      </c>
      <c r="T55" s="211"/>
      <c r="U55" s="211"/>
      <c r="V55" s="211"/>
      <c r="W55" s="211"/>
      <c r="X55" s="211"/>
      <c r="Y55" s="212"/>
      <c r="AA55" s="219" t="s">
        <v>139</v>
      </c>
      <c r="AB55" s="220"/>
      <c r="AC55" s="220"/>
      <c r="AD55" s="220"/>
      <c r="AE55" s="220"/>
      <c r="AF55" s="220"/>
      <c r="AG55" s="22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28" t="s">
        <v>46</v>
      </c>
      <c r="C56" s="229"/>
      <c r="D56" s="229"/>
      <c r="E56" s="229"/>
      <c r="F56" s="229"/>
      <c r="G56" s="134">
        <v>400</v>
      </c>
      <c r="H56" s="135" t="s">
        <v>47</v>
      </c>
      <c r="J56" s="236" t="s">
        <v>46</v>
      </c>
      <c r="K56" s="237"/>
      <c r="L56" s="237"/>
      <c r="M56" s="237"/>
      <c r="N56" s="237"/>
      <c r="O56" s="30">
        <v>630</v>
      </c>
      <c r="P56" s="31" t="s">
        <v>47</v>
      </c>
      <c r="S56" s="213" t="s">
        <v>46</v>
      </c>
      <c r="T56" s="214"/>
      <c r="U56" s="214"/>
      <c r="V56" s="214"/>
      <c r="W56" s="215"/>
      <c r="X56" s="134">
        <v>500</v>
      </c>
      <c r="Y56" s="135" t="s">
        <v>47</v>
      </c>
      <c r="AA56" s="222" t="s">
        <v>46</v>
      </c>
      <c r="AB56" s="223"/>
      <c r="AC56" s="223"/>
      <c r="AD56" s="223"/>
      <c r="AE56" s="224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0" t="s">
        <v>49</v>
      </c>
      <c r="C57" s="231"/>
      <c r="D57" s="231"/>
      <c r="E57" s="231"/>
      <c r="F57" s="231"/>
      <c r="G57" s="144">
        <v>659</v>
      </c>
      <c r="H57" s="140" t="s">
        <v>50</v>
      </c>
      <c r="J57" s="238" t="s">
        <v>49</v>
      </c>
      <c r="K57" s="239"/>
      <c r="L57" s="239"/>
      <c r="M57" s="239"/>
      <c r="N57" s="23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0" t="s">
        <v>55</v>
      </c>
      <c r="C58" s="231"/>
      <c r="D58" s="231"/>
      <c r="E58" s="231"/>
      <c r="F58" s="231"/>
      <c r="G58" s="145">
        <f>G57/1.2</f>
        <v>549.16666666666674</v>
      </c>
      <c r="H58" s="140" t="s">
        <v>50</v>
      </c>
      <c r="J58" s="238" t="s">
        <v>55</v>
      </c>
      <c r="K58" s="239"/>
      <c r="L58" s="239"/>
      <c r="M58" s="239"/>
      <c r="N58" s="23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2" t="s">
        <v>58</v>
      </c>
      <c r="C59" s="233"/>
      <c r="D59" s="233"/>
      <c r="E59" s="233"/>
      <c r="F59" s="233"/>
      <c r="G59" s="146">
        <f>G57*0.87</f>
        <v>573.33000000000004</v>
      </c>
      <c r="H59" s="147" t="s">
        <v>50</v>
      </c>
      <c r="J59" s="240" t="s">
        <v>58</v>
      </c>
      <c r="K59" s="241"/>
      <c r="L59" s="241"/>
      <c r="M59" s="241"/>
      <c r="N59" s="241"/>
      <c r="O59" s="41">
        <f>O57*0.87</f>
        <v>627.27</v>
      </c>
      <c r="P59" s="42" t="s">
        <v>50</v>
      </c>
      <c r="S59" s="216" t="s">
        <v>59</v>
      </c>
      <c r="T59" s="217"/>
      <c r="U59" s="217"/>
      <c r="V59" s="217"/>
      <c r="W59" s="218"/>
      <c r="X59" s="142">
        <v>0.112</v>
      </c>
      <c r="Y59" s="143" t="s">
        <v>52</v>
      </c>
      <c r="AA59" s="225" t="s">
        <v>59</v>
      </c>
      <c r="AB59" s="226"/>
      <c r="AC59" s="226"/>
      <c r="AD59" s="226"/>
      <c r="AE59" s="227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2" t="s">
        <v>62</v>
      </c>
      <c r="C60" s="233"/>
      <c r="D60" s="233"/>
      <c r="E60" s="233"/>
      <c r="F60" s="233"/>
      <c r="G60" s="146">
        <f>G59/1.2</f>
        <v>477.77500000000003</v>
      </c>
      <c r="H60" s="147" t="s">
        <v>50</v>
      </c>
      <c r="J60" s="240" t="s">
        <v>62</v>
      </c>
      <c r="K60" s="241"/>
      <c r="L60" s="241"/>
      <c r="M60" s="241"/>
      <c r="N60" s="241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97" t="s">
        <v>64</v>
      </c>
      <c r="C61" s="298"/>
      <c r="D61" s="298"/>
      <c r="E61" s="298"/>
      <c r="F61" s="298"/>
      <c r="G61" s="148">
        <f>G57*0.76</f>
        <v>500.84000000000003</v>
      </c>
      <c r="H61" s="149" t="s">
        <v>50</v>
      </c>
      <c r="J61" s="242" t="s">
        <v>64</v>
      </c>
      <c r="K61" s="243"/>
      <c r="L61" s="243"/>
      <c r="M61" s="243"/>
      <c r="N61" s="243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34" t="s">
        <v>66</v>
      </c>
      <c r="C62" s="235"/>
      <c r="D62" s="235"/>
      <c r="E62" s="235"/>
      <c r="F62" s="235"/>
      <c r="G62" s="150">
        <f>G61/1.2</f>
        <v>417.36666666666673</v>
      </c>
      <c r="H62" s="151" t="s">
        <v>50</v>
      </c>
      <c r="J62" s="244" t="s">
        <v>66</v>
      </c>
      <c r="K62" s="245"/>
      <c r="L62" s="245"/>
      <c r="M62" s="245"/>
      <c r="N62" s="245"/>
      <c r="O62" s="56">
        <f>O61/1.2</f>
        <v>456.63333333333338</v>
      </c>
      <c r="P62" s="57" t="s">
        <v>50</v>
      </c>
    </row>
    <row r="63" spans="1:68" ht="15" customHeight="1" x14ac:dyDescent="0.25">
      <c r="B63" s="285" t="s">
        <v>158</v>
      </c>
      <c r="C63" s="286"/>
      <c r="D63" s="286"/>
      <c r="E63" s="286"/>
      <c r="F63" s="286"/>
      <c r="G63" s="191">
        <f>G57*0.708</f>
        <v>466.572</v>
      </c>
      <c r="H63" s="190" t="s">
        <v>50</v>
      </c>
      <c r="J63" s="285" t="s">
        <v>158</v>
      </c>
      <c r="K63" s="286"/>
      <c r="L63" s="286"/>
      <c r="M63" s="286"/>
      <c r="N63" s="286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2020-11-05T04:51:09Z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