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0" documentId="13_ncr:1_{F4D921FD-0D04-418E-A00B-6B41DD86CED3}" xr6:coauthVersionLast="45" xr6:coauthVersionMax="45" xr10:uidLastSave="{00000000-0000-0000-0000-000000000000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Calculo!$I$9:$J$9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Calculo!$AF$9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Calculo!$I$9</definedName>
    <definedName name="solver_lhs3" localSheetId="1" hidden="1">Avaliação!$A$4</definedName>
    <definedName name="solver_lhs3" localSheetId="0" hidden="1">Calculo!$I$9</definedName>
    <definedName name="solver_lhs4" localSheetId="1" hidden="1">Avaliação!$A$4</definedName>
    <definedName name="solver_lhs4" localSheetId="0" hidden="1">Calculo!$J$9</definedName>
    <definedName name="solver_lhs5" localSheetId="1" hidden="1">Avaliação!$AA$3</definedName>
    <definedName name="solver_lhs5" localSheetId="0" hidden="1">Calculo!$J$9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9" i="9" l="1"/>
  <c r="AT8" i="9"/>
  <c r="F85" i="3" l="1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T60" i="3"/>
  <c r="S60" i="3"/>
  <c r="K60" i="3"/>
  <c r="H60" i="3"/>
  <c r="F60" i="3"/>
  <c r="E60" i="3"/>
  <c r="J60" i="3" s="1"/>
  <c r="D60" i="3"/>
  <c r="V60" i="3" s="1"/>
  <c r="V59" i="3"/>
  <c r="S59" i="3"/>
  <c r="R59" i="3"/>
  <c r="N59" i="3"/>
  <c r="J59" i="3"/>
  <c r="F59" i="3"/>
  <c r="Q59" i="3" s="1"/>
  <c r="E59" i="3"/>
  <c r="D59" i="3"/>
  <c r="U59" i="3" s="1"/>
  <c r="U58" i="3"/>
  <c r="Q58" i="3"/>
  <c r="N58" i="3"/>
  <c r="M58" i="3"/>
  <c r="I58" i="3"/>
  <c r="F58" i="3"/>
  <c r="P58" i="3" s="1"/>
  <c r="E58" i="3"/>
  <c r="H58" i="3" s="1"/>
  <c r="D58" i="3"/>
  <c r="T57" i="3"/>
  <c r="Q57" i="3"/>
  <c r="P57" i="3"/>
  <c r="N57" i="3"/>
  <c r="M57" i="3"/>
  <c r="L57" i="3"/>
  <c r="I57" i="3"/>
  <c r="H57" i="3"/>
  <c r="F57" i="3"/>
  <c r="O57" i="3" s="1"/>
  <c r="E57" i="3"/>
  <c r="K57" i="3" s="1"/>
  <c r="D57" i="3"/>
  <c r="S57" i="3" s="1"/>
  <c r="T56" i="3"/>
  <c r="S56" i="3"/>
  <c r="K56" i="3"/>
  <c r="I56" i="3"/>
  <c r="H56" i="3"/>
  <c r="F56" i="3"/>
  <c r="E56" i="3"/>
  <c r="J56" i="3" s="1"/>
  <c r="D56" i="3"/>
  <c r="V56" i="3" s="1"/>
  <c r="V55" i="3"/>
  <c r="T55" i="3"/>
  <c r="S55" i="3"/>
  <c r="R55" i="3"/>
  <c r="N55" i="3"/>
  <c r="F55" i="3"/>
  <c r="Q55" i="3" s="1"/>
  <c r="E55" i="3"/>
  <c r="J55" i="3" s="1"/>
  <c r="D55" i="3"/>
  <c r="U55" i="3" s="1"/>
  <c r="U54" i="3"/>
  <c r="Q54" i="3"/>
  <c r="N54" i="3"/>
  <c r="M54" i="3"/>
  <c r="I54" i="3"/>
  <c r="F54" i="3"/>
  <c r="P54" i="3" s="1"/>
  <c r="E54" i="3"/>
  <c r="H54" i="3" s="1"/>
  <c r="D54" i="3"/>
  <c r="T53" i="3"/>
  <c r="Q53" i="3"/>
  <c r="P53" i="3"/>
  <c r="N53" i="3"/>
  <c r="M53" i="3"/>
  <c r="L53" i="3"/>
  <c r="I53" i="3"/>
  <c r="H53" i="3"/>
  <c r="F53" i="3"/>
  <c r="O53" i="3" s="1"/>
  <c r="E53" i="3"/>
  <c r="K53" i="3" s="1"/>
  <c r="D53" i="3"/>
  <c r="S53" i="3" s="1"/>
  <c r="T52" i="3"/>
  <c r="S52" i="3"/>
  <c r="K52" i="3"/>
  <c r="I52" i="3"/>
  <c r="H52" i="3"/>
  <c r="F52" i="3"/>
  <c r="E52" i="3"/>
  <c r="J52" i="3" s="1"/>
  <c r="D52" i="3"/>
  <c r="V52" i="3" s="1"/>
  <c r="V51" i="3"/>
  <c r="S51" i="3"/>
  <c r="R51" i="3"/>
  <c r="N51" i="3"/>
  <c r="J51" i="3"/>
  <c r="F51" i="3"/>
  <c r="Q51" i="3" s="1"/>
  <c r="E51" i="3"/>
  <c r="D51" i="3"/>
  <c r="U51" i="3" s="1"/>
  <c r="U50" i="3"/>
  <c r="Q50" i="3"/>
  <c r="N50" i="3"/>
  <c r="M50" i="3"/>
  <c r="I50" i="3"/>
  <c r="F50" i="3"/>
  <c r="P50" i="3" s="1"/>
  <c r="E50" i="3"/>
  <c r="H50" i="3" s="1"/>
  <c r="D50" i="3"/>
  <c r="T49" i="3"/>
  <c r="Q49" i="3"/>
  <c r="P49" i="3"/>
  <c r="M49" i="3"/>
  <c r="L49" i="3"/>
  <c r="I49" i="3"/>
  <c r="H49" i="3"/>
  <c r="F49" i="3"/>
  <c r="O49" i="3" s="1"/>
  <c r="E49" i="3"/>
  <c r="K49" i="3" s="1"/>
  <c r="D49" i="3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20" i="3"/>
  <c r="C19" i="3"/>
  <c r="C59" i="3" s="1"/>
  <c r="C18" i="3"/>
  <c r="C58" i="3" s="1"/>
  <c r="C17" i="3"/>
  <c r="C57" i="3" s="1"/>
  <c r="K16" i="3"/>
  <c r="C16" i="3"/>
  <c r="C28" i="3" s="1"/>
  <c r="C36" i="3" s="1"/>
  <c r="C43" i="3" s="1"/>
  <c r="C82" i="3" s="1"/>
  <c r="C15" i="3"/>
  <c r="C27" i="3" s="1"/>
  <c r="C35" i="3" s="1"/>
  <c r="C14" i="3"/>
  <c r="C54" i="3" s="1"/>
  <c r="K13" i="3"/>
  <c r="C13" i="3"/>
  <c r="C25" i="3" s="1"/>
  <c r="C12" i="3"/>
  <c r="C24" i="3" s="1"/>
  <c r="C64" i="3" s="1"/>
  <c r="C11" i="3"/>
  <c r="C10" i="3"/>
  <c r="C50" i="3" s="1"/>
  <c r="C9" i="3"/>
  <c r="C49" i="3" s="1"/>
  <c r="D5" i="3"/>
  <c r="D4" i="3"/>
  <c r="C26" i="3" l="1"/>
  <c r="C34" i="3" s="1"/>
  <c r="C41" i="3" s="1"/>
  <c r="C80" i="3" s="1"/>
  <c r="C29" i="3"/>
  <c r="C65" i="3"/>
  <c r="C33" i="3"/>
  <c r="C72" i="3" s="1"/>
  <c r="C52" i="3"/>
  <c r="C53" i="3"/>
  <c r="C56" i="3"/>
  <c r="C67" i="3"/>
  <c r="C30" i="3"/>
  <c r="C31" i="3"/>
  <c r="C71" i="3" s="1"/>
  <c r="C42" i="3"/>
  <c r="C81" i="3" s="1"/>
  <c r="C74" i="3"/>
  <c r="C75" i="3"/>
  <c r="N60" i="3"/>
  <c r="P60" i="3"/>
  <c r="L60" i="3"/>
  <c r="Q60" i="3"/>
  <c r="M60" i="3"/>
  <c r="T50" i="3"/>
  <c r="R50" i="3"/>
  <c r="S50" i="3"/>
  <c r="V50" i="3"/>
  <c r="C23" i="3"/>
  <c r="C63" i="3" s="1"/>
  <c r="C51" i="3"/>
  <c r="C22" i="3"/>
  <c r="C62" i="3" s="1"/>
  <c r="I51" i="3"/>
  <c r="H51" i="3"/>
  <c r="K51" i="3"/>
  <c r="T58" i="3"/>
  <c r="V58" i="3"/>
  <c r="R58" i="3"/>
  <c r="S58" i="3"/>
  <c r="N52" i="3"/>
  <c r="Q52" i="3"/>
  <c r="M52" i="3"/>
  <c r="P52" i="3"/>
  <c r="L52" i="3"/>
  <c r="O52" i="3"/>
  <c r="I55" i="3"/>
  <c r="K55" i="3"/>
  <c r="H55" i="3"/>
  <c r="C66" i="3"/>
  <c r="C68" i="3"/>
  <c r="C32" i="3"/>
  <c r="C60" i="3"/>
  <c r="S49" i="3"/>
  <c r="U49" i="3"/>
  <c r="V49" i="3"/>
  <c r="R49" i="3"/>
  <c r="T54" i="3"/>
  <c r="R54" i="3"/>
  <c r="S54" i="3"/>
  <c r="V54" i="3"/>
  <c r="N56" i="3"/>
  <c r="P56" i="3"/>
  <c r="L56" i="3"/>
  <c r="Q56" i="3"/>
  <c r="M56" i="3"/>
  <c r="O56" i="3"/>
  <c r="I59" i="3"/>
  <c r="K59" i="3"/>
  <c r="H59" i="3"/>
  <c r="O60" i="3"/>
  <c r="C73" i="3"/>
  <c r="O51" i="3"/>
  <c r="U53" i="3"/>
  <c r="J54" i="3"/>
  <c r="J49" i="3"/>
  <c r="N49" i="3"/>
  <c r="K50" i="3"/>
  <c r="O50" i="3"/>
  <c r="L51" i="3"/>
  <c r="P51" i="3"/>
  <c r="T51" i="3"/>
  <c r="U52" i="3"/>
  <c r="J53" i="3"/>
  <c r="R53" i="3"/>
  <c r="V53" i="3"/>
  <c r="K54" i="3"/>
  <c r="O54" i="3"/>
  <c r="C55" i="3"/>
  <c r="L55" i="3"/>
  <c r="P55" i="3"/>
  <c r="U56" i="3"/>
  <c r="J57" i="3"/>
  <c r="R57" i="3"/>
  <c r="V57" i="3"/>
  <c r="K58" i="3"/>
  <c r="O58" i="3"/>
  <c r="L59" i="3"/>
  <c r="P59" i="3"/>
  <c r="T59" i="3"/>
  <c r="I60" i="3"/>
  <c r="U60" i="3"/>
  <c r="J50" i="3"/>
  <c r="O55" i="3"/>
  <c r="U57" i="3"/>
  <c r="J58" i="3"/>
  <c r="O59" i="3"/>
  <c r="L50" i="3"/>
  <c r="M51" i="3"/>
  <c r="R52" i="3"/>
  <c r="L54" i="3"/>
  <c r="M55" i="3"/>
  <c r="R56" i="3"/>
  <c r="L58" i="3"/>
  <c r="M59" i="3"/>
  <c r="R60" i="3"/>
  <c r="AU9" i="9"/>
  <c r="AW9" i="9" s="1"/>
  <c r="AZ5" i="9"/>
  <c r="AZ6" i="9"/>
  <c r="AZ7" i="9"/>
  <c r="AZ8" i="9"/>
  <c r="AZ9" i="9"/>
  <c r="AY5" i="9"/>
  <c r="AY6" i="9"/>
  <c r="AY7" i="9"/>
  <c r="AY8" i="9"/>
  <c r="AY9" i="9"/>
  <c r="AU5" i="9"/>
  <c r="AW5" i="9" s="1"/>
  <c r="AX5" i="9" s="1"/>
  <c r="AU6" i="9"/>
  <c r="AW6" i="9" s="1"/>
  <c r="AX6" i="9" s="1"/>
  <c r="AU7" i="9"/>
  <c r="AW7" i="9" s="1"/>
  <c r="AX7" i="9" s="1"/>
  <c r="AU8" i="9"/>
  <c r="AV8" i="9" s="1"/>
  <c r="AU4" i="9"/>
  <c r="AT5" i="9"/>
  <c r="AT6" i="9"/>
  <c r="AT7" i="9"/>
  <c r="AT4" i="9"/>
  <c r="AY2" i="9"/>
  <c r="C37" i="3" l="1"/>
  <c r="C69" i="3"/>
  <c r="C40" i="3"/>
  <c r="C79" i="3" s="1"/>
  <c r="C38" i="3"/>
  <c r="C70" i="3"/>
  <c r="AV7" i="9"/>
  <c r="BA7" i="9"/>
  <c r="BB7" i="9" s="1"/>
  <c r="AW8" i="9"/>
  <c r="AX8" i="9" s="1"/>
  <c r="BA8" i="9" s="1"/>
  <c r="BB8" i="9" s="1"/>
  <c r="AT10" i="9"/>
  <c r="AX9" i="9"/>
  <c r="AV9" i="9"/>
  <c r="AV6" i="9"/>
  <c r="BA6" i="9" s="1"/>
  <c r="BB6" i="9" s="1"/>
  <c r="AV5" i="9"/>
  <c r="BA5" i="9" s="1"/>
  <c r="BB5" i="9" s="1"/>
  <c r="K9" i="9"/>
  <c r="G4" i="9"/>
  <c r="H4" i="9"/>
  <c r="G5" i="9"/>
  <c r="H5" i="9"/>
  <c r="G6" i="9"/>
  <c r="H6" i="9"/>
  <c r="G7" i="9"/>
  <c r="H7" i="9"/>
  <c r="G8" i="9"/>
  <c r="H8" i="9"/>
  <c r="C44" i="3" l="1"/>
  <c r="C83" i="3" s="1"/>
  <c r="C76" i="3"/>
  <c r="C45" i="3"/>
  <c r="C84" i="3" s="1"/>
  <c r="C77" i="3"/>
  <c r="BA9" i="9"/>
  <c r="BB9" i="9" s="1"/>
  <c r="K4" i="9"/>
  <c r="K6" i="9"/>
  <c r="K8" i="9"/>
  <c r="K7" i="9"/>
  <c r="K5" i="9"/>
  <c r="O17" i="4"/>
  <c r="G17" i="4"/>
  <c r="O26" i="4"/>
  <c r="G26" i="4"/>
  <c r="O35" i="4"/>
  <c r="G35" i="4"/>
  <c r="O44" i="4"/>
  <c r="G44" i="4"/>
  <c r="O53" i="4"/>
  <c r="G53" i="4"/>
  <c r="G63" i="4"/>
  <c r="O63" i="4"/>
  <c r="AZ4" i="9" l="1"/>
  <c r="AY4" i="9"/>
  <c r="T9" i="9"/>
  <c r="S9" i="9"/>
  <c r="P9" i="9"/>
  <c r="A9" i="9"/>
  <c r="R9" i="9" s="1"/>
  <c r="AO8" i="9"/>
  <c r="T8" i="9"/>
  <c r="S8" i="9"/>
  <c r="P8" i="9"/>
  <c r="F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AV4" i="9" l="1"/>
  <c r="AW4" i="9"/>
  <c r="AX4" i="9" s="1"/>
  <c r="U9" i="9"/>
  <c r="V7" i="9"/>
  <c r="U7" i="9"/>
  <c r="V8" i="9"/>
  <c r="U8" i="9"/>
  <c r="V9" i="9"/>
  <c r="V4" i="9"/>
  <c r="U4" i="9"/>
  <c r="V6" i="9"/>
  <c r="U6" i="9"/>
  <c r="U5" i="9"/>
  <c r="V5" i="9"/>
  <c r="Y4" i="9"/>
  <c r="AA4" i="9" s="1"/>
  <c r="BA4" i="9" l="1"/>
  <c r="BB4" i="9" s="1"/>
  <c r="BB10" i="9" s="1"/>
  <c r="Z4" i="9"/>
  <c r="X8" i="9"/>
  <c r="W8" i="9"/>
  <c r="X9" i="9"/>
  <c r="W9" i="9"/>
  <c r="W7" i="9"/>
  <c r="X7" i="9"/>
  <c r="W6" i="9"/>
  <c r="X6" i="9"/>
  <c r="W5" i="9"/>
  <c r="X5" i="9"/>
  <c r="X4" i="9"/>
  <c r="W4" i="9"/>
  <c r="AL4" i="9" l="1"/>
  <c r="AJ4" i="9"/>
  <c r="Z5" i="9"/>
  <c r="Y5" i="9"/>
  <c r="AA5" i="9" s="1"/>
  <c r="AB4" i="9"/>
  <c r="AC4" i="9" s="1"/>
  <c r="AE4" i="9" s="1"/>
  <c r="AF4" i="9" s="1"/>
  <c r="AD4" i="9" l="1"/>
  <c r="AL5" i="9"/>
  <c r="AJ5" i="9"/>
  <c r="AB5" i="9"/>
  <c r="AC5" i="9" s="1"/>
  <c r="Z6" i="9"/>
  <c r="Y6" i="9"/>
  <c r="AA6" i="9" s="1"/>
  <c r="AI4" i="9" l="1"/>
  <c r="AS4" i="9"/>
  <c r="AD5" i="9"/>
  <c r="AS5" i="9" s="1"/>
  <c r="AE5" i="9"/>
  <c r="AF5" i="9" s="1"/>
  <c r="Z7" i="9"/>
  <c r="Y7" i="9"/>
  <c r="AA7" i="9" s="1"/>
  <c r="AL6" i="9"/>
  <c r="AJ6" i="9"/>
  <c r="AB6" i="9"/>
  <c r="AC6" i="9" s="1"/>
  <c r="AP4" i="9" l="1"/>
  <c r="AK4" i="9"/>
  <c r="Y8" i="9"/>
  <c r="AA8" i="9" s="1"/>
  <c r="Z8" i="9"/>
  <c r="AL7" i="9"/>
  <c r="AJ7" i="9"/>
  <c r="AB7" i="9"/>
  <c r="AC7" i="9" s="1"/>
  <c r="AE6" i="9"/>
  <c r="AF6" i="9" s="1"/>
  <c r="AD6" i="9"/>
  <c r="AS6" i="9" s="1"/>
  <c r="AI5" i="9"/>
  <c r="AP5" i="9" l="1"/>
  <c r="AK5" i="9"/>
  <c r="AI6" i="9"/>
  <c r="AL8" i="9"/>
  <c r="AJ8" i="9"/>
  <c r="AB8" i="9"/>
  <c r="AC8" i="9" s="1"/>
  <c r="AD7" i="9"/>
  <c r="AS7" i="9" s="1"/>
  <c r="AE7" i="9"/>
  <c r="AF7" i="9" s="1"/>
  <c r="AP6" i="9" l="1"/>
  <c r="AK6" i="9"/>
  <c r="AI7" i="9"/>
  <c r="AD8" i="9"/>
  <c r="AS8" i="9" s="1"/>
  <c r="AE8" i="9"/>
  <c r="AF8" i="9" s="1"/>
  <c r="AP7" i="9" l="1"/>
  <c r="AK7" i="9"/>
  <c r="AI8" i="9"/>
  <c r="D9" i="9" s="1"/>
  <c r="AP8" i="9" l="1"/>
  <c r="AK8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Q9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I66" i="1" l="1"/>
  <c r="I65" i="1"/>
  <c r="I57" i="1"/>
  <c r="I56" i="1"/>
  <c r="I55" i="1"/>
  <c r="I54" i="1"/>
  <c r="I53" i="1"/>
  <c r="I52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V3" i="1" l="1"/>
  <c r="AF3" i="1" s="1"/>
  <c r="U3" i="1"/>
  <c r="W3" i="1" s="1"/>
  <c r="O4" i="1" l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Q8" i="9" l="1"/>
  <c r="Q4" i="9"/>
  <c r="Q6" i="9"/>
  <c r="Q5" i="9"/>
  <c r="Q7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Q12" i="1"/>
  <c r="G32" i="4"/>
  <c r="G41" i="4"/>
  <c r="AN16" i="4"/>
  <c r="AS27" i="4"/>
  <c r="AS38" i="4"/>
  <c r="AM27" i="4"/>
  <c r="AM6" i="9" l="1"/>
  <c r="AN6" i="9" s="1"/>
  <c r="AR6" i="9" s="1"/>
  <c r="AG6" i="9"/>
  <c r="AH6" i="9" s="1"/>
  <c r="AQ6" i="9" s="1"/>
  <c r="AM7" i="9"/>
  <c r="AN7" i="9" s="1"/>
  <c r="AR7" i="9" s="1"/>
  <c r="AG7" i="9"/>
  <c r="AH7" i="9" s="1"/>
  <c r="AQ7" i="9" s="1"/>
  <c r="AM5" i="9"/>
  <c r="AN5" i="9" s="1"/>
  <c r="AR5" i="9" s="1"/>
  <c r="AG5" i="9"/>
  <c r="AH5" i="9" s="1"/>
  <c r="AQ5" i="9" s="1"/>
  <c r="AM8" i="9"/>
  <c r="AN8" i="9" s="1"/>
  <c r="AR8" i="9" s="1"/>
  <c r="AG8" i="9"/>
  <c r="AH8" i="9" s="1"/>
  <c r="AQ8" i="9" s="1"/>
  <c r="AM4" i="9"/>
  <c r="AN4" i="9" s="1"/>
  <c r="AR4" i="9" s="1"/>
  <c r="AG4" i="9"/>
  <c r="AH4" i="9" s="1"/>
  <c r="AQ4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9" i="9" l="1"/>
  <c r="Z9" i="9" s="1"/>
  <c r="AL9" i="9" l="1"/>
  <c r="AJ9" i="9"/>
  <c r="AO9" i="9" l="1"/>
  <c r="E9" i="9"/>
  <c r="F9" i="9" l="1"/>
  <c r="Y9" i="9" s="1"/>
  <c r="AA9" i="9" s="1"/>
  <c r="AM9" i="9" s="1"/>
  <c r="AN9" i="9" s="1"/>
  <c r="AR9" i="9" s="1"/>
  <c r="AB9" i="9" l="1"/>
  <c r="AC9" i="9" s="1"/>
  <c r="AD9" i="9" s="1"/>
  <c r="AS9" i="9" s="1"/>
  <c r="AE9" i="9" l="1"/>
  <c r="AF9" i="9" s="1"/>
  <c r="AI9" i="9"/>
  <c r="AG9" i="9"/>
  <c r="AH9" i="9" s="1"/>
  <c r="AQ9" i="9" l="1"/>
  <c r="AP9" i="9"/>
  <c r="AK9" i="9"/>
</calcChain>
</file>

<file path=xl/sharedStrings.xml><?xml version="1.0" encoding="utf-8"?>
<sst xmlns="http://schemas.openxmlformats.org/spreadsheetml/2006/main" count="646" uniqueCount="181">
  <si>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</si>
  <si>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</si>
  <si>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</si>
  <si>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</si>
  <si>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</si>
  <si>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</si>
  <si>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</si>
  <si>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</si>
  <si>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</si>
  <si>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</si>
  <si>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</si>
  <si>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</si>
  <si>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</si>
  <si>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</si>
  <si>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</si>
  <si>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</si>
  <si>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</si>
  <si>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</si>
  <si>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</si>
  <si>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</si>
  <si>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</si>
  <si>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</si>
  <si>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</si>
  <si>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</si>
  <si>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</si>
  <si>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</si>
  <si>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</si>
  <si>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</si>
  <si>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</si>
  <si>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</si>
  <si>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</si>
  <si>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</si>
  <si>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</si>
  <si>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</si>
  <si>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</si>
  <si>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</si>
  <si>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</si>
  <si>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</si>
  <si>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</si>
  <si>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</si>
  <si>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</si>
  <si>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</si>
  <si>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</si>
  <si>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</si>
  <si>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</si>
  <si>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</si>
  <si>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</si>
  <si>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</si>
  <si>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</si>
  <si>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</si>
  <si>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</si>
  <si>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</si>
  <si>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</si>
  <si>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</si>
  <si>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</si>
  <si>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</si>
  <si>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</si>
  <si>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</si>
  <si>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</si>
  <si>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</si>
  <si>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</si>
  <si>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</si>
  <si>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</si>
  <si>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</si>
  <si>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</si>
  <si>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</si>
  <si>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</si>
  <si>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</si>
  <si>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</si>
  <si>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</si>
  <si>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</si>
  <si>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</si>
  <si>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</si>
  <si>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</si>
  <si>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</si>
  <si>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</si>
  <si>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</si>
  <si>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</si>
  <si>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</si>
  <si>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</si>
  <si>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</si>
  <si>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</si>
  <si>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</si>
  <si>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</si>
  <si>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</si>
  <si>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</si>
  <si>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</si>
  <si>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</si>
  <si>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</si>
  <si>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</si>
  <si>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</si>
  <si>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</si>
  <si>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</si>
  <si>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</si>
  <si>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</si>
  <si>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</si>
  <si>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</si>
  <si>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</si>
  <si>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</si>
  <si>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</si>
  <si>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</si>
  <si>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</si>
  <si>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</si>
  <si>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</si>
  <si>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</si>
  <si>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</si>
  <si>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</si>
  <si>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</si>
  <si>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</si>
  <si>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</si>
  <si>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</si>
  <si>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</si>
  <si>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</si>
  <si>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</si>
  <si>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</si>
  <si>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</si>
  <si>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</si>
  <si>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</si>
  <si>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</si>
  <si>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</si>
  <si>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</si>
  <si>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</si>
  <si>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</si>
  <si>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</si>
  <si>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</si>
  <si>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</si>
  <si>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</si>
  <si>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</si>
  <si>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</si>
  <si>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</si>
  <si>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</si>
  <si>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</si>
  <si>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</si>
  <si>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</si>
  <si>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</si>
  <si>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</si>
  <si>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</si>
  <si>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</si>
  <si>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</si>
  <si>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</si>
  <si>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</si>
  <si>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</si>
  <si>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</si>
  <si>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</si>
  <si>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</si>
  <si>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</si>
  <si>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</si>
  <si>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</si>
  <si>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</si>
  <si>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</si>
  <si>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</si>
  <si>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</si>
  <si>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</si>
  <si>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</si>
  <si>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</si>
  <si>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</si>
  <si>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</si>
  <si>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</si>
  <si>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</si>
  <si>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</si>
  <si>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</si>
  <si>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</si>
  <si>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</si>
  <si>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</si>
  <si>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</si>
  <si>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</si>
  <si>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</si>
  <si>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</si>
  <si>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</si>
  <si>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</si>
  <si>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</si>
  <si>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</si>
  <si>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</si>
  <si>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</si>
  <si>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</si>
  <si>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</si>
  <si>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</si>
  <si>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</si>
  <si>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</si>
  <si>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</si>
  <si>
    <t>20/35kV EPR 240mm2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</si>
</sst>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1" fontId="0" fillId="0" borderId="0" xfId="4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409575</xdr:colOff>
      <xdr:row>6</xdr:row>
      <xdr:rowOff>152400</xdr:rowOff>
    </xdr:from>
    <xdr:to>
      <xdr:col>56</xdr:col>
      <xdr:colOff>409422</xdr:colOff>
      <xdr:row>6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54</xdr:col>
      <xdr:colOff>419100</xdr:colOff>
      <xdr:row>8</xdr:row>
      <xdr:rowOff>104775</xdr:rowOff>
    </xdr:from>
    <xdr:to>
      <xdr:col>57</xdr:col>
      <xdr:colOff>28395</xdr:colOff>
      <xdr:row>8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54</xdr:col>
      <xdr:colOff>409575</xdr:colOff>
      <xdr:row>5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54</xdr:col>
      <xdr:colOff>419100</xdr:colOff>
      <xdr:row>9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147108</xdr:colOff>
      <xdr:row>9</xdr:row>
      <xdr:rowOff>179917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78275" y="1905000"/>
          <a:ext cx="2666668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54</xdr:col>
      <xdr:colOff>419100</xdr:colOff>
      <xdr:row>9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24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54</xdr:col>
      <xdr:colOff>419100</xdr:colOff>
      <xdr:row>9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54</xdr:col>
      <xdr:colOff>409575</xdr:colOff>
      <xdr:row>9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49</xdr:col>
      <xdr:colOff>182939</xdr:colOff>
      <xdr:row>5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709A32E6-A963-4A64-A0CD-B8A472A5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144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49</xdr:col>
      <xdr:colOff>418920</xdr:colOff>
      <xdr:row>7</xdr:row>
      <xdr:rowOff>104775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22FCB52-1E00-4EE5-8E8D-FC68AF18D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447800"/>
          <a:ext cx="145714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0E974A79-F6D0-4A5E-92A2-C8E1AED8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862A50EC-490E-49DF-A172-0E5547DE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10F3205A-9F96-473F-B89E-83B2D3254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9EB28ACB-8316-4D2B-BF21-92BA9A59C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75BE7B0E-5B7E-4A1C-94D6-4B32131C8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80B0715C-C9D2-4828-9A2E-7E54BB49C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425B760E-8673-4336-8E94-8951DD193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CF089243-9D71-4156-A193-DD831845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84FD4081-24D4-4784-A44B-00E51A395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47AA1BB5-C0FD-4764-A936-20D943CA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B9364AE9-E157-4B94-958F-A0C63EBE3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4754CF44-F344-4EE3-B515-28EC1C451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C4E4277A-EC09-4CBD-A4CE-6F23CBA0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5340A333-337D-4D75-A35B-5068A68C4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50</xdr:col>
      <xdr:colOff>325814</xdr:colOff>
      <xdr:row>4</xdr:row>
      <xdr:rowOff>152400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53A72AB1-7673-4F02-B370-CCBC6F57F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1859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4</xdr:row>
      <xdr:rowOff>152400</xdr:rowOff>
    </xdr:from>
    <xdr:to>
      <xdr:col>52</xdr:col>
      <xdr:colOff>192464</xdr:colOff>
      <xdr:row>4</xdr:row>
      <xdr:rowOff>152400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FFAA2ACE-22BC-43AF-B56A-A2ED1DF98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923925"/>
          <a:ext cx="2697539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0FC7BC96-08A5-44D9-A002-662C1F583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43" name="Imagem 42">
          <a:extLst>
            <a:ext uri="{FF2B5EF4-FFF2-40B4-BE49-F238E27FC236}">
              <a16:creationId xmlns:a16="http://schemas.microsoft.com/office/drawing/2014/main" id="{6FF9BF84-10BB-4F7C-ABED-481D3593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4" name="Imagem 43">
          <a:extLst>
            <a:ext uri="{FF2B5EF4-FFF2-40B4-BE49-F238E27FC236}">
              <a16:creationId xmlns:a16="http://schemas.microsoft.com/office/drawing/2014/main" id="{2C7A2208-6EEC-4734-BFD1-2A034196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FAEC3D68-5153-4DCB-AE53-424778DF2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46" name="Imagem 45">
          <a:extLst>
            <a:ext uri="{FF2B5EF4-FFF2-40B4-BE49-F238E27FC236}">
              <a16:creationId xmlns:a16="http://schemas.microsoft.com/office/drawing/2014/main" id="{31C4A415-25DD-4878-8C98-6E19BD02C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9521AE-4331-4887-B78D-4DB04160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BBACEAA-FAC1-43C4-B847-40B5024E2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4E4D21F-7134-4417-B605-1137CA7D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10"/>
  <sheetViews>
    <sheetView tabSelected="1" zoomScale="90" zoomScaleNormal="90" workbookViewId="0">
      <selection activeCell="G4" sqref="G4:J9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7109375" bestFit="1" customWidth="1"/>
  </cols>
  <sheetData>
    <row r="1" spans="1:54" x14ac:dyDescent="0.25">
      <c r="A1" t="s">
        <v>155</v>
      </c>
      <c r="B1" t="s">
        <v>154</v>
      </c>
      <c r="D1" s="202" t="s">
        <v>123</v>
      </c>
      <c r="E1" s="202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2" t="s">
        <v>6</v>
      </c>
      <c r="O1" s="202"/>
      <c r="P1" s="202"/>
      <c r="Q1" s="202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s="198" t="s">
        <v>178</v>
      </c>
    </row>
    <row r="4" spans="1:54" x14ac:dyDescent="0.25">
      <c r="A4" s="153">
        <f t="shared" ref="A4:A8" si="0"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" si="1">D4/(E4*C4)</f>
        <v>4.3478260869565215</v>
      </c>
      <c r="G4" s="157">
        <f>$I$9</f>
        <v>29.793563972496148</v>
      </c>
      <c r="H4" s="157">
        <f>$J$9</f>
        <v>2.0271643909982324</v>
      </c>
      <c r="I4">
        <v>30</v>
      </c>
      <c r="J4">
        <v>4</v>
      </c>
      <c r="K4" s="192">
        <f t="shared" ref="K4:K9" si="2">SQRT((G4-I4)^2+(H4-J4)^2)</f>
        <v>1.983606859636492</v>
      </c>
      <c r="L4" s="107">
        <v>25</v>
      </c>
      <c r="M4" s="169">
        <v>1</v>
      </c>
      <c r="N4" s="156" t="s">
        <v>159</v>
      </c>
      <c r="O4" s="159">
        <v>1</v>
      </c>
      <c r="P4" s="159">
        <f t="shared" ref="P4:P6" si="3">IF(O4=1,1,IF(O4=2,0.9,0.8))</f>
        <v>1</v>
      </c>
      <c r="Q4" s="170">
        <f>VLOOKUP(N4,Cabos!$B$13:$F$46,2,0)*O4*P4</f>
        <v>153.70000000000002</v>
      </c>
      <c r="R4" s="171">
        <f>((VLOOKUP(N4,Cabos!$B$13:$F$46,3,0)/O4*K4))*(1+A4)</f>
        <v>0.98188539552006349</v>
      </c>
      <c r="S4" s="171">
        <f>(VLOOKUP(N4,Cabos!$B$13:$F$46,4,0)/O4*K4)*B4/60</f>
        <v>0.35506562787493207</v>
      </c>
      <c r="T4" s="171">
        <f>1/(VLOOKUP(N4,Cabos!$B$13:$F$46,5,0)*60/B4) * O4 * K4</f>
        <v>1.0405533544754194E-4</v>
      </c>
      <c r="U4" s="155" t="str">
        <f t="shared" ref="U4:U6" si="4">IMSQRT(IMDIV(COMPLEX(R4,S4),COMPLEX(0,T4)))</f>
        <v>81,9953644820212-57,5409662461408i</v>
      </c>
      <c r="V4" s="155" t="str">
        <f t="shared" ref="V4:V6" si="5">IMSQRT(IMPRODUCT(COMPLEX(R4,S4),COMPLEX(0,T4)))</f>
        <v>0,00598744454471789+0,0085320551563202i</v>
      </c>
      <c r="W4" s="155" t="str">
        <f t="shared" ref="W4:W6" si="6">IMPRODUCT(U4,_xlfn.IMSINH(V4))</f>
        <v>0,981873303067402+0,355080161322129i</v>
      </c>
      <c r="X4" s="155" t="str">
        <f t="shared" ref="X4:X6" si="7">IMDIV(IMSUB(_xlfn.IMCOSH(V4),COMPLEX(1,0)),IMPRODUCT(U4,_xlfn.IMSINH(V4)))</f>
        <v>4,42977029836759E-10+0,0000520278279065045i</v>
      </c>
      <c r="Y4" s="172">
        <f t="shared" ref="Y4:Y6" si="8">F4/L4/SQRT(3)*1000</f>
        <v>100.408742467761</v>
      </c>
      <c r="Z4" s="173" t="str">
        <f t="shared" ref="Z4:Z6" si="9">COMPLEX(L4*1000/SQRT(3)*M4,0)</f>
        <v>14433,7567297406</v>
      </c>
      <c r="AA4" s="173" t="str">
        <f t="shared" ref="AA4:AA6" si="10">COMPLEX(Y4*E4,-Y4*SQRT(1-E4*E4))</f>
        <v>92,3760430703401-39,3520295616861i</v>
      </c>
      <c r="AB4" s="173" t="str">
        <f t="shared" ref="AB4:AB6" si="11">IMPRODUCT(W4,IMSUM(AA4,IMPRODUCT(X4,Z4)))</f>
        <v>104,408051880136-5,10046006107464i</v>
      </c>
      <c r="AC4" s="173" t="str">
        <f t="shared" ref="AC4:AC6" si="12">IMSUM(Z4,AB4)</f>
        <v>14538,1647816207-5,10046006107464i</v>
      </c>
      <c r="AD4" s="173" t="str">
        <f t="shared" ref="AD4:AD6" si="13">IMSUM(IMPRODUCT(AC4,X4),IMDIV(AB4,W4))</f>
        <v>92,3763212700938-37,8446834174315i</v>
      </c>
      <c r="AE4" s="174">
        <f t="shared" ref="AE4:AE6" si="14">IMABS(AC4)/L4/1000*SQRT(3)</f>
        <v>1.0072336640098942</v>
      </c>
      <c r="AF4" s="175">
        <f t="shared" ref="AF4:AF6" si="15">L4*AE4</f>
        <v>25.180841600247355</v>
      </c>
      <c r="AG4" s="174">
        <f t="shared" ref="AG4:AG6" si="16">IMABS(AD4)/Q4</f>
        <v>0.64949821625354942</v>
      </c>
      <c r="AH4" s="175">
        <f t="shared" ref="AH4:AH6" si="17">AG4*Q4/O4</f>
        <v>99.827875838170556</v>
      </c>
      <c r="AI4" s="176">
        <f t="shared" ref="AI4:AI6" si="18">IMREAL(IMPRODUCT(AC4,IMCONJUGATE(AD4)))*3/1000000</f>
        <v>4.02952561752255</v>
      </c>
      <c r="AJ4" s="174">
        <f t="shared" ref="AJ4:AJ7" si="19">IMABS(Z4)/L4/1000*SQRT(3)</f>
        <v>0.99999999999999678</v>
      </c>
      <c r="AK4" s="176">
        <f t="shared" ref="AK4:AK9" si="20">SQRT(AI4^2+AS4^2)</f>
        <v>4.3539425941525129</v>
      </c>
      <c r="AL4" s="175">
        <f t="shared" ref="AL4:AL9" si="21">IMABS(Z4)*SQRT(3)/1000</f>
        <v>24.999999999999922</v>
      </c>
      <c r="AM4" s="174">
        <f t="shared" ref="AM4:AM9" si="22">IMABS(AA4)/Q4</f>
        <v>0.65327743960807394</v>
      </c>
      <c r="AN4" s="175">
        <f t="shared" ref="AN4:AN9" si="23">Q4*AM4/P4</f>
        <v>100.40874246776097</v>
      </c>
      <c r="AO4" s="177">
        <f t="shared" ref="AO4:AO9" si="24">D4</f>
        <v>4</v>
      </c>
      <c r="AP4" s="174">
        <f t="shared" ref="AP4:AP9" si="25">IF(AO4&gt;0, (AI4-AO4)/AO4,0)</f>
        <v>7.3814043806375018E-3</v>
      </c>
      <c r="AQ4" s="168">
        <f t="shared" ref="AQ4:AQ9" si="26">AF4*AH4*SQRT(3)*O4/1000</f>
        <v>4.3539425941525156</v>
      </c>
      <c r="AR4" s="168">
        <f t="shared" ref="AR4:AR6" si="27">AL4*AN4*SQRT(3)/1000</f>
        <v>4.3478260869565064</v>
      </c>
      <c r="AS4" s="176">
        <f t="shared" ref="AS4:AS9" si="28">IMAGINARY(IMPRODUCT(AC4,IMCONJUGATE(AD4)))*3/1000000</f>
        <v>1.6491632456809799</v>
      </c>
      <c r="AT4" s="196">
        <f>VLOOKUP(N4,Cabos!$B$9:$I$46,6,0)*K4</f>
        <v>589.0756963199683</v>
      </c>
      <c r="AU4" s="201">
        <f>VLOOKUP(N4,Cabos!$B$9:$I$46,7,0)*K4</f>
        <v>53.186450727433254</v>
      </c>
      <c r="AV4" s="200">
        <f>ROUNDUP(AU4/$AV$2,0)*$AW$2</f>
        <v>2</v>
      </c>
      <c r="AW4" s="200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200">
        <f t="shared" ref="BA4:BA9" si="29">SUM(AX4:AZ4)+AV4</f>
        <v>4</v>
      </c>
      <c r="BB4" s="199">
        <f>BA4*$BA$2</f>
        <v>1100000</v>
      </c>
    </row>
    <row r="5" spans="1:54" x14ac:dyDescent="0.25">
      <c r="A5" s="153">
        <f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ref="F5:F8" si="30">D5/(E5*C5)</f>
        <v>4.3478260869565215</v>
      </c>
      <c r="G5" s="157">
        <f>$I$9</f>
        <v>29.793563972496148</v>
      </c>
      <c r="H5" s="157">
        <f>$J$9</f>
        <v>2.0271643909982324</v>
      </c>
      <c r="I5">
        <v>30</v>
      </c>
      <c r="J5">
        <v>3</v>
      </c>
      <c r="K5" s="192">
        <f t="shared" si="2"/>
        <v>0.99449733815300434</v>
      </c>
      <c r="L5" s="107">
        <v>25</v>
      </c>
      <c r="M5" s="180">
        <v>1</v>
      </c>
      <c r="N5" s="156" t="s">
        <v>159</v>
      </c>
      <c r="O5" s="159">
        <v>1</v>
      </c>
      <c r="P5" s="159">
        <f t="shared" si="3"/>
        <v>1</v>
      </c>
      <c r="Q5" s="181">
        <f>VLOOKUP(N5,Cabos!$B$13:$F$46,2,0)*O5*P5</f>
        <v>153.70000000000002</v>
      </c>
      <c r="R5" s="182">
        <f>((VLOOKUP(N5,Cabos!$B$13:$F$46,3,0)/O5*K5))*(1+A5)</f>
        <v>0.49227618238573717</v>
      </c>
      <c r="S5" s="182">
        <f>(VLOOKUP(N5,Cabos!$B$13:$F$46,4,0)/O5*K5)*B5/60</f>
        <v>0.17801502352938778</v>
      </c>
      <c r="T5" s="182">
        <f>1/(VLOOKUP(N5,Cabos!$B$13:$F$46,5,0)*60/B5) * O5 * K5</f>
        <v>5.2168983798615346E-5</v>
      </c>
      <c r="U5" s="178" t="str">
        <f t="shared" si="4"/>
        <v>81,9953644820213-57,5409662461408i</v>
      </c>
      <c r="V5" s="178" t="str">
        <f t="shared" si="5"/>
        <v>0,00300185373585159+0,00427761484122413i</v>
      </c>
      <c r="W5" s="178" t="str">
        <f t="shared" si="6"/>
        <v>0,492274658483625+0,178016855062145i</v>
      </c>
      <c r="X5" s="178" t="str">
        <f t="shared" si="7"/>
        <v>5,58233754916479E-11+0,0000260845120864358i</v>
      </c>
      <c r="Y5" s="183">
        <f t="shared" si="8"/>
        <v>100.408742467761</v>
      </c>
      <c r="Z5" s="184" t="str">
        <f t="shared" si="9"/>
        <v>14433,7567297406</v>
      </c>
      <c r="AA5" s="184" t="str">
        <f t="shared" si="10"/>
        <v>92,3760430703401-39,3520295616861i</v>
      </c>
      <c r="AB5" s="184" t="str">
        <f t="shared" si="11"/>
        <v>52,4126870928285-2,74217392006107i</v>
      </c>
      <c r="AC5" s="184" t="str">
        <f t="shared" si="12"/>
        <v>14486,1694168334-2,74217392006107i</v>
      </c>
      <c r="AD5" s="184" t="str">
        <f t="shared" si="13"/>
        <v>92,3761162130167-38,59766739873i</v>
      </c>
      <c r="AE5" s="185">
        <f t="shared" si="14"/>
        <v>1.0036312754617813</v>
      </c>
      <c r="AF5" s="186">
        <f t="shared" si="15"/>
        <v>25.090781886544534</v>
      </c>
      <c r="AG5" s="185">
        <f t="shared" si="16"/>
        <v>0.65136998762100706</v>
      </c>
      <c r="AH5" s="186">
        <f t="shared" si="17"/>
        <v>100.1155670973488</v>
      </c>
      <c r="AI5" s="187">
        <f t="shared" si="18"/>
        <v>4.0148457331433098</v>
      </c>
      <c r="AJ5" s="185">
        <f t="shared" si="19"/>
        <v>0.99999999999999678</v>
      </c>
      <c r="AK5" s="176">
        <f t="shared" si="20"/>
        <v>4.3508732766560145</v>
      </c>
      <c r="AL5" s="186">
        <f t="shared" si="21"/>
        <v>24.999999999999922</v>
      </c>
      <c r="AM5" s="185">
        <f t="shared" si="22"/>
        <v>0.65327743960807394</v>
      </c>
      <c r="AN5" s="186">
        <f t="shared" si="23"/>
        <v>100.40874246776097</v>
      </c>
      <c r="AO5" s="188">
        <f t="shared" si="24"/>
        <v>4</v>
      </c>
      <c r="AP5" s="185">
        <f t="shared" si="25"/>
        <v>3.711433285827459E-3</v>
      </c>
      <c r="AQ5" s="179">
        <f t="shared" si="26"/>
        <v>4.3508732766560039</v>
      </c>
      <c r="AR5" s="179">
        <f t="shared" si="27"/>
        <v>4.3478260869565064</v>
      </c>
      <c r="AS5" s="176">
        <f t="shared" si="28"/>
        <v>1.6766371129676221</v>
      </c>
      <c r="AT5" s="196">
        <f>VLOOKUP(N5,Cabos!$B$9:$I$46,6,0)*K5</f>
        <v>295.33786350597398</v>
      </c>
      <c r="AU5" s="201">
        <f>VLOOKUP(N5,Cabos!$B$9:$I$46,7,0)*K5</f>
        <v>26.665457127896506</v>
      </c>
      <c r="AV5" s="200">
        <f t="shared" ref="AV5:AV9" si="31">ROUNDUP(AU5/$AV$2,0)*$AW$2</f>
        <v>2</v>
      </c>
      <c r="AW5" s="200">
        <f t="shared" ref="AW5:AW8" si="32">ROUNDDOWN(AU5/$AU$2,0)</f>
        <v>0</v>
      </c>
      <c r="AX5">
        <f t="shared" ref="AX5:AX9" si="33">ROUNDUP((AW5)*$AX$2,0)</f>
        <v>0</v>
      </c>
      <c r="AY5">
        <f t="shared" ref="AY5:AY9" si="34">IFERROR(ROUNDUP(K5*O5/$AY$2,0),0)</f>
        <v>1</v>
      </c>
      <c r="AZ5">
        <f t="shared" ref="AZ5:AZ9" si="35">IFERROR(ROUNDUP(K5*O5/$AZ$2,0),0)</f>
        <v>1</v>
      </c>
      <c r="BA5" s="200">
        <f t="shared" si="29"/>
        <v>4</v>
      </c>
      <c r="BB5" s="199">
        <f t="shared" ref="BB5:BB9" si="36">BA5*$BA$2</f>
        <v>1100000</v>
      </c>
    </row>
    <row r="6" spans="1:54" x14ac:dyDescent="0.25">
      <c r="A6" s="153">
        <f t="shared" si="0"/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30"/>
        <v>4.3478260869565215</v>
      </c>
      <c r="G6" s="157">
        <f>$I$9</f>
        <v>29.793563972496148</v>
      </c>
      <c r="H6" s="157">
        <f>$J$9</f>
        <v>2.0271643909982324</v>
      </c>
      <c r="I6">
        <v>30</v>
      </c>
      <c r="J6">
        <v>2</v>
      </c>
      <c r="K6" s="192">
        <f t="shared" si="2"/>
        <v>0.20821560361768246</v>
      </c>
      <c r="L6" s="107">
        <v>25</v>
      </c>
      <c r="M6" s="169">
        <v>1</v>
      </c>
      <c r="N6" s="156" t="s">
        <v>159</v>
      </c>
      <c r="O6" s="159">
        <v>1</v>
      </c>
      <c r="P6" s="159">
        <f t="shared" si="3"/>
        <v>1</v>
      </c>
      <c r="Q6" s="170">
        <f>VLOOKUP(N6,Cabos!$B$13:$F$46,2,0)*O6*P6</f>
        <v>153.70000000000002</v>
      </c>
      <c r="R6" s="171">
        <f>((VLOOKUP(N6,Cabos!$B$13:$F$46,3,0)/O6*K6))*(1+A6)</f>
        <v>0.10306672379075282</v>
      </c>
      <c r="S6" s="171">
        <f>(VLOOKUP(N6,Cabos!$B$13:$F$46,4,0)/O6*K6)*B6/60</f>
        <v>3.7270593047565158E-2</v>
      </c>
      <c r="T6" s="171">
        <f>1/(VLOOKUP(N6,Cabos!$B$13:$F$46,5,0)*60/B6) * O6 * K6</f>
        <v>1.0922499271766377E-5</v>
      </c>
      <c r="U6" s="155" t="str">
        <f t="shared" si="4"/>
        <v>81,9953644820213-57,5409662461408i</v>
      </c>
      <c r="V6" s="155" t="str">
        <f t="shared" si="5"/>
        <v>0,000628491161920209+0,000895594308843098i</v>
      </c>
      <c r="W6" s="155" t="str">
        <f t="shared" si="6"/>
        <v>0,103066709805009+0,0372706098566577i</v>
      </c>
      <c r="X6" s="155" t="str">
        <f t="shared" si="7"/>
        <v>5,08535035646519E-13+5,46124982252359E-06i</v>
      </c>
      <c r="Y6" s="172">
        <f t="shared" si="8"/>
        <v>100.408742467761</v>
      </c>
      <c r="Z6" s="173" t="str">
        <f t="shared" si="9"/>
        <v>14433,7567297406</v>
      </c>
      <c r="AA6" s="173" t="str">
        <f t="shared" si="10"/>
        <v>92,3760430703401-39,3520295616861i</v>
      </c>
      <c r="AB6" s="173" t="str">
        <f t="shared" si="11"/>
        <v>10,9846310594949-0,604848376739887i</v>
      </c>
      <c r="AC6" s="173" t="str">
        <f t="shared" si="12"/>
        <v>14444,7413608001-0,604848376739887i</v>
      </c>
      <c r="AD6" s="173" t="str">
        <f t="shared" si="13"/>
        <v>92,376046388254-39,1943168691148i</v>
      </c>
      <c r="AE6" s="174">
        <f t="shared" si="14"/>
        <v>1.0007610384412471</v>
      </c>
      <c r="AF6" s="175">
        <f t="shared" si="15"/>
        <v>25.019025961031176</v>
      </c>
      <c r="AG6" s="174">
        <f t="shared" si="16"/>
        <v>0.65287599168685029</v>
      </c>
      <c r="AH6" s="175">
        <f t="shared" si="17"/>
        <v>100.34703992226891</v>
      </c>
      <c r="AI6" s="176">
        <f t="shared" si="18"/>
        <v>4.0031154138916198</v>
      </c>
      <c r="AJ6" s="174">
        <f t="shared" si="19"/>
        <v>0.99999999999999678</v>
      </c>
      <c r="AK6" s="176">
        <f t="shared" si="20"/>
        <v>4.3484611178094088</v>
      </c>
      <c r="AL6" s="175">
        <f t="shared" si="21"/>
        <v>24.999999999999922</v>
      </c>
      <c r="AM6" s="174">
        <f t="shared" si="22"/>
        <v>0.65327743960807394</v>
      </c>
      <c r="AN6" s="175">
        <f t="shared" si="23"/>
        <v>100.40874246776097</v>
      </c>
      <c r="AO6" s="177">
        <f t="shared" si="24"/>
        <v>4</v>
      </c>
      <c r="AP6" s="174">
        <f t="shared" si="25"/>
        <v>7.7885347290496121E-4</v>
      </c>
      <c r="AQ6" s="168">
        <f t="shared" si="26"/>
        <v>4.3484611178093981</v>
      </c>
      <c r="AR6" s="168">
        <f t="shared" si="27"/>
        <v>4.3478260869565064</v>
      </c>
      <c r="AS6" s="176">
        <f t="shared" si="28"/>
        <v>1.6982876894577001</v>
      </c>
      <c r="AT6" s="196">
        <f>VLOOKUP(N6,Cabos!$B$9:$I$46,6,0)*K6</f>
        <v>61.834204237550388</v>
      </c>
      <c r="AU6" s="201">
        <f>VLOOKUP(N6,Cabos!$B$9:$I$46,7,0)*K6</f>
        <v>5.5828849798009195</v>
      </c>
      <c r="AV6" s="200">
        <f t="shared" si="31"/>
        <v>2</v>
      </c>
      <c r="AW6" s="200">
        <f t="shared" si="32"/>
        <v>0</v>
      </c>
      <c r="AX6">
        <f t="shared" si="33"/>
        <v>0</v>
      </c>
      <c r="AY6">
        <f t="shared" si="34"/>
        <v>1</v>
      </c>
      <c r="AZ6">
        <f t="shared" si="35"/>
        <v>1</v>
      </c>
      <c r="BA6" s="200">
        <f t="shared" si="29"/>
        <v>4</v>
      </c>
      <c r="BB6" s="199">
        <f t="shared" si="36"/>
        <v>1100000</v>
      </c>
    </row>
    <row r="7" spans="1:54" x14ac:dyDescent="0.25">
      <c r="A7" s="153">
        <f>IF($B$1="não",0,1-60/$B7)</f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30"/>
        <v>4.3478260869565215</v>
      </c>
      <c r="G7" s="157">
        <f>$I$9</f>
        <v>29.793563972496148</v>
      </c>
      <c r="H7" s="157">
        <f>$J$9</f>
        <v>2.0271643909982324</v>
      </c>
      <c r="I7">
        <v>30</v>
      </c>
      <c r="J7">
        <v>1</v>
      </c>
      <c r="K7" s="192">
        <f t="shared" si="2"/>
        <v>1.0477034502121012</v>
      </c>
      <c r="L7" s="107">
        <v>25</v>
      </c>
      <c r="M7" s="158">
        <v>1</v>
      </c>
      <c r="N7" s="156" t="s">
        <v>159</v>
      </c>
      <c r="O7" s="159">
        <v>1</v>
      </c>
      <c r="P7" s="159">
        <f t="shared" ref="P7:P9" si="37">IF(O7=1,1,IF(O7=2,0.9,0.8))</f>
        <v>1</v>
      </c>
      <c r="Q7" s="160">
        <f>VLOOKUP(N7,Cabos!$B$13:$F$46,2,0)*O7*P7</f>
        <v>153.70000000000002</v>
      </c>
      <c r="R7" s="161">
        <f>((VLOOKUP(N7,Cabos!$B$13:$F$46,3,0)/O7*K7))*(1+A7)</f>
        <v>0.5186132078549901</v>
      </c>
      <c r="S7" s="161">
        <f>(VLOOKUP(N7,Cabos!$B$13:$F$46,4,0)/O7*K7)*B7/60</f>
        <v>0.18753891758796612</v>
      </c>
      <c r="T7" s="161">
        <f>1/(VLOOKUP(N7,Cabos!$B$13:$F$46,5,0)*60/B7) * O7 * K7</f>
        <v>5.496005089503757E-5</v>
      </c>
      <c r="U7" s="156" t="str">
        <f t="shared" ref="U7:U9" si="38">IMSQRT(IMDIV(COMPLEX(R7,S7),COMPLEX(0,T7)))</f>
        <v>81,9953644820212-57,5409662461408i</v>
      </c>
      <c r="V7" s="156" t="str">
        <f t="shared" ref="V7:V9" si="39">IMSQRT(IMPRODUCT(COMPLEX(R7,S7),COMPLEX(0,T7)))</f>
        <v>0,00316245443343754+0,00450646940508905i</v>
      </c>
      <c r="W7" s="156" t="str">
        <f t="shared" ref="W7:W9" si="40">IMPRODUCT(U7,_xlfn.IMSINH(V7))</f>
        <v>0,518611426045081+0,18754105909184i</v>
      </c>
      <c r="X7" s="156" t="str">
        <f t="shared" ref="X7:X9" si="41">IMDIV(IMSUB(_xlfn.IMCOSH(V7),COMPLEX(1,0)),IMPRODUCT(U7,_xlfn.IMSINH(V7)))</f>
        <v>6,52720360393996E-11+0,0000274800490507664i</v>
      </c>
      <c r="Y7" s="162">
        <f>F7/L7/SQRT(3)*1000</f>
        <v>100.408742467761</v>
      </c>
      <c r="Z7" s="163" t="str">
        <f t="shared" ref="Z7:Z9" si="42">COMPLEX(L7*1000/SQRT(3)*M7,0)</f>
        <v>14433,7567297406</v>
      </c>
      <c r="AA7" s="163" t="str">
        <f>COMPLEX(Y7*E7,-Y7*SQRT(1-E7*E7))</f>
        <v>92,3760430703401-39,3520295616861i</v>
      </c>
      <c r="AB7" s="163" t="str">
        <f t="shared" ref="AB7:AB9" si="43">IMPRODUCT(W7,IMSUM(AA7,IMPRODUCT(X7,Z7)))</f>
        <v>55,2130068691277-2,87840882607409i</v>
      </c>
      <c r="AC7" s="163" t="str">
        <f t="shared" ref="AC7:AC9" si="44">IMSUM(Z7,AB7)</f>
        <v>14488,9697366097-2,87840882607409i</v>
      </c>
      <c r="AD7" s="163" t="str">
        <f t="shared" ref="AD7:AD9" si="45">IMSUM(IMPRODUCT(AC7,X7),IMDIV(AB7,W7))</f>
        <v>92,3761240570011-38,5572316198968i</v>
      </c>
      <c r="AE7" s="164">
        <f t="shared" ref="AE7:AE9" si="46">IMABS(AC7)/L7/1000*SQRT(3)</f>
        <v>1.0038252891342296</v>
      </c>
      <c r="AF7" s="165">
        <f t="shared" ref="AF7:AF9" si="47">L7*AE7</f>
        <v>25.09563222835574</v>
      </c>
      <c r="AG7" s="164">
        <f t="shared" ref="AG7:AG9" si="48">IMABS(AD7)/Q7</f>
        <v>0.65126865346705221</v>
      </c>
      <c r="AH7" s="165">
        <f t="shared" ref="AH7:AH9" si="49">AG7*Q7/O7</f>
        <v>100.09999203788594</v>
      </c>
      <c r="AI7" s="166">
        <f t="shared" ref="AI7:AI9" si="50">IMREAL(IMPRODUCT(AC7,IMCONJUGATE(AD7)))*3/1000000</f>
        <v>4.0156375479690007</v>
      </c>
      <c r="AJ7" s="164">
        <f t="shared" si="19"/>
        <v>0.99999999999999678</v>
      </c>
      <c r="AK7" s="176">
        <f t="shared" si="20"/>
        <v>4.3510373516757843</v>
      </c>
      <c r="AL7" s="165">
        <f t="shared" si="21"/>
        <v>24.999999999999922</v>
      </c>
      <c r="AM7" s="164">
        <f t="shared" si="22"/>
        <v>0.65327743960807394</v>
      </c>
      <c r="AN7" s="165">
        <f t="shared" si="23"/>
        <v>100.40874246776097</v>
      </c>
      <c r="AO7" s="167">
        <f t="shared" si="24"/>
        <v>4</v>
      </c>
      <c r="AP7" s="164">
        <f t="shared" si="25"/>
        <v>3.9093869922501856E-3</v>
      </c>
      <c r="AQ7" s="157">
        <f t="shared" si="26"/>
        <v>4.3510373516757719</v>
      </c>
      <c r="AR7" s="157">
        <f>AL7*AN7*SQRT(3)/1000</f>
        <v>4.3478260869565064</v>
      </c>
      <c r="AS7" s="176">
        <f t="shared" si="28"/>
        <v>1.6751659974519932</v>
      </c>
      <c r="AT7" s="196">
        <f>VLOOKUP(N7,Cabos!$B$9:$I$46,6,0)*K7</f>
        <v>311.1385890163881</v>
      </c>
      <c r="AU7" s="201">
        <f>VLOOKUP(N7,Cabos!$B$9:$I$46,7,0)*K7</f>
        <v>28.09207261053707</v>
      </c>
      <c r="AV7" s="200">
        <f t="shared" si="31"/>
        <v>2</v>
      </c>
      <c r="AW7" s="200">
        <f t="shared" si="32"/>
        <v>0</v>
      </c>
      <c r="AX7">
        <f t="shared" si="33"/>
        <v>0</v>
      </c>
      <c r="AY7">
        <f t="shared" si="34"/>
        <v>1</v>
      </c>
      <c r="AZ7">
        <f t="shared" si="35"/>
        <v>1</v>
      </c>
      <c r="BA7" s="200">
        <f t="shared" si="29"/>
        <v>4</v>
      </c>
      <c r="BB7" s="199">
        <f t="shared" si="36"/>
        <v>1100000</v>
      </c>
    </row>
    <row r="8" spans="1:54" x14ac:dyDescent="0.25">
      <c r="A8" s="153">
        <f t="shared" si="0"/>
        <v>0</v>
      </c>
      <c r="B8">
        <v>60</v>
      </c>
      <c r="C8" s="133">
        <v>1</v>
      </c>
      <c r="D8" s="107">
        <v>4</v>
      </c>
      <c r="E8" s="194">
        <v>0.92</v>
      </c>
      <c r="F8" s="168">
        <f t="shared" si="30"/>
        <v>4.3478260869565215</v>
      </c>
      <c r="G8" s="157">
        <f>$I$9</f>
        <v>29.793563972496148</v>
      </c>
      <c r="H8" s="157">
        <f>$J$9</f>
        <v>2.0271643909982324</v>
      </c>
      <c r="I8">
        <v>30</v>
      </c>
      <c r="J8">
        <v>0</v>
      </c>
      <c r="K8" s="192">
        <f t="shared" si="2"/>
        <v>2.0376484735063616</v>
      </c>
      <c r="L8" s="107">
        <v>25</v>
      </c>
      <c r="M8" s="169">
        <v>1</v>
      </c>
      <c r="N8" s="156" t="s">
        <v>159</v>
      </c>
      <c r="O8" s="159">
        <v>1</v>
      </c>
      <c r="P8" s="159">
        <f t="shared" si="37"/>
        <v>1</v>
      </c>
      <c r="Q8" s="170">
        <f>VLOOKUP(N8,Cabos!$B$13:$F$46,2,0)*O8*P8</f>
        <v>153.70000000000002</v>
      </c>
      <c r="R8" s="171">
        <f>((VLOOKUP(N8,Cabos!$B$13:$F$46,3,0)/O8*K8))*(1+A8)</f>
        <v>1.0086359943856489</v>
      </c>
      <c r="S8" s="171">
        <f>(VLOOKUP(N8,Cabos!$B$13:$F$46,4,0)/O8*K8)*B8/60</f>
        <v>0.36473907675763872</v>
      </c>
      <c r="T8" s="171">
        <f>1/(VLOOKUP(N8,Cabos!$B$13:$F$46,5,0)*60/B8) * O8 * K8</f>
        <v>1.0689023099755346E-4</v>
      </c>
      <c r="U8" s="155" t="str">
        <f t="shared" si="38"/>
        <v>81,9953644820215-57,540966246141i</v>
      </c>
      <c r="V8" s="155" t="str">
        <f t="shared" si="39"/>
        <v>0,00615056717387242+0,00876450345021184i</v>
      </c>
      <c r="W8" s="155" t="str">
        <f t="shared" si="40"/>
        <v>1,00862288641426+0,36475483070815i</v>
      </c>
      <c r="X8" s="155" t="str">
        <f t="shared" si="41"/>
        <v>4,80178413593919E-10+0,000053445289133202i</v>
      </c>
      <c r="Y8" s="172">
        <f>F8/L8/SQRT(3)*1000</f>
        <v>100.408742467761</v>
      </c>
      <c r="Z8" s="173" t="str">
        <f t="shared" si="42"/>
        <v>14433,7567297406</v>
      </c>
      <c r="AA8" s="173" t="str">
        <f>COMPLEX(Y8*E8,-Y8*SQRT(1-E8*E8))</f>
        <v>92,3760430703401-39,3520295616861i</v>
      </c>
      <c r="AB8" s="173" t="str">
        <f t="shared" si="43"/>
        <v>107,245063245939-5,21867902627457i</v>
      </c>
      <c r="AC8" s="173" t="str">
        <f t="shared" si="44"/>
        <v>14541,0017929865-5,21867902627457i</v>
      </c>
      <c r="AD8" s="173" t="str">
        <f t="shared" si="45"/>
        <v>92,3763358972029-37,80346521738i</v>
      </c>
      <c r="AE8" s="174">
        <f t="shared" si="46"/>
        <v>1.0074302208170984</v>
      </c>
      <c r="AF8" s="175">
        <f t="shared" si="47"/>
        <v>25.18575552042746</v>
      </c>
      <c r="AG8" s="174">
        <f t="shared" si="48"/>
        <v>0.64939668750840207</v>
      </c>
      <c r="AH8" s="175">
        <f t="shared" si="49"/>
        <v>99.812270870041402</v>
      </c>
      <c r="AI8" s="176">
        <f t="shared" si="50"/>
        <v>4.0303252501853999</v>
      </c>
      <c r="AJ8" s="174">
        <f t="shared" ref="AJ8:AJ9" si="51">IMABS(Z8)/L8/1000*SQRT(3)</f>
        <v>0.99999999999999678</v>
      </c>
      <c r="AK8" s="176">
        <f t="shared" si="20"/>
        <v>4.3541115094654836</v>
      </c>
      <c r="AL8" s="175">
        <f t="shared" si="21"/>
        <v>24.999999999999922</v>
      </c>
      <c r="AM8" s="174">
        <f t="shared" si="22"/>
        <v>0.65327743960807394</v>
      </c>
      <c r="AN8" s="175">
        <f t="shared" si="23"/>
        <v>100.40874246776097</v>
      </c>
      <c r="AO8" s="177">
        <f t="shared" si="24"/>
        <v>4</v>
      </c>
      <c r="AP8" s="174">
        <f t="shared" si="25"/>
        <v>7.581312546349972E-3</v>
      </c>
      <c r="AQ8" s="168">
        <f t="shared" si="26"/>
        <v>4.3541115094654863</v>
      </c>
      <c r="AR8" s="168">
        <f t="shared" ref="AR8:AR9" si="52">AL8*AN8*SQRT(3)/1000</f>
        <v>4.3478260869565064</v>
      </c>
      <c r="AS8" s="176">
        <f t="shared" si="28"/>
        <v>1.647654519181065</v>
      </c>
      <c r="AT8" s="196">
        <f>VLOOKUP(N8,Cabos!$B$9:$I$46,6,0)*K8</f>
        <v>605.1245424741312</v>
      </c>
      <c r="AU8" s="201">
        <f>VLOOKUP(N8,Cabos!$B$9:$I$46,7,0)*K8</f>
        <v>54.635468520126068</v>
      </c>
      <c r="AV8" s="200">
        <f t="shared" si="31"/>
        <v>2</v>
      </c>
      <c r="AW8" s="200">
        <f t="shared" si="32"/>
        <v>0</v>
      </c>
      <c r="AX8">
        <f t="shared" si="33"/>
        <v>0</v>
      </c>
      <c r="AY8">
        <f t="shared" si="34"/>
        <v>1</v>
      </c>
      <c r="AZ8">
        <f t="shared" si="35"/>
        <v>1</v>
      </c>
      <c r="BA8" s="200">
        <f t="shared" si="29"/>
        <v>4</v>
      </c>
      <c r="BB8" s="199">
        <f t="shared" si="36"/>
        <v>1100000</v>
      </c>
    </row>
    <row r="9" spans="1:54" x14ac:dyDescent="0.25">
      <c r="A9" s="153">
        <f>IF($B$1="não",0,1-60/$B9)</f>
        <v>0</v>
      </c>
      <c r="B9">
        <v>60</v>
      </c>
      <c r="C9" s="133">
        <v>1</v>
      </c>
      <c r="D9" s="107">
        <f>SUM(AI4:AI8)</f>
        <v>20.093449562711879</v>
      </c>
      <c r="E9" s="194">
        <f>(SUM(AI4:AI8))/(SUM(AK4:AK8))</f>
        <v>0.92347900999162813</v>
      </c>
      <c r="F9" s="168">
        <f>D9/(E9*C9)</f>
        <v>21.758425849759202</v>
      </c>
      <c r="G9" s="157">
        <v>0</v>
      </c>
      <c r="H9" s="157">
        <v>4.5</v>
      </c>
      <c r="I9" s="195">
        <v>29.793563972496148</v>
      </c>
      <c r="J9" s="195">
        <v>2.0271643909982324</v>
      </c>
      <c r="K9" s="192">
        <f t="shared" si="2"/>
        <v>29.896009267665939</v>
      </c>
      <c r="L9" s="107">
        <f>MAX(AF4:AF8)</f>
        <v>25.18575552042746</v>
      </c>
      <c r="M9" s="180">
        <v>1</v>
      </c>
      <c r="N9" s="156" t="s">
        <v>180</v>
      </c>
      <c r="O9" s="159">
        <v>2</v>
      </c>
      <c r="P9" s="159">
        <f t="shared" si="37"/>
        <v>0.9</v>
      </c>
      <c r="Q9" s="181">
        <f>VLOOKUP(N9,Cabos!$B$13:$F$46,2,0)*O9*P9</f>
        <v>652.5</v>
      </c>
      <c r="R9" s="182">
        <f>((VLOOKUP(N9,Cabos!$B$13:$F$46,3,0)/O9*K9))*(1+A9)</f>
        <v>1.2010721723284792</v>
      </c>
      <c r="S9" s="182">
        <f>(VLOOKUP(N9,Cabos!$B$13:$F$46,4,0)/O9*K9)*B9/60</f>
        <v>2.0628246394689498</v>
      </c>
      <c r="T9" s="182">
        <f>1/(VLOOKUP(N9,Cabos!$B$13:$F$46,5,0)*60/B9) * O9 * K9</f>
        <v>5.1866775273535634E-3</v>
      </c>
      <c r="U9" s="178" t="str">
        <f t="shared" si="38"/>
        <v>20,7115378374812-5,59033090196072i</v>
      </c>
      <c r="V9" s="178" t="str">
        <f t="shared" si="39"/>
        <v>0,0289952436596699+0,107424067858597i</v>
      </c>
      <c r="W9" s="178" t="str">
        <f t="shared" si="40"/>
        <v>1,19679171411519+2,06039320338901i</v>
      </c>
      <c r="X9" s="178" t="str">
        <f t="shared" si="41"/>
        <v>1,34916797369081E-06+0,00259565262102749i</v>
      </c>
      <c r="Y9" s="183">
        <f>F9/L9/SQRT(3)*1000</f>
        <v>498.78325116402061</v>
      </c>
      <c r="Z9" s="184" t="str">
        <f t="shared" si="42"/>
        <v>14541,0027294629</v>
      </c>
      <c r="AA9" s="173" t="str">
        <f>COMPLEX(Y9*E9,-Y9*SQRT(1-E9*E9))</f>
        <v>460,615862985355-191,357671411435i</v>
      </c>
      <c r="AB9" s="184" t="str">
        <f t="shared" si="43"/>
        <v>867,790544734004+765,245917835468i</v>
      </c>
      <c r="AC9" s="184" t="str">
        <f t="shared" si="44"/>
        <v>15408,7932741969+765,245917835468i</v>
      </c>
      <c r="AD9" s="184" t="str">
        <f t="shared" si="45"/>
        <v>458,669957718582-113,617372470013i</v>
      </c>
      <c r="AE9" s="185">
        <f t="shared" si="46"/>
        <v>1.0609848604317105</v>
      </c>
      <c r="AF9" s="186">
        <f t="shared" si="47"/>
        <v>26.721705305707911</v>
      </c>
      <c r="AG9" s="185">
        <f t="shared" si="48"/>
        <v>0.72418785927826268</v>
      </c>
      <c r="AH9" s="186">
        <f t="shared" si="49"/>
        <v>236.26628908953319</v>
      </c>
      <c r="AI9" s="187">
        <f t="shared" si="50"/>
        <v>20.94181598727717</v>
      </c>
      <c r="AJ9" s="185">
        <f t="shared" si="51"/>
        <v>1.0000000000000002</v>
      </c>
      <c r="AK9" s="176">
        <f t="shared" si="20"/>
        <v>21.87039129499427</v>
      </c>
      <c r="AL9" s="186">
        <f t="shared" si="21"/>
        <v>25.185755520427463</v>
      </c>
      <c r="AM9" s="185">
        <f t="shared" si="22"/>
        <v>0.76441877573029904</v>
      </c>
      <c r="AN9" s="186">
        <f t="shared" si="23"/>
        <v>554.20361240446675</v>
      </c>
      <c r="AO9" s="188">
        <f t="shared" si="24"/>
        <v>20.093449562711879</v>
      </c>
      <c r="AP9" s="185">
        <f t="shared" si="25"/>
        <v>4.2221044321808995E-2</v>
      </c>
      <c r="AQ9" s="179">
        <f t="shared" si="26"/>
        <v>21.870391294994278</v>
      </c>
      <c r="AR9" s="179">
        <f t="shared" si="52"/>
        <v>24.176028721954648</v>
      </c>
      <c r="AS9" s="176">
        <f t="shared" si="28"/>
        <v>6.30510575257731</v>
      </c>
      <c r="AT9" s="196">
        <f>VLOOKUP(N9,Cabos!$B$9:$I$46,6,0)*K9</f>
        <v>14945.780370743456</v>
      </c>
      <c r="AU9" s="201">
        <f>VLOOKUP(N9,Cabos!$B$9:$I$46,7,0)*K9</f>
        <v>1058.5399585439548</v>
      </c>
      <c r="AV9" s="200">
        <f t="shared" si="31"/>
        <v>2</v>
      </c>
      <c r="AW9" s="200">
        <f>ROUNDDOWN(AU9/$AU$2,0)*O9</f>
        <v>6</v>
      </c>
      <c r="AX9">
        <f t="shared" si="33"/>
        <v>9</v>
      </c>
      <c r="AY9">
        <f t="shared" si="34"/>
        <v>4</v>
      </c>
      <c r="AZ9">
        <f t="shared" si="35"/>
        <v>7</v>
      </c>
      <c r="BA9" s="200">
        <f t="shared" si="29"/>
        <v>22</v>
      </c>
      <c r="BB9" s="199">
        <f t="shared" si="36"/>
        <v>6050000</v>
      </c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193"/>
      <c r="AJ10" s="193"/>
      <c r="AK10" s="193"/>
      <c r="AL10" s="81"/>
      <c r="AM10" s="81"/>
      <c r="AN10" s="81"/>
      <c r="AO10" s="81"/>
      <c r="AP10" s="81"/>
      <c r="AS10" s="193"/>
      <c r="AT10" s="197">
        <f>SUM(AT4:AT9)</f>
        <v>16808.291266297467</v>
      </c>
      <c r="BB10" s="197">
        <f>SUM(BB4:BB9)</f>
        <v>11550000</v>
      </c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B28" t="s">
        <v>154</v>
      </c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B29" t="s">
        <v>153</v>
      </c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  <row r="310" spans="17:45" x14ac:dyDescent="0.25">
      <c r="Q310" s="84"/>
      <c r="R310" s="81"/>
      <c r="S310" s="81"/>
      <c r="T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S310" s="81"/>
    </row>
  </sheetData>
  <mergeCells count="2">
    <mergeCell ref="D1:E1"/>
    <mergeCell ref="N1:Q1"/>
  </mergeCells>
  <conditionalFormatting sqref="AF4:AF5 AJ4:AJ5 AL4:AL5">
    <cfRule type="cellIs" dxfId="47" priority="286" operator="greaterThan">
      <formula>1.08</formula>
    </cfRule>
  </conditionalFormatting>
  <conditionalFormatting sqref="AM4:AN5 AG4:AH5">
    <cfRule type="cellIs" dxfId="46" priority="267" operator="greaterThan">
      <formula>1</formula>
    </cfRule>
  </conditionalFormatting>
  <conditionalFormatting sqref="AE4:AE5">
    <cfRule type="cellIs" dxfId="45" priority="193" operator="greaterThan">
      <formula>1.1</formula>
    </cfRule>
  </conditionalFormatting>
  <conditionalFormatting sqref="AP4:AP5">
    <cfRule type="cellIs" dxfId="44" priority="191" operator="greaterThan">
      <formula>7%</formula>
    </cfRule>
  </conditionalFormatting>
  <conditionalFormatting sqref="AF5:AF6">
    <cfRule type="cellIs" dxfId="43" priority="190" operator="greaterThan">
      <formula>1.08</formula>
    </cfRule>
  </conditionalFormatting>
  <conditionalFormatting sqref="AJ5:AJ6 AL5:AL6">
    <cfRule type="cellIs" dxfId="42" priority="188" operator="greaterThan">
      <formula>1.08</formula>
    </cfRule>
  </conditionalFormatting>
  <conditionalFormatting sqref="AM5:AN6">
    <cfRule type="cellIs" dxfId="41" priority="186" operator="greaterThan">
      <formula>1</formula>
    </cfRule>
  </conditionalFormatting>
  <conditionalFormatting sqref="AE6">
    <cfRule type="cellIs" dxfId="40" priority="189" operator="greaterThan">
      <formula>1.1</formula>
    </cfRule>
  </conditionalFormatting>
  <conditionalFormatting sqref="AG5:AH6">
    <cfRule type="cellIs" dxfId="39" priority="187" operator="greaterThan">
      <formula>1</formula>
    </cfRule>
  </conditionalFormatting>
  <conditionalFormatting sqref="AP6">
    <cfRule type="cellIs" dxfId="38" priority="185" operator="greaterThan">
      <formula>7%</formula>
    </cfRule>
  </conditionalFormatting>
  <conditionalFormatting sqref="AE5">
    <cfRule type="cellIs" dxfId="37" priority="184" operator="greaterThan">
      <formula>1.1</formula>
    </cfRule>
  </conditionalFormatting>
  <conditionalFormatting sqref="AE6">
    <cfRule type="cellIs" dxfId="36" priority="183" operator="greaterThan">
      <formula>1.1</formula>
    </cfRule>
  </conditionalFormatting>
  <conditionalFormatting sqref="AP5">
    <cfRule type="cellIs" dxfId="35" priority="182" operator="greaterThan">
      <formula>7%</formula>
    </cfRule>
  </conditionalFormatting>
  <conditionalFormatting sqref="AP6">
    <cfRule type="cellIs" dxfId="34" priority="181" operator="greaterThan">
      <formula>7%</formula>
    </cfRule>
  </conditionalFormatting>
  <conditionalFormatting sqref="AF7:AF9">
    <cfRule type="cellIs" dxfId="33" priority="180" operator="greaterThan">
      <formula>1.08</formula>
    </cfRule>
  </conditionalFormatting>
  <conditionalFormatting sqref="AJ7:AJ9 AL7:AL9">
    <cfRule type="cellIs" dxfId="32" priority="178" operator="greaterThan">
      <formula>1.08</formula>
    </cfRule>
  </conditionalFormatting>
  <conditionalFormatting sqref="AM7:AN9">
    <cfRule type="cellIs" dxfId="31" priority="176" operator="greaterThan">
      <formula>1</formula>
    </cfRule>
  </conditionalFormatting>
  <conditionalFormatting sqref="AE7">
    <cfRule type="cellIs" dxfId="30" priority="179" operator="greaterThan">
      <formula>1.1</formula>
    </cfRule>
  </conditionalFormatting>
  <conditionalFormatting sqref="AG7:AH9">
    <cfRule type="cellIs" dxfId="29" priority="177" operator="greaterThan">
      <formula>1</formula>
    </cfRule>
  </conditionalFormatting>
  <conditionalFormatting sqref="AE8:AE9">
    <cfRule type="cellIs" dxfId="28" priority="175" operator="greaterThan">
      <formula>1.1</formula>
    </cfRule>
  </conditionalFormatting>
  <conditionalFormatting sqref="AP7">
    <cfRule type="cellIs" dxfId="27" priority="174" operator="greaterThan">
      <formula>7%</formula>
    </cfRule>
  </conditionalFormatting>
  <conditionalFormatting sqref="AP8:AP9">
    <cfRule type="cellIs" dxfId="26" priority="173" operator="greaterThan">
      <formula>7%</formula>
    </cfRule>
  </conditionalFormatting>
  <conditionalFormatting sqref="AF9">
    <cfRule type="cellIs" dxfId="25" priority="172" operator="greaterThan">
      <formula>1.08</formula>
    </cfRule>
  </conditionalFormatting>
  <conditionalFormatting sqref="AJ9 AL9">
    <cfRule type="cellIs" dxfId="24" priority="170" operator="greaterThan">
      <formula>1.08</formula>
    </cfRule>
  </conditionalFormatting>
  <conditionalFormatting sqref="AM9:AN9">
    <cfRule type="cellIs" dxfId="23" priority="168" operator="greaterThan">
      <formula>1</formula>
    </cfRule>
  </conditionalFormatting>
  <conditionalFormatting sqref="AG9:AH9">
    <cfRule type="cellIs" dxfId="22" priority="169" operator="greaterThan">
      <formula>1</formula>
    </cfRule>
  </conditionalFormatting>
  <conditionalFormatting sqref="AE9">
    <cfRule type="cellIs" dxfId="21" priority="166" operator="greaterThan">
      <formula>1.1</formula>
    </cfRule>
  </conditionalFormatting>
  <conditionalFormatting sqref="AP9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$B$28:$B$29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2" t="s">
        <v>123</v>
      </c>
      <c r="E1" s="202"/>
      <c r="F1" s="99"/>
      <c r="G1" s="87" t="s">
        <v>3</v>
      </c>
      <c r="H1" s="87" t="s">
        <v>18</v>
      </c>
      <c r="I1" s="90" t="s">
        <v>117</v>
      </c>
      <c r="J1" s="202" t="s">
        <v>6</v>
      </c>
      <c r="K1" s="202"/>
      <c r="L1" s="202"/>
      <c r="M1" s="202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3">
        <v>183</v>
      </c>
      <c r="C28" s="210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4"/>
      <c r="C29" s="208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4"/>
      <c r="C30" s="208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4"/>
      <c r="C31" s="208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4"/>
      <c r="C32" s="208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5"/>
      <c r="C33" s="209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6">
        <v>200</v>
      </c>
      <c r="C34" s="211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4"/>
      <c r="C35" s="208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4"/>
      <c r="C36" s="208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4"/>
      <c r="C37" s="208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4"/>
      <c r="C38" s="208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5"/>
      <c r="C39" s="209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7">
        <v>325</v>
      </c>
      <c r="C40" s="212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4"/>
      <c r="C41" s="208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4"/>
      <c r="C42" s="208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4"/>
      <c r="C43" s="208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4"/>
      <c r="C44" s="208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5"/>
      <c r="C45" s="209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4">
        <v>183</v>
      </c>
      <c r="C52" s="208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4"/>
      <c r="C53" s="208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4">
        <v>200</v>
      </c>
      <c r="C54" s="208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4"/>
      <c r="C55" s="208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4">
        <v>325</v>
      </c>
      <c r="C56" s="208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4"/>
      <c r="C57" s="208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4">
        <v>183</v>
      </c>
      <c r="C65" s="208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4"/>
      <c r="C66" s="208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G27" sqref="G27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49" t="s">
        <v>28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1"/>
      <c r="Q2" s="11"/>
      <c r="R2" s="12"/>
      <c r="S2" s="249" t="s">
        <v>29</v>
      </c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1"/>
      <c r="AH2" s="13"/>
      <c r="AI2" s="12"/>
      <c r="AJ2" s="252" t="s">
        <v>30</v>
      </c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4"/>
      <c r="AY2" s="13"/>
      <c r="AZ2" s="12"/>
      <c r="BA2" s="249" t="s">
        <v>31</v>
      </c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0"/>
      <c r="BO2" s="251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5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7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1" t="s">
        <v>32</v>
      </c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3"/>
      <c r="Q4" s="20"/>
      <c r="R4" s="21"/>
      <c r="S4" s="261" t="s">
        <v>33</v>
      </c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1"/>
      <c r="AH4" s="22"/>
      <c r="AI4" s="21"/>
      <c r="AJ4" s="258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60"/>
      <c r="AY4" s="22"/>
      <c r="AZ4" s="21"/>
      <c r="BA4" s="278" t="s">
        <v>34</v>
      </c>
      <c r="BB4" s="278"/>
      <c r="BC4" s="278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2"/>
    </row>
    <row r="5" spans="1:68" s="23" customFormat="1" ht="15" customHeight="1" thickBot="1" x14ac:dyDescent="0.3">
      <c r="A5" s="19"/>
      <c r="B5" s="264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6"/>
      <c r="Q5" s="20"/>
      <c r="R5" s="21"/>
      <c r="S5" s="272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4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8" t="s">
        <v>35</v>
      </c>
      <c r="BB5" s="278"/>
      <c r="BC5" s="278" t="s">
        <v>36</v>
      </c>
      <c r="BD5" s="278"/>
      <c r="BE5" s="278"/>
      <c r="BF5" s="278"/>
      <c r="BG5" s="278"/>
      <c r="BH5" s="278"/>
      <c r="BI5" s="278"/>
      <c r="BJ5" s="278"/>
      <c r="BK5" s="278"/>
      <c r="BL5" s="278"/>
      <c r="BM5" s="278"/>
      <c r="BN5" s="278"/>
      <c r="BO5" s="278"/>
      <c r="BP5" s="22"/>
    </row>
    <row r="6" spans="1:68" s="23" customFormat="1" ht="15" customHeight="1" thickBot="1" x14ac:dyDescent="0.3">
      <c r="A6" s="19"/>
      <c r="B6" s="264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6"/>
      <c r="Q6" s="20"/>
      <c r="R6" s="21"/>
      <c r="S6" s="272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4"/>
      <c r="AH6" s="22"/>
      <c r="AI6" s="21"/>
      <c r="AJ6" s="222" t="s">
        <v>37</v>
      </c>
      <c r="AK6" s="223"/>
      <c r="AL6" s="223"/>
      <c r="AM6" s="223"/>
      <c r="AN6" s="223"/>
      <c r="AO6" s="224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7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9"/>
      <c r="Q7" s="20"/>
      <c r="R7" s="21"/>
      <c r="S7" s="275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7"/>
      <c r="AH7" s="22"/>
      <c r="AI7" s="21"/>
      <c r="AJ7" s="279" t="s">
        <v>39</v>
      </c>
      <c r="AK7" s="280"/>
      <c r="AL7" s="280"/>
      <c r="AM7" s="280"/>
      <c r="AN7" s="280"/>
      <c r="AO7" s="281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41" t="s">
        <v>41</v>
      </c>
      <c r="AK8" s="242"/>
      <c r="AL8" s="242"/>
      <c r="AM8" s="242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82" t="s">
        <v>43</v>
      </c>
      <c r="C9" s="283"/>
      <c r="D9" s="283"/>
      <c r="E9" s="283"/>
      <c r="F9" s="283"/>
      <c r="G9" s="283"/>
      <c r="H9" s="284"/>
      <c r="I9" s="11"/>
      <c r="J9" s="222" t="s">
        <v>44</v>
      </c>
      <c r="K9" s="223"/>
      <c r="L9" s="223"/>
      <c r="M9" s="223"/>
      <c r="N9" s="223"/>
      <c r="O9" s="223"/>
      <c r="P9" s="224"/>
      <c r="Q9" s="11"/>
      <c r="R9" s="12"/>
      <c r="S9" s="222" t="s">
        <v>43</v>
      </c>
      <c r="T9" s="223"/>
      <c r="U9" s="223"/>
      <c r="V9" s="223"/>
      <c r="W9" s="223"/>
      <c r="X9" s="223"/>
      <c r="Y9" s="224"/>
      <c r="Z9" s="11"/>
      <c r="AA9" s="222" t="s">
        <v>44</v>
      </c>
      <c r="AB9" s="223"/>
      <c r="AC9" s="223"/>
      <c r="AD9" s="223"/>
      <c r="AE9" s="223"/>
      <c r="AF9" s="223"/>
      <c r="AG9" s="224"/>
      <c r="AH9" s="13"/>
      <c r="AI9" s="12"/>
      <c r="AJ9" s="241" t="s">
        <v>5</v>
      </c>
      <c r="AK9" s="242"/>
      <c r="AL9" s="242"/>
      <c r="AM9" s="242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39" t="s">
        <v>46</v>
      </c>
      <c r="C10" s="240"/>
      <c r="D10" s="240"/>
      <c r="E10" s="240"/>
      <c r="F10" s="240"/>
      <c r="G10" s="30">
        <v>35</v>
      </c>
      <c r="H10" s="31" t="s">
        <v>47</v>
      </c>
      <c r="I10" s="29"/>
      <c r="J10" s="239" t="s">
        <v>46</v>
      </c>
      <c r="K10" s="240"/>
      <c r="L10" s="240"/>
      <c r="M10" s="240"/>
      <c r="N10" s="240"/>
      <c r="O10" s="30">
        <v>50</v>
      </c>
      <c r="P10" s="31" t="s">
        <v>47</v>
      </c>
      <c r="Q10" s="29"/>
      <c r="R10" s="32"/>
      <c r="S10" s="225" t="s">
        <v>46</v>
      </c>
      <c r="T10" s="226"/>
      <c r="U10" s="226"/>
      <c r="V10" s="226"/>
      <c r="W10" s="227"/>
      <c r="X10" s="30">
        <v>35</v>
      </c>
      <c r="Y10" s="31" t="s">
        <v>47</v>
      </c>
      <c r="Z10" s="29"/>
      <c r="AA10" s="225" t="s">
        <v>46</v>
      </c>
      <c r="AB10" s="226"/>
      <c r="AC10" s="226"/>
      <c r="AD10" s="226"/>
      <c r="AE10" s="227"/>
      <c r="AF10" s="30">
        <v>50</v>
      </c>
      <c r="AG10" s="31" t="s">
        <v>47</v>
      </c>
      <c r="AH10" s="33"/>
      <c r="AI10" s="32"/>
      <c r="AJ10" s="241" t="s">
        <v>41</v>
      </c>
      <c r="AK10" s="242"/>
      <c r="AL10" s="242"/>
      <c r="AM10" s="242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41" t="s">
        <v>49</v>
      </c>
      <c r="C11" s="242"/>
      <c r="D11" s="242"/>
      <c r="E11" s="242"/>
      <c r="F11" s="242"/>
      <c r="G11" s="34">
        <v>180</v>
      </c>
      <c r="H11" s="27" t="s">
        <v>50</v>
      </c>
      <c r="I11" s="29"/>
      <c r="J11" s="241" t="s">
        <v>49</v>
      </c>
      <c r="K11" s="242"/>
      <c r="L11" s="242"/>
      <c r="M11" s="242"/>
      <c r="N11" s="242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41" t="s">
        <v>53</v>
      </c>
      <c r="AK11" s="242"/>
      <c r="AL11" s="242"/>
      <c r="AM11" s="242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41" t="s">
        <v>55</v>
      </c>
      <c r="C12" s="242"/>
      <c r="D12" s="242"/>
      <c r="E12" s="242"/>
      <c r="F12" s="242"/>
      <c r="G12" s="38">
        <f>G11/1.2</f>
        <v>150</v>
      </c>
      <c r="H12" s="27" t="s">
        <v>50</v>
      </c>
      <c r="I12" s="29"/>
      <c r="J12" s="241" t="s">
        <v>55</v>
      </c>
      <c r="K12" s="242"/>
      <c r="L12" s="242"/>
      <c r="M12" s="242"/>
      <c r="N12" s="242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41" t="s">
        <v>57</v>
      </c>
      <c r="AK12" s="242"/>
      <c r="AL12" s="242"/>
      <c r="AM12" s="242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3" t="s">
        <v>58</v>
      </c>
      <c r="C13" s="244"/>
      <c r="D13" s="244"/>
      <c r="E13" s="244"/>
      <c r="F13" s="244"/>
      <c r="G13" s="41">
        <f>G11*0.87</f>
        <v>156.6</v>
      </c>
      <c r="H13" s="42" t="s">
        <v>50</v>
      </c>
      <c r="I13" s="29"/>
      <c r="J13" s="243" t="s">
        <v>58</v>
      </c>
      <c r="K13" s="244"/>
      <c r="L13" s="244"/>
      <c r="M13" s="244"/>
      <c r="N13" s="244"/>
      <c r="O13" s="41">
        <f>O11*0.87</f>
        <v>184.44</v>
      </c>
      <c r="P13" s="42" t="s">
        <v>50</v>
      </c>
      <c r="Q13" s="43"/>
      <c r="R13" s="44"/>
      <c r="S13" s="228" t="s">
        <v>59</v>
      </c>
      <c r="T13" s="229"/>
      <c r="U13" s="229"/>
      <c r="V13" s="229"/>
      <c r="W13" s="230"/>
      <c r="X13" s="45">
        <v>0.157</v>
      </c>
      <c r="Y13" s="46" t="s">
        <v>52</v>
      </c>
      <c r="Z13" s="29"/>
      <c r="AA13" s="228" t="s">
        <v>59</v>
      </c>
      <c r="AB13" s="229"/>
      <c r="AC13" s="229"/>
      <c r="AD13" s="229"/>
      <c r="AE13" s="230"/>
      <c r="AF13" s="45">
        <v>0.14899999999999999</v>
      </c>
      <c r="AG13" s="46" t="s">
        <v>52</v>
      </c>
      <c r="AH13" s="47"/>
      <c r="AI13" s="44"/>
      <c r="AJ13" s="241" t="s">
        <v>60</v>
      </c>
      <c r="AK13" s="242"/>
      <c r="AL13" s="242"/>
      <c r="AM13" s="242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3" t="s">
        <v>62</v>
      </c>
      <c r="C14" s="244"/>
      <c r="D14" s="244"/>
      <c r="E14" s="244"/>
      <c r="F14" s="244"/>
      <c r="G14" s="41">
        <f>G13/1.2</f>
        <v>130.5</v>
      </c>
      <c r="H14" s="42" t="s">
        <v>50</v>
      </c>
      <c r="I14" s="29"/>
      <c r="J14" s="243" t="s">
        <v>62</v>
      </c>
      <c r="K14" s="244"/>
      <c r="L14" s="244"/>
      <c r="M14" s="244"/>
      <c r="N14" s="244"/>
      <c r="O14" s="41">
        <f>O13/1.2</f>
        <v>153.70000000000002</v>
      </c>
      <c r="P14" s="42" t="s">
        <v>50</v>
      </c>
      <c r="Q14" s="43"/>
      <c r="R14" s="44"/>
      <c r="S14" s="285">
        <v>60</v>
      </c>
      <c r="T14" s="285"/>
      <c r="U14" s="285"/>
      <c r="V14" s="285"/>
      <c r="W14" s="285"/>
      <c r="X14" s="48"/>
      <c r="Y14" s="29"/>
      <c r="Z14" s="29"/>
      <c r="AA14" s="285"/>
      <c r="AB14" s="285"/>
      <c r="AC14" s="285"/>
      <c r="AD14" s="285"/>
      <c r="AE14" s="285"/>
      <c r="AF14" s="48"/>
      <c r="AG14" s="29"/>
      <c r="AH14" s="47"/>
      <c r="AI14" s="44"/>
      <c r="AJ14" s="241" t="s">
        <v>63</v>
      </c>
      <c r="AK14" s="242"/>
      <c r="AL14" s="242"/>
      <c r="AM14" s="242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5" t="s">
        <v>64</v>
      </c>
      <c r="C15" s="246"/>
      <c r="D15" s="246"/>
      <c r="E15" s="246"/>
      <c r="F15" s="246"/>
      <c r="G15" s="51">
        <f>G11*0.76</f>
        <v>136.80000000000001</v>
      </c>
      <c r="H15" s="52" t="s">
        <v>50</v>
      </c>
      <c r="I15" s="29"/>
      <c r="J15" s="245" t="s">
        <v>64</v>
      </c>
      <c r="K15" s="246"/>
      <c r="L15" s="246"/>
      <c r="M15" s="246"/>
      <c r="N15" s="246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41" t="s">
        <v>65</v>
      </c>
      <c r="AK15" s="242"/>
      <c r="AL15" s="242"/>
      <c r="AM15" s="242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7" t="s">
        <v>66</v>
      </c>
      <c r="C16" s="248"/>
      <c r="D16" s="248"/>
      <c r="E16" s="248"/>
      <c r="F16" s="248"/>
      <c r="G16" s="56">
        <f>G15/1.2</f>
        <v>114.00000000000001</v>
      </c>
      <c r="H16" s="57" t="s">
        <v>50</v>
      </c>
      <c r="I16" s="29"/>
      <c r="J16" s="247" t="s">
        <v>66</v>
      </c>
      <c r="K16" s="248"/>
      <c r="L16" s="248"/>
      <c r="M16" s="248"/>
      <c r="N16" s="248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6" t="s">
        <v>67</v>
      </c>
      <c r="AK16" s="287"/>
      <c r="AL16" s="287"/>
      <c r="AM16" s="287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8" t="s">
        <v>158</v>
      </c>
      <c r="C17" s="289"/>
      <c r="D17" s="289"/>
      <c r="E17" s="289"/>
      <c r="F17" s="289"/>
      <c r="G17" s="191">
        <f>G11*0.708</f>
        <v>127.44</v>
      </c>
      <c r="H17" s="190" t="s">
        <v>50</v>
      </c>
      <c r="I17" s="29"/>
      <c r="J17" s="288" t="s">
        <v>158</v>
      </c>
      <c r="K17" s="289"/>
      <c r="L17" s="289"/>
      <c r="M17" s="289"/>
      <c r="N17" s="289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22" t="s">
        <v>69</v>
      </c>
      <c r="C18" s="223"/>
      <c r="D18" s="223"/>
      <c r="E18" s="223"/>
      <c r="F18" s="223"/>
      <c r="G18" s="223"/>
      <c r="H18" s="224"/>
      <c r="I18" s="11"/>
      <c r="J18" s="222" t="s">
        <v>70</v>
      </c>
      <c r="K18" s="223"/>
      <c r="L18" s="223"/>
      <c r="M18" s="223"/>
      <c r="N18" s="223"/>
      <c r="O18" s="223"/>
      <c r="P18" s="224"/>
      <c r="Q18" s="11"/>
      <c r="R18" s="12"/>
      <c r="S18" s="222" t="s">
        <v>69</v>
      </c>
      <c r="T18" s="223"/>
      <c r="U18" s="223"/>
      <c r="V18" s="223"/>
      <c r="W18" s="223"/>
      <c r="X18" s="223"/>
      <c r="Y18" s="224"/>
      <c r="Z18" s="11"/>
      <c r="AA18" s="222" t="s">
        <v>70</v>
      </c>
      <c r="AB18" s="223"/>
      <c r="AC18" s="223"/>
      <c r="AD18" s="223"/>
      <c r="AE18" s="223"/>
      <c r="AF18" s="223"/>
      <c r="AG18" s="224"/>
      <c r="AH18" s="13"/>
      <c r="AI18" s="12"/>
      <c r="AJ18" s="252" t="s">
        <v>71</v>
      </c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4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39" t="s">
        <v>46</v>
      </c>
      <c r="C19" s="240"/>
      <c r="D19" s="240"/>
      <c r="E19" s="240"/>
      <c r="F19" s="240"/>
      <c r="G19" s="30">
        <v>70</v>
      </c>
      <c r="H19" s="31" t="s">
        <v>47</v>
      </c>
      <c r="I19" s="29"/>
      <c r="J19" s="239" t="s">
        <v>46</v>
      </c>
      <c r="K19" s="240"/>
      <c r="L19" s="240"/>
      <c r="M19" s="240"/>
      <c r="N19" s="240"/>
      <c r="O19" s="30">
        <v>95</v>
      </c>
      <c r="P19" s="31" t="s">
        <v>47</v>
      </c>
      <c r="Q19" s="29"/>
      <c r="R19" s="32"/>
      <c r="S19" s="225" t="s">
        <v>46</v>
      </c>
      <c r="T19" s="226"/>
      <c r="U19" s="226"/>
      <c r="V19" s="226"/>
      <c r="W19" s="227"/>
      <c r="X19" s="30">
        <v>70</v>
      </c>
      <c r="Y19" s="31" t="s">
        <v>47</v>
      </c>
      <c r="Z19" s="29"/>
      <c r="AA19" s="225" t="s">
        <v>46</v>
      </c>
      <c r="AB19" s="226"/>
      <c r="AC19" s="226"/>
      <c r="AD19" s="226"/>
      <c r="AE19" s="227"/>
      <c r="AF19" s="30">
        <v>95</v>
      </c>
      <c r="AG19" s="31" t="s">
        <v>47</v>
      </c>
      <c r="AH19" s="33"/>
      <c r="AI19" s="32"/>
      <c r="AJ19" s="258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60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41" t="s">
        <v>49</v>
      </c>
      <c r="C20" s="242"/>
      <c r="D20" s="242"/>
      <c r="E20" s="242"/>
      <c r="F20" s="242"/>
      <c r="G20" s="34">
        <v>258</v>
      </c>
      <c r="H20" s="27" t="s">
        <v>50</v>
      </c>
      <c r="I20" s="29"/>
      <c r="J20" s="241" t="s">
        <v>49</v>
      </c>
      <c r="K20" s="242"/>
      <c r="L20" s="242"/>
      <c r="M20" s="242"/>
      <c r="N20" s="242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41" t="s">
        <v>55</v>
      </c>
      <c r="C21" s="242"/>
      <c r="D21" s="242"/>
      <c r="E21" s="242"/>
      <c r="F21" s="242"/>
      <c r="G21" s="38">
        <f>G20/1.2</f>
        <v>215</v>
      </c>
      <c r="H21" s="27" t="s">
        <v>50</v>
      </c>
      <c r="I21" s="29"/>
      <c r="J21" s="241" t="s">
        <v>55</v>
      </c>
      <c r="K21" s="242"/>
      <c r="L21" s="242"/>
      <c r="M21" s="242"/>
      <c r="N21" s="242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22" t="s">
        <v>72</v>
      </c>
      <c r="AK21" s="223"/>
      <c r="AL21" s="223"/>
      <c r="AM21" s="223"/>
      <c r="AN21" s="224"/>
      <c r="AO21" s="29"/>
      <c r="AP21" s="222" t="s">
        <v>73</v>
      </c>
      <c r="AQ21" s="223"/>
      <c r="AR21" s="223"/>
      <c r="AS21" s="223"/>
      <c r="AT21" s="224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3" t="s">
        <v>58</v>
      </c>
      <c r="C22" s="244"/>
      <c r="D22" s="244"/>
      <c r="E22" s="244"/>
      <c r="F22" s="244"/>
      <c r="G22" s="41">
        <f>G20*0.87</f>
        <v>224.46</v>
      </c>
      <c r="H22" s="42" t="s">
        <v>50</v>
      </c>
      <c r="I22" s="29"/>
      <c r="J22" s="243" t="s">
        <v>58</v>
      </c>
      <c r="K22" s="244"/>
      <c r="L22" s="244"/>
      <c r="M22" s="244"/>
      <c r="N22" s="244"/>
      <c r="O22" s="41">
        <f>O20*0.87</f>
        <v>266.21999999999997</v>
      </c>
      <c r="P22" s="42" t="s">
        <v>50</v>
      </c>
      <c r="Q22" s="43"/>
      <c r="R22" s="44"/>
      <c r="S22" s="228" t="s">
        <v>59</v>
      </c>
      <c r="T22" s="229"/>
      <c r="U22" s="229"/>
      <c r="V22" s="229"/>
      <c r="W22" s="230"/>
      <c r="X22" s="45">
        <v>0.14099999999999999</v>
      </c>
      <c r="Y22" s="46" t="s">
        <v>52</v>
      </c>
      <c r="Z22" s="29"/>
      <c r="AA22" s="228" t="s">
        <v>59</v>
      </c>
      <c r="AB22" s="229"/>
      <c r="AC22" s="229"/>
      <c r="AD22" s="229"/>
      <c r="AE22" s="230"/>
      <c r="AF22" s="45">
        <v>0.13500000000000001</v>
      </c>
      <c r="AG22" s="46" t="s">
        <v>52</v>
      </c>
      <c r="AH22" s="47"/>
      <c r="AI22" s="44"/>
      <c r="AJ22" s="279" t="s">
        <v>39</v>
      </c>
      <c r="AK22" s="280"/>
      <c r="AL22" s="280"/>
      <c r="AM22" s="280"/>
      <c r="AN22" s="281"/>
      <c r="AO22" s="43"/>
      <c r="AP22" s="279" t="s">
        <v>39</v>
      </c>
      <c r="AQ22" s="280"/>
      <c r="AR22" s="280"/>
      <c r="AS22" s="280"/>
      <c r="AT22" s="281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3" t="s">
        <v>62</v>
      </c>
      <c r="C23" s="244"/>
      <c r="D23" s="244"/>
      <c r="E23" s="244"/>
      <c r="F23" s="244"/>
      <c r="G23" s="41">
        <f>G22/1.2</f>
        <v>187.05</v>
      </c>
      <c r="H23" s="42" t="s">
        <v>50</v>
      </c>
      <c r="I23" s="29"/>
      <c r="J23" s="243" t="s">
        <v>62</v>
      </c>
      <c r="K23" s="244"/>
      <c r="L23" s="244"/>
      <c r="M23" s="244"/>
      <c r="N23" s="244"/>
      <c r="O23" s="41">
        <f>O22/1.2</f>
        <v>221.85</v>
      </c>
      <c r="P23" s="42" t="s">
        <v>50</v>
      </c>
      <c r="Q23" s="43"/>
      <c r="R23" s="44"/>
      <c r="S23" s="285"/>
      <c r="T23" s="285"/>
      <c r="U23" s="285"/>
      <c r="V23" s="285"/>
      <c r="W23" s="285"/>
      <c r="X23" s="48"/>
      <c r="Y23" s="29"/>
      <c r="Z23" s="29"/>
      <c r="AA23" s="285"/>
      <c r="AB23" s="285"/>
      <c r="AC23" s="285"/>
      <c r="AD23" s="285"/>
      <c r="AE23" s="285"/>
      <c r="AF23" s="48"/>
      <c r="AG23" s="29"/>
      <c r="AH23" s="47"/>
      <c r="AI23" s="44"/>
      <c r="AJ23" s="241" t="s">
        <v>41</v>
      </c>
      <c r="AK23" s="242"/>
      <c r="AL23" s="242"/>
      <c r="AM23" s="26">
        <v>1119</v>
      </c>
      <c r="AN23" s="60" t="s">
        <v>48</v>
      </c>
      <c r="AO23" s="43"/>
      <c r="AP23" s="241" t="s">
        <v>41</v>
      </c>
      <c r="AQ23" s="242"/>
      <c r="AR23" s="242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5" t="s">
        <v>64</v>
      </c>
      <c r="C24" s="246"/>
      <c r="D24" s="246"/>
      <c r="E24" s="246"/>
      <c r="F24" s="246"/>
      <c r="G24" s="51">
        <f>G20*0.76</f>
        <v>196.08</v>
      </c>
      <c r="H24" s="52" t="s">
        <v>50</v>
      </c>
      <c r="I24" s="29"/>
      <c r="J24" s="245" t="s">
        <v>64</v>
      </c>
      <c r="K24" s="246"/>
      <c r="L24" s="246"/>
      <c r="M24" s="246"/>
      <c r="N24" s="246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41" t="s">
        <v>5</v>
      </c>
      <c r="AK24" s="242"/>
      <c r="AL24" s="242"/>
      <c r="AM24" s="26">
        <v>6600</v>
      </c>
      <c r="AN24" s="60" t="s">
        <v>45</v>
      </c>
      <c r="AO24" s="53"/>
      <c r="AP24" s="241" t="s">
        <v>5</v>
      </c>
      <c r="AQ24" s="242"/>
      <c r="AR24" s="242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7" t="s">
        <v>66</v>
      </c>
      <c r="C25" s="248"/>
      <c r="D25" s="248"/>
      <c r="E25" s="248"/>
      <c r="F25" s="248"/>
      <c r="G25" s="56">
        <f>G24/1.2</f>
        <v>163.4</v>
      </c>
      <c r="H25" s="57" t="s">
        <v>50</v>
      </c>
      <c r="I25" s="29"/>
      <c r="J25" s="247" t="s">
        <v>66</v>
      </c>
      <c r="K25" s="248"/>
      <c r="L25" s="248"/>
      <c r="M25" s="248"/>
      <c r="N25" s="248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41" t="s">
        <v>74</v>
      </c>
      <c r="AK25" s="242"/>
      <c r="AL25" s="242"/>
      <c r="AM25" s="61">
        <v>86</v>
      </c>
      <c r="AN25" s="60" t="s">
        <v>54</v>
      </c>
      <c r="AO25" s="53"/>
      <c r="AP25" s="241" t="s">
        <v>74</v>
      </c>
      <c r="AQ25" s="242"/>
      <c r="AR25" s="242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8" t="s">
        <v>158</v>
      </c>
      <c r="C26" s="289"/>
      <c r="D26" s="289"/>
      <c r="E26" s="289"/>
      <c r="F26" s="289"/>
      <c r="G26" s="191">
        <f>G20*0.708</f>
        <v>182.66399999999999</v>
      </c>
      <c r="H26" s="190" t="s">
        <v>50</v>
      </c>
      <c r="I26" s="29"/>
      <c r="J26" s="288" t="s">
        <v>158</v>
      </c>
      <c r="K26" s="289"/>
      <c r="L26" s="289"/>
      <c r="M26" s="289"/>
      <c r="N26" s="289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90" t="s">
        <v>75</v>
      </c>
      <c r="AK26" s="291"/>
      <c r="AL26" s="292"/>
      <c r="AM26" s="61">
        <f>71/AM25*100</f>
        <v>82.558139534883722</v>
      </c>
      <c r="AN26" s="60" t="s">
        <v>54</v>
      </c>
      <c r="AO26" s="29"/>
      <c r="AP26" s="290" t="s">
        <v>75</v>
      </c>
      <c r="AQ26" s="291"/>
      <c r="AR26" s="292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22" t="s">
        <v>76</v>
      </c>
      <c r="C27" s="223"/>
      <c r="D27" s="223"/>
      <c r="E27" s="223"/>
      <c r="F27" s="223"/>
      <c r="G27" s="223"/>
      <c r="H27" s="224"/>
      <c r="I27" s="11"/>
      <c r="J27" s="222" t="s">
        <v>77</v>
      </c>
      <c r="K27" s="223"/>
      <c r="L27" s="223"/>
      <c r="M27" s="223"/>
      <c r="N27" s="223"/>
      <c r="O27" s="223"/>
      <c r="P27" s="224"/>
      <c r="Q27" s="11"/>
      <c r="R27" s="12"/>
      <c r="S27" s="222" t="s">
        <v>76</v>
      </c>
      <c r="T27" s="223"/>
      <c r="U27" s="223"/>
      <c r="V27" s="223"/>
      <c r="W27" s="223"/>
      <c r="X27" s="223"/>
      <c r="Y27" s="224"/>
      <c r="Z27" s="11"/>
      <c r="AA27" s="222" t="s">
        <v>77</v>
      </c>
      <c r="AB27" s="223"/>
      <c r="AC27" s="223"/>
      <c r="AD27" s="223"/>
      <c r="AE27" s="223"/>
      <c r="AF27" s="223"/>
      <c r="AG27" s="224"/>
      <c r="AH27" s="13"/>
      <c r="AI27" s="12"/>
      <c r="AJ27" s="241" t="s">
        <v>60</v>
      </c>
      <c r="AK27" s="242"/>
      <c r="AL27" s="242"/>
      <c r="AM27" s="26">
        <f>AM23/AM25/AM26*10000</f>
        <v>1576.056338028169</v>
      </c>
      <c r="AN27" s="60" t="s">
        <v>61</v>
      </c>
      <c r="AO27" s="11"/>
      <c r="AP27" s="241" t="s">
        <v>60</v>
      </c>
      <c r="AQ27" s="242"/>
      <c r="AR27" s="242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39" t="s">
        <v>46</v>
      </c>
      <c r="C28" s="240"/>
      <c r="D28" s="240"/>
      <c r="E28" s="240"/>
      <c r="F28" s="240"/>
      <c r="G28" s="30">
        <v>120</v>
      </c>
      <c r="H28" s="31" t="s">
        <v>47</v>
      </c>
      <c r="I28" s="29"/>
      <c r="J28" s="239" t="s">
        <v>46</v>
      </c>
      <c r="K28" s="240"/>
      <c r="L28" s="240"/>
      <c r="M28" s="240"/>
      <c r="N28" s="240"/>
      <c r="O28" s="30">
        <v>150</v>
      </c>
      <c r="P28" s="31" t="s">
        <v>47</v>
      </c>
      <c r="Q28" s="29"/>
      <c r="R28" s="32"/>
      <c r="S28" s="225" t="s">
        <v>46</v>
      </c>
      <c r="T28" s="226"/>
      <c r="U28" s="226"/>
      <c r="V28" s="226"/>
      <c r="W28" s="227"/>
      <c r="X28" s="30">
        <v>120</v>
      </c>
      <c r="Y28" s="31" t="s">
        <v>47</v>
      </c>
      <c r="Z28" s="29"/>
      <c r="AA28" s="225" t="s">
        <v>46</v>
      </c>
      <c r="AB28" s="226"/>
      <c r="AC28" s="226"/>
      <c r="AD28" s="226"/>
      <c r="AE28" s="227"/>
      <c r="AF28" s="30">
        <v>150</v>
      </c>
      <c r="AG28" s="31" t="s">
        <v>47</v>
      </c>
      <c r="AH28" s="33"/>
      <c r="AI28" s="32"/>
      <c r="AJ28" s="241" t="s">
        <v>19</v>
      </c>
      <c r="AK28" s="242"/>
      <c r="AL28" s="242"/>
      <c r="AM28" s="62">
        <f>AM27/SQRT(3)/AM24*1000</f>
        <v>137.86917439675443</v>
      </c>
      <c r="AN28" s="60" t="s">
        <v>50</v>
      </c>
      <c r="AO28" s="29"/>
      <c r="AP28" s="241" t="s">
        <v>19</v>
      </c>
      <c r="AQ28" s="242"/>
      <c r="AR28" s="242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41" t="s">
        <v>49</v>
      </c>
      <c r="C29" s="242"/>
      <c r="D29" s="242"/>
      <c r="E29" s="242"/>
      <c r="F29" s="242"/>
      <c r="G29" s="34">
        <v>346</v>
      </c>
      <c r="H29" s="27" t="s">
        <v>50</v>
      </c>
      <c r="I29" s="29"/>
      <c r="J29" s="241" t="s">
        <v>49</v>
      </c>
      <c r="K29" s="242"/>
      <c r="L29" s="242"/>
      <c r="M29" s="242"/>
      <c r="N29" s="242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41" t="s">
        <v>65</v>
      </c>
      <c r="AK29" s="242"/>
      <c r="AL29" s="242"/>
      <c r="AM29" s="64">
        <f>AM23/AM26*100</f>
        <v>1355.4084507042253</v>
      </c>
      <c r="AN29" s="60" t="s">
        <v>48</v>
      </c>
      <c r="AO29" s="29"/>
      <c r="AP29" s="241" t="s">
        <v>65</v>
      </c>
      <c r="AQ29" s="242"/>
      <c r="AR29" s="242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41" t="s">
        <v>55</v>
      </c>
      <c r="C30" s="242"/>
      <c r="D30" s="242"/>
      <c r="E30" s="242"/>
      <c r="F30" s="242"/>
      <c r="G30" s="38">
        <f>G29/1.2</f>
        <v>288.33333333333337</v>
      </c>
      <c r="H30" s="27" t="s">
        <v>50</v>
      </c>
      <c r="I30" s="29"/>
      <c r="J30" s="241" t="s">
        <v>55</v>
      </c>
      <c r="K30" s="242"/>
      <c r="L30" s="242"/>
      <c r="M30" s="242"/>
      <c r="N30" s="242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6" t="s">
        <v>67</v>
      </c>
      <c r="AK30" s="287"/>
      <c r="AL30" s="287"/>
      <c r="AM30" s="65">
        <f>SQRT(AM27^2-AM29^2)</f>
        <v>804.25214478938983</v>
      </c>
      <c r="AN30" s="66" t="s">
        <v>68</v>
      </c>
      <c r="AO30" s="29"/>
      <c r="AP30" s="286" t="s">
        <v>67</v>
      </c>
      <c r="AQ30" s="287"/>
      <c r="AR30" s="287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3" t="s">
        <v>58</v>
      </c>
      <c r="C31" s="244"/>
      <c r="D31" s="244"/>
      <c r="E31" s="244"/>
      <c r="F31" s="244"/>
      <c r="G31" s="41">
        <f>G29*0.87</f>
        <v>301.02</v>
      </c>
      <c r="H31" s="42" t="s">
        <v>50</v>
      </c>
      <c r="I31" s="29"/>
      <c r="J31" s="243" t="s">
        <v>58</v>
      </c>
      <c r="K31" s="244"/>
      <c r="L31" s="244"/>
      <c r="M31" s="244"/>
      <c r="N31" s="244"/>
      <c r="O31" s="41">
        <f>O29*0.87</f>
        <v>334.08</v>
      </c>
      <c r="P31" s="42" t="s">
        <v>50</v>
      </c>
      <c r="Q31" s="43"/>
      <c r="R31" s="44"/>
      <c r="S31" s="228" t="s">
        <v>59</v>
      </c>
      <c r="T31" s="229"/>
      <c r="U31" s="229"/>
      <c r="V31" s="229"/>
      <c r="W31" s="230"/>
      <c r="X31" s="45">
        <v>0.13</v>
      </c>
      <c r="Y31" s="46" t="s">
        <v>52</v>
      </c>
      <c r="Z31" s="29"/>
      <c r="AA31" s="228" t="s">
        <v>59</v>
      </c>
      <c r="AB31" s="229"/>
      <c r="AC31" s="229"/>
      <c r="AD31" s="229"/>
      <c r="AE31" s="230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3" t="s">
        <v>62</v>
      </c>
      <c r="C32" s="244"/>
      <c r="D32" s="244"/>
      <c r="E32" s="244"/>
      <c r="F32" s="244"/>
      <c r="G32" s="41">
        <f>G31/1.2</f>
        <v>250.85</v>
      </c>
      <c r="H32" s="42" t="s">
        <v>50</v>
      </c>
      <c r="I32" s="29"/>
      <c r="J32" s="243" t="s">
        <v>62</v>
      </c>
      <c r="K32" s="244"/>
      <c r="L32" s="244"/>
      <c r="M32" s="244"/>
      <c r="N32" s="244"/>
      <c r="O32" s="41">
        <f>O31/1.2</f>
        <v>278.39999999999998</v>
      </c>
      <c r="P32" s="42" t="s">
        <v>50</v>
      </c>
      <c r="Q32" s="43"/>
      <c r="R32" s="44"/>
      <c r="S32" s="285"/>
      <c r="T32" s="285"/>
      <c r="U32" s="285"/>
      <c r="V32" s="285"/>
      <c r="W32" s="285"/>
      <c r="X32" s="48"/>
      <c r="Y32" s="29"/>
      <c r="Z32" s="29"/>
      <c r="AA32" s="285"/>
      <c r="AB32" s="285"/>
      <c r="AC32" s="285"/>
      <c r="AD32" s="285"/>
      <c r="AE32" s="285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22" t="s">
        <v>78</v>
      </c>
      <c r="AQ32" s="223"/>
      <c r="AR32" s="223"/>
      <c r="AS32" s="223"/>
      <c r="AT32" s="224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5" t="s">
        <v>64</v>
      </c>
      <c r="C33" s="246"/>
      <c r="D33" s="246"/>
      <c r="E33" s="246"/>
      <c r="F33" s="246"/>
      <c r="G33" s="51">
        <f>G29*0.76</f>
        <v>262.95999999999998</v>
      </c>
      <c r="H33" s="52" t="s">
        <v>50</v>
      </c>
      <c r="I33" s="29"/>
      <c r="J33" s="245" t="s">
        <v>64</v>
      </c>
      <c r="K33" s="246"/>
      <c r="L33" s="246"/>
      <c r="M33" s="246"/>
      <c r="N33" s="246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3"/>
      <c r="AN33" s="293"/>
      <c r="AO33" s="53"/>
      <c r="AP33" s="279" t="s">
        <v>39</v>
      </c>
      <c r="AQ33" s="280"/>
      <c r="AR33" s="280"/>
      <c r="AS33" s="280"/>
      <c r="AT33" s="281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7" t="s">
        <v>66</v>
      </c>
      <c r="C34" s="248"/>
      <c r="D34" s="248"/>
      <c r="E34" s="248"/>
      <c r="F34" s="248"/>
      <c r="G34" s="56">
        <f>G33/1.2</f>
        <v>219.13333333333333</v>
      </c>
      <c r="H34" s="57" t="s">
        <v>50</v>
      </c>
      <c r="I34" s="29"/>
      <c r="J34" s="247" t="s">
        <v>66</v>
      </c>
      <c r="K34" s="248"/>
      <c r="L34" s="248"/>
      <c r="M34" s="248"/>
      <c r="N34" s="248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41" t="s">
        <v>41</v>
      </c>
      <c r="AQ34" s="242"/>
      <c r="AR34" s="242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8" t="s">
        <v>158</v>
      </c>
      <c r="C35" s="289"/>
      <c r="D35" s="289"/>
      <c r="E35" s="289"/>
      <c r="F35" s="289"/>
      <c r="G35" s="191">
        <f>G29*0.708</f>
        <v>244.96799999999999</v>
      </c>
      <c r="H35" s="190" t="s">
        <v>50</v>
      </c>
      <c r="I35" s="29"/>
      <c r="J35" s="288" t="s">
        <v>158</v>
      </c>
      <c r="K35" s="289"/>
      <c r="L35" s="289"/>
      <c r="M35" s="289"/>
      <c r="N35" s="289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41" t="s">
        <v>5</v>
      </c>
      <c r="AQ35" s="242"/>
      <c r="AR35" s="242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22" t="s">
        <v>79</v>
      </c>
      <c r="C36" s="223"/>
      <c r="D36" s="223"/>
      <c r="E36" s="223"/>
      <c r="F36" s="223"/>
      <c r="G36" s="223"/>
      <c r="H36" s="224"/>
      <c r="I36" s="11"/>
      <c r="J36" s="222" t="s">
        <v>80</v>
      </c>
      <c r="K36" s="223"/>
      <c r="L36" s="223"/>
      <c r="M36" s="223"/>
      <c r="N36" s="223"/>
      <c r="O36" s="223"/>
      <c r="P36" s="224"/>
      <c r="Q36" s="11"/>
      <c r="R36" s="12"/>
      <c r="S36" s="222" t="s">
        <v>79</v>
      </c>
      <c r="T36" s="223"/>
      <c r="U36" s="223"/>
      <c r="V36" s="223"/>
      <c r="W36" s="223"/>
      <c r="X36" s="223"/>
      <c r="Y36" s="224"/>
      <c r="Z36" s="11"/>
      <c r="AA36" s="222" t="s">
        <v>80</v>
      </c>
      <c r="AB36" s="223"/>
      <c r="AC36" s="223"/>
      <c r="AD36" s="223"/>
      <c r="AE36" s="223"/>
      <c r="AF36" s="223"/>
      <c r="AG36" s="224"/>
      <c r="AH36" s="13"/>
      <c r="AI36" s="12"/>
      <c r="AJ36" s="29"/>
      <c r="AK36" s="29"/>
      <c r="AL36" s="29"/>
      <c r="AM36" s="29"/>
      <c r="AN36" s="29"/>
      <c r="AO36" s="11"/>
      <c r="AP36" s="241" t="s">
        <v>74</v>
      </c>
      <c r="AQ36" s="242"/>
      <c r="AR36" s="242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39" t="s">
        <v>46</v>
      </c>
      <c r="C37" s="240"/>
      <c r="D37" s="240"/>
      <c r="E37" s="240"/>
      <c r="F37" s="240"/>
      <c r="G37" s="30">
        <v>185</v>
      </c>
      <c r="H37" s="31" t="s">
        <v>47</v>
      </c>
      <c r="I37" s="29"/>
      <c r="J37" s="239" t="s">
        <v>46</v>
      </c>
      <c r="K37" s="240"/>
      <c r="L37" s="240"/>
      <c r="M37" s="240"/>
      <c r="N37" s="240"/>
      <c r="O37" s="30">
        <v>240</v>
      </c>
      <c r="P37" s="31" t="s">
        <v>47</v>
      </c>
      <c r="Q37" s="29"/>
      <c r="R37" s="32"/>
      <c r="S37" s="225" t="s">
        <v>46</v>
      </c>
      <c r="T37" s="226"/>
      <c r="U37" s="226"/>
      <c r="V37" s="226"/>
      <c r="W37" s="227"/>
      <c r="X37" s="30">
        <v>185</v>
      </c>
      <c r="Y37" s="31" t="s">
        <v>47</v>
      </c>
      <c r="Z37" s="29"/>
      <c r="AA37" s="225" t="s">
        <v>46</v>
      </c>
      <c r="AB37" s="226"/>
      <c r="AC37" s="226"/>
      <c r="AD37" s="226"/>
      <c r="AE37" s="227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90" t="s">
        <v>75</v>
      </c>
      <c r="AQ37" s="291"/>
      <c r="AR37" s="292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41" t="s">
        <v>49</v>
      </c>
      <c r="C38" s="242"/>
      <c r="D38" s="242"/>
      <c r="E38" s="242"/>
      <c r="F38" s="242"/>
      <c r="G38" s="34">
        <v>429</v>
      </c>
      <c r="H38" s="27" t="s">
        <v>50</v>
      </c>
      <c r="I38" s="29"/>
      <c r="J38" s="241" t="s">
        <v>49</v>
      </c>
      <c r="K38" s="242"/>
      <c r="L38" s="242"/>
      <c r="M38" s="242"/>
      <c r="N38" s="242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41" t="s">
        <v>60</v>
      </c>
      <c r="AQ38" s="242"/>
      <c r="AR38" s="242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41" t="s">
        <v>55</v>
      </c>
      <c r="C39" s="242"/>
      <c r="D39" s="242"/>
      <c r="E39" s="242"/>
      <c r="F39" s="242"/>
      <c r="G39" s="38">
        <f>G38/1.2</f>
        <v>357.5</v>
      </c>
      <c r="H39" s="27" t="s">
        <v>50</v>
      </c>
      <c r="I39" s="29"/>
      <c r="J39" s="241" t="s">
        <v>55</v>
      </c>
      <c r="K39" s="242"/>
      <c r="L39" s="242"/>
      <c r="M39" s="242"/>
      <c r="N39" s="242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41" t="s">
        <v>19</v>
      </c>
      <c r="AQ39" s="242"/>
      <c r="AR39" s="242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3" t="s">
        <v>58</v>
      </c>
      <c r="C40" s="244"/>
      <c r="D40" s="244"/>
      <c r="E40" s="244"/>
      <c r="F40" s="244"/>
      <c r="G40" s="41">
        <f>G38*0.87</f>
        <v>373.23</v>
      </c>
      <c r="H40" s="42" t="s">
        <v>50</v>
      </c>
      <c r="I40" s="29"/>
      <c r="J40" s="243" t="s">
        <v>58</v>
      </c>
      <c r="K40" s="244"/>
      <c r="L40" s="244"/>
      <c r="M40" s="244"/>
      <c r="N40" s="244"/>
      <c r="O40" s="41">
        <f>O38*0.87</f>
        <v>435</v>
      </c>
      <c r="P40" s="42" t="s">
        <v>50</v>
      </c>
      <c r="Q40" s="43"/>
      <c r="R40" s="44"/>
      <c r="S40" s="228" t="s">
        <v>59</v>
      </c>
      <c r="T40" s="229"/>
      <c r="U40" s="229"/>
      <c r="V40" s="229"/>
      <c r="W40" s="230"/>
      <c r="X40" s="45">
        <v>0.122</v>
      </c>
      <c r="Y40" s="46" t="s">
        <v>52</v>
      </c>
      <c r="Z40" s="29"/>
      <c r="AA40" s="228" t="s">
        <v>59</v>
      </c>
      <c r="AB40" s="229"/>
      <c r="AC40" s="229"/>
      <c r="AD40" s="229"/>
      <c r="AE40" s="230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41" t="s">
        <v>65</v>
      </c>
      <c r="AQ40" s="242"/>
      <c r="AR40" s="242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3" t="s">
        <v>62</v>
      </c>
      <c r="C41" s="244"/>
      <c r="D41" s="244"/>
      <c r="E41" s="244"/>
      <c r="F41" s="244"/>
      <c r="G41" s="41">
        <f>G40/1.2</f>
        <v>311.02500000000003</v>
      </c>
      <c r="H41" s="42" t="s">
        <v>50</v>
      </c>
      <c r="I41" s="29"/>
      <c r="J41" s="243" t="s">
        <v>62</v>
      </c>
      <c r="K41" s="244"/>
      <c r="L41" s="244"/>
      <c r="M41" s="244"/>
      <c r="N41" s="244"/>
      <c r="O41" s="41">
        <f>O40/1.2</f>
        <v>362.5</v>
      </c>
      <c r="P41" s="42" t="s">
        <v>50</v>
      </c>
      <c r="Q41" s="43"/>
      <c r="R41" s="44"/>
      <c r="S41" s="285"/>
      <c r="T41" s="285"/>
      <c r="U41" s="285"/>
      <c r="V41" s="285"/>
      <c r="W41" s="285"/>
      <c r="X41" s="48"/>
      <c r="Y41" s="29"/>
      <c r="Z41" s="29"/>
      <c r="AA41" s="285"/>
      <c r="AB41" s="285"/>
      <c r="AC41" s="285"/>
      <c r="AD41" s="285"/>
      <c r="AE41" s="285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6" t="s">
        <v>67</v>
      </c>
      <c r="AQ41" s="287"/>
      <c r="AR41" s="287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5" t="s">
        <v>64</v>
      </c>
      <c r="C42" s="246"/>
      <c r="D42" s="246"/>
      <c r="E42" s="246"/>
      <c r="F42" s="246"/>
      <c r="G42" s="51">
        <f>G38*0.76</f>
        <v>326.04000000000002</v>
      </c>
      <c r="H42" s="52" t="s">
        <v>50</v>
      </c>
      <c r="I42" s="29"/>
      <c r="J42" s="245" t="s">
        <v>64</v>
      </c>
      <c r="K42" s="246"/>
      <c r="L42" s="246"/>
      <c r="M42" s="246"/>
      <c r="N42" s="246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7" t="s">
        <v>66</v>
      </c>
      <c r="C43" s="248"/>
      <c r="D43" s="248"/>
      <c r="E43" s="248"/>
      <c r="F43" s="248"/>
      <c r="G43" s="56">
        <f>G42/1.2</f>
        <v>271.70000000000005</v>
      </c>
      <c r="H43" s="57" t="s">
        <v>50</v>
      </c>
      <c r="I43" s="29"/>
      <c r="J43" s="247" t="s">
        <v>66</v>
      </c>
      <c r="K43" s="248"/>
      <c r="L43" s="248"/>
      <c r="M43" s="248"/>
      <c r="N43" s="248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4" t="s">
        <v>81</v>
      </c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6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8" t="s">
        <v>158</v>
      </c>
      <c r="C44" s="289"/>
      <c r="D44" s="289"/>
      <c r="E44" s="289"/>
      <c r="F44" s="289"/>
      <c r="G44" s="191">
        <f>G38*0.708</f>
        <v>303.73199999999997</v>
      </c>
      <c r="H44" s="190" t="s">
        <v>50</v>
      </c>
      <c r="I44" s="29"/>
      <c r="J44" s="288" t="s">
        <v>158</v>
      </c>
      <c r="K44" s="289"/>
      <c r="L44" s="289"/>
      <c r="M44" s="289"/>
      <c r="N44" s="289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7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9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22" t="s">
        <v>82</v>
      </c>
      <c r="C45" s="223"/>
      <c r="D45" s="223"/>
      <c r="E45" s="223"/>
      <c r="F45" s="223"/>
      <c r="G45" s="223"/>
      <c r="H45" s="224"/>
      <c r="I45" s="11"/>
      <c r="J45" s="222" t="s">
        <v>83</v>
      </c>
      <c r="K45" s="223"/>
      <c r="L45" s="223"/>
      <c r="M45" s="223"/>
      <c r="N45" s="223"/>
      <c r="O45" s="223"/>
      <c r="P45" s="224"/>
      <c r="Q45" s="11"/>
      <c r="R45" s="12"/>
      <c r="S45" s="222" t="s">
        <v>82</v>
      </c>
      <c r="T45" s="223"/>
      <c r="U45" s="223"/>
      <c r="V45" s="223"/>
      <c r="W45" s="223"/>
      <c r="X45" s="223"/>
      <c r="Y45" s="224"/>
      <c r="Z45" s="11"/>
      <c r="AA45" s="222" t="s">
        <v>83</v>
      </c>
      <c r="AB45" s="223"/>
      <c r="AC45" s="223"/>
      <c r="AD45" s="223"/>
      <c r="AE45" s="223"/>
      <c r="AF45" s="223"/>
      <c r="AG45" s="224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39" t="s">
        <v>46</v>
      </c>
      <c r="C46" s="240"/>
      <c r="D46" s="240"/>
      <c r="E46" s="240"/>
      <c r="F46" s="240"/>
      <c r="G46" s="30">
        <v>300</v>
      </c>
      <c r="H46" s="31" t="s">
        <v>47</v>
      </c>
      <c r="I46" s="29"/>
      <c r="J46" s="239" t="s">
        <v>46</v>
      </c>
      <c r="K46" s="240"/>
      <c r="L46" s="240"/>
      <c r="M46" s="240"/>
      <c r="N46" s="240"/>
      <c r="O46" s="30">
        <v>400</v>
      </c>
      <c r="P46" s="31" t="s">
        <v>47</v>
      </c>
      <c r="Q46" s="29"/>
      <c r="R46" s="32"/>
      <c r="S46" s="225" t="s">
        <v>46</v>
      </c>
      <c r="T46" s="226"/>
      <c r="U46" s="226"/>
      <c r="V46" s="226"/>
      <c r="W46" s="227"/>
      <c r="X46" s="30">
        <v>300</v>
      </c>
      <c r="Y46" s="31" t="s">
        <v>47</v>
      </c>
      <c r="Z46" s="29"/>
      <c r="AA46" s="225" t="s">
        <v>46</v>
      </c>
      <c r="AB46" s="226"/>
      <c r="AC46" s="226"/>
      <c r="AD46" s="226"/>
      <c r="AE46" s="227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41" t="s">
        <v>49</v>
      </c>
      <c r="C47" s="242"/>
      <c r="D47" s="242"/>
      <c r="E47" s="242"/>
      <c r="F47" s="242"/>
      <c r="G47" s="34">
        <v>545</v>
      </c>
      <c r="H47" s="27" t="s">
        <v>50</v>
      </c>
      <c r="I47" s="29"/>
      <c r="J47" s="241" t="s">
        <v>49</v>
      </c>
      <c r="K47" s="242"/>
      <c r="L47" s="242"/>
      <c r="M47" s="242"/>
      <c r="N47" s="242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41" t="s">
        <v>55</v>
      </c>
      <c r="C48" s="242"/>
      <c r="D48" s="242"/>
      <c r="E48" s="242"/>
      <c r="F48" s="242"/>
      <c r="G48" s="38">
        <f>G47/1.2</f>
        <v>454.16666666666669</v>
      </c>
      <c r="H48" s="27" t="s">
        <v>50</v>
      </c>
      <c r="I48" s="29"/>
      <c r="J48" s="241" t="s">
        <v>55</v>
      </c>
      <c r="K48" s="242"/>
      <c r="L48" s="242"/>
      <c r="M48" s="242"/>
      <c r="N48" s="242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3" t="s">
        <v>58</v>
      </c>
      <c r="C49" s="244"/>
      <c r="D49" s="244"/>
      <c r="E49" s="244"/>
      <c r="F49" s="244"/>
      <c r="G49" s="41">
        <f>G47*0.87</f>
        <v>474.15</v>
      </c>
      <c r="H49" s="42" t="s">
        <v>50</v>
      </c>
      <c r="I49" s="29"/>
      <c r="J49" s="243" t="s">
        <v>58</v>
      </c>
      <c r="K49" s="244"/>
      <c r="L49" s="244"/>
      <c r="M49" s="244"/>
      <c r="N49" s="244"/>
      <c r="O49" s="41">
        <f>O47*0.87</f>
        <v>522</v>
      </c>
      <c r="P49" s="42" t="s">
        <v>50</v>
      </c>
      <c r="Q49" s="43"/>
      <c r="R49" s="44"/>
      <c r="S49" s="228" t="s">
        <v>59</v>
      </c>
      <c r="T49" s="229"/>
      <c r="U49" s="229"/>
      <c r="V49" s="229"/>
      <c r="W49" s="230"/>
      <c r="X49" s="45">
        <v>0.11700000000000001</v>
      </c>
      <c r="Y49" s="46" t="s">
        <v>52</v>
      </c>
      <c r="Z49" s="29"/>
      <c r="AA49" s="228" t="s">
        <v>59</v>
      </c>
      <c r="AB49" s="229"/>
      <c r="AC49" s="229"/>
      <c r="AD49" s="229"/>
      <c r="AE49" s="230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3" t="s">
        <v>62</v>
      </c>
      <c r="C50" s="244"/>
      <c r="D50" s="244"/>
      <c r="E50" s="244"/>
      <c r="F50" s="244"/>
      <c r="G50" s="41">
        <f>G49/1.2</f>
        <v>395.125</v>
      </c>
      <c r="H50" s="42" t="s">
        <v>50</v>
      </c>
      <c r="I50" s="29"/>
      <c r="J50" s="243" t="s">
        <v>62</v>
      </c>
      <c r="K50" s="244"/>
      <c r="L50" s="244"/>
      <c r="M50" s="244"/>
      <c r="N50" s="244"/>
      <c r="O50" s="41">
        <f>O49/1.2</f>
        <v>435</v>
      </c>
      <c r="P50" s="42" t="s">
        <v>50</v>
      </c>
      <c r="Q50" s="43"/>
      <c r="R50" s="44"/>
      <c r="S50" s="285"/>
      <c r="T50" s="285"/>
      <c r="U50" s="285"/>
      <c r="V50" s="285"/>
      <c r="W50" s="285"/>
      <c r="X50" s="48"/>
      <c r="Y50" s="29"/>
      <c r="Z50" s="29"/>
      <c r="AA50" s="285"/>
      <c r="AB50" s="285"/>
      <c r="AC50" s="285"/>
      <c r="AD50" s="285"/>
      <c r="AE50" s="285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5" t="s">
        <v>64</v>
      </c>
      <c r="C51" s="246"/>
      <c r="D51" s="246"/>
      <c r="E51" s="246"/>
      <c r="F51" s="246"/>
      <c r="G51" s="51">
        <f>G47*0.76</f>
        <v>414.2</v>
      </c>
      <c r="H51" s="52" t="s">
        <v>50</v>
      </c>
      <c r="I51" s="29"/>
      <c r="J51" s="245" t="s">
        <v>64</v>
      </c>
      <c r="K51" s="246"/>
      <c r="L51" s="246"/>
      <c r="M51" s="246"/>
      <c r="N51" s="246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7" t="s">
        <v>66</v>
      </c>
      <c r="C52" s="248"/>
      <c r="D52" s="248"/>
      <c r="E52" s="248"/>
      <c r="F52" s="248"/>
      <c r="G52" s="56">
        <f>G51/1.2</f>
        <v>345.16666666666669</v>
      </c>
      <c r="H52" s="57" t="s">
        <v>50</v>
      </c>
      <c r="I52" s="69"/>
      <c r="J52" s="247" t="s">
        <v>66</v>
      </c>
      <c r="K52" s="248"/>
      <c r="L52" s="248"/>
      <c r="M52" s="248"/>
      <c r="N52" s="248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8" t="s">
        <v>158</v>
      </c>
      <c r="C53" s="289"/>
      <c r="D53" s="289"/>
      <c r="E53" s="289"/>
      <c r="F53" s="289"/>
      <c r="G53" s="191">
        <f>G47*0.708</f>
        <v>385.85999999999996</v>
      </c>
      <c r="H53" s="190" t="s">
        <v>50</v>
      </c>
      <c r="J53" s="288" t="s">
        <v>158</v>
      </c>
      <c r="K53" s="289"/>
      <c r="L53" s="289"/>
      <c r="M53" s="289"/>
      <c r="N53" s="289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3" t="s">
        <v>138</v>
      </c>
      <c r="C55" s="214"/>
      <c r="D55" s="214"/>
      <c r="E55" s="214"/>
      <c r="F55" s="214"/>
      <c r="G55" s="214"/>
      <c r="H55" s="215"/>
      <c r="J55" s="222" t="s">
        <v>139</v>
      </c>
      <c r="K55" s="223"/>
      <c r="L55" s="223"/>
      <c r="M55" s="223"/>
      <c r="N55" s="223"/>
      <c r="O55" s="223"/>
      <c r="P55" s="224"/>
      <c r="S55" s="213" t="s">
        <v>138</v>
      </c>
      <c r="T55" s="214"/>
      <c r="U55" s="214"/>
      <c r="V55" s="214"/>
      <c r="W55" s="214"/>
      <c r="X55" s="214"/>
      <c r="Y55" s="215"/>
      <c r="AA55" s="222" t="s">
        <v>139</v>
      </c>
      <c r="AB55" s="223"/>
      <c r="AC55" s="223"/>
      <c r="AD55" s="223"/>
      <c r="AE55" s="223"/>
      <c r="AF55" s="223"/>
      <c r="AG55" s="224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31" t="s">
        <v>46</v>
      </c>
      <c r="C56" s="232"/>
      <c r="D56" s="232"/>
      <c r="E56" s="232"/>
      <c r="F56" s="232"/>
      <c r="G56" s="134">
        <v>400</v>
      </c>
      <c r="H56" s="135" t="s">
        <v>47</v>
      </c>
      <c r="J56" s="239" t="s">
        <v>46</v>
      </c>
      <c r="K56" s="240"/>
      <c r="L56" s="240"/>
      <c r="M56" s="240"/>
      <c r="N56" s="240"/>
      <c r="O56" s="30">
        <v>630</v>
      </c>
      <c r="P56" s="31" t="s">
        <v>47</v>
      </c>
      <c r="S56" s="216" t="s">
        <v>46</v>
      </c>
      <c r="T56" s="217"/>
      <c r="U56" s="217"/>
      <c r="V56" s="217"/>
      <c r="W56" s="218"/>
      <c r="X56" s="134">
        <v>500</v>
      </c>
      <c r="Y56" s="135" t="s">
        <v>47</v>
      </c>
      <c r="AA56" s="225" t="s">
        <v>46</v>
      </c>
      <c r="AB56" s="226"/>
      <c r="AC56" s="226"/>
      <c r="AD56" s="226"/>
      <c r="AE56" s="227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3" t="s">
        <v>49</v>
      </c>
      <c r="C57" s="234"/>
      <c r="D57" s="234"/>
      <c r="E57" s="234"/>
      <c r="F57" s="234"/>
      <c r="G57" s="144">
        <v>659</v>
      </c>
      <c r="H57" s="140" t="s">
        <v>50</v>
      </c>
      <c r="J57" s="241" t="s">
        <v>49</v>
      </c>
      <c r="K57" s="242"/>
      <c r="L57" s="242"/>
      <c r="M57" s="242"/>
      <c r="N57" s="242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3" t="s">
        <v>55</v>
      </c>
      <c r="C58" s="234"/>
      <c r="D58" s="234"/>
      <c r="E58" s="234"/>
      <c r="F58" s="234"/>
      <c r="G58" s="145">
        <f>G57/1.2</f>
        <v>549.16666666666674</v>
      </c>
      <c r="H58" s="140" t="s">
        <v>50</v>
      </c>
      <c r="J58" s="241" t="s">
        <v>55</v>
      </c>
      <c r="K58" s="242"/>
      <c r="L58" s="242"/>
      <c r="M58" s="242"/>
      <c r="N58" s="242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5" t="s">
        <v>58</v>
      </c>
      <c r="C59" s="236"/>
      <c r="D59" s="236"/>
      <c r="E59" s="236"/>
      <c r="F59" s="236"/>
      <c r="G59" s="146">
        <f>G57*0.87</f>
        <v>573.33000000000004</v>
      </c>
      <c r="H59" s="147" t="s">
        <v>50</v>
      </c>
      <c r="J59" s="243" t="s">
        <v>58</v>
      </c>
      <c r="K59" s="244"/>
      <c r="L59" s="244"/>
      <c r="M59" s="244"/>
      <c r="N59" s="244"/>
      <c r="O59" s="41">
        <f>O57*0.87</f>
        <v>627.27</v>
      </c>
      <c r="P59" s="42" t="s">
        <v>50</v>
      </c>
      <c r="S59" s="219" t="s">
        <v>59</v>
      </c>
      <c r="T59" s="220"/>
      <c r="U59" s="220"/>
      <c r="V59" s="220"/>
      <c r="W59" s="221"/>
      <c r="X59" s="142">
        <v>0.112</v>
      </c>
      <c r="Y59" s="143" t="s">
        <v>52</v>
      </c>
      <c r="AA59" s="228" t="s">
        <v>59</v>
      </c>
      <c r="AB59" s="229"/>
      <c r="AC59" s="229"/>
      <c r="AD59" s="229"/>
      <c r="AE59" s="230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5" t="s">
        <v>62</v>
      </c>
      <c r="C60" s="236"/>
      <c r="D60" s="236"/>
      <c r="E60" s="236"/>
      <c r="F60" s="236"/>
      <c r="G60" s="146">
        <f>G59/1.2</f>
        <v>477.77500000000003</v>
      </c>
      <c r="H60" s="147" t="s">
        <v>50</v>
      </c>
      <c r="J60" s="243" t="s">
        <v>62</v>
      </c>
      <c r="K60" s="244"/>
      <c r="L60" s="244"/>
      <c r="M60" s="244"/>
      <c r="N60" s="244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300" t="s">
        <v>64</v>
      </c>
      <c r="C61" s="301"/>
      <c r="D61" s="301"/>
      <c r="E61" s="301"/>
      <c r="F61" s="301"/>
      <c r="G61" s="148">
        <f>G57*0.76</f>
        <v>500.84000000000003</v>
      </c>
      <c r="H61" s="149" t="s">
        <v>50</v>
      </c>
      <c r="J61" s="245" t="s">
        <v>64</v>
      </c>
      <c r="K61" s="246"/>
      <c r="L61" s="246"/>
      <c r="M61" s="246"/>
      <c r="N61" s="246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7" t="s">
        <v>66</v>
      </c>
      <c r="C62" s="238"/>
      <c r="D62" s="238"/>
      <c r="E62" s="238"/>
      <c r="F62" s="238"/>
      <c r="G62" s="150">
        <f>G61/1.2</f>
        <v>417.36666666666673</v>
      </c>
      <c r="H62" s="151" t="s">
        <v>50</v>
      </c>
      <c r="J62" s="247" t="s">
        <v>66</v>
      </c>
      <c r="K62" s="248"/>
      <c r="L62" s="248"/>
      <c r="M62" s="248"/>
      <c r="N62" s="248"/>
      <c r="O62" s="56">
        <f>O61/1.2</f>
        <v>456.63333333333338</v>
      </c>
      <c r="P62" s="57" t="s">
        <v>50</v>
      </c>
    </row>
    <row r="63" spans="1:68" ht="15" customHeight="1" x14ac:dyDescent="0.25">
      <c r="B63" s="288" t="s">
        <v>158</v>
      </c>
      <c r="C63" s="289"/>
      <c r="D63" s="289"/>
      <c r="E63" s="289"/>
      <c r="F63" s="289"/>
      <c r="G63" s="191">
        <f>G57*0.708</f>
        <v>466.572</v>
      </c>
      <c r="H63" s="190" t="s">
        <v>50</v>
      </c>
      <c r="J63" s="288" t="s">
        <v>158</v>
      </c>
      <c r="K63" s="289"/>
      <c r="L63" s="289"/>
      <c r="M63" s="289"/>
      <c r="N63" s="289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2020-11-16T21:28:00Z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