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30\Documents\1 - Tarefas\01 - E&amp;P Competências\Curso\BI MASTER\Dissertação\"/>
    </mc:Choice>
  </mc:AlternateContent>
  <xr:revisionPtr revIDLastSave="0" documentId="13_ncr:1_{2737D8FF-B4B5-40AA-A465-392481308DD6}" xr6:coauthVersionLast="45" xr6:coauthVersionMax="45" xr10:uidLastSave="{00000000-0000-0000-0000-000000000000}"/>
  <bookViews>
    <workbookView xWindow="-1230" yWindow="-13620" windowWidth="21840" windowHeight="13140" xr2:uid="{00000000-000D-0000-FFFF-FFFF00000000}"/>
  </bookViews>
  <sheets>
    <sheet name="Calculo" sheetId="9" r:id="rId1"/>
    <sheet name="Avaliação" sheetId="1" state="hidden" r:id="rId2"/>
    <sheet name="Cabos" sheetId="3" r:id="rId3"/>
    <sheet name="Dados Típicos" sheetId="4" r:id="rId4"/>
  </sheets>
  <definedNames>
    <definedName name="_xlnm.Print_Area" localSheetId="3">'Dados Típicos'!$A$1:$BP$66</definedName>
    <definedName name="solver_adj" localSheetId="1" hidden="1">Avaliação!$A$3:$A$4</definedName>
    <definedName name="solver_adj" localSheetId="0" hidden="1">Calculo!$I$11:$J$11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Avaliação!$A$3</definedName>
    <definedName name="solver_lhs1" localSheetId="0" hidden="1">Calculo!$AF$11</definedName>
    <definedName name="solver_lhs10" localSheetId="1" hidden="1">Avaliação!$AG$4</definedName>
    <definedName name="solver_lhs2" localSheetId="1" hidden="1">Avaliação!$A$3</definedName>
    <definedName name="solver_lhs2" localSheetId="0" hidden="1">Calculo!$I$11</definedName>
    <definedName name="solver_lhs3" localSheetId="1" hidden="1">Avaliação!$A$4</definedName>
    <definedName name="solver_lhs3" localSheetId="0" hidden="1">Calculo!$I$11</definedName>
    <definedName name="solver_lhs4" localSheetId="1" hidden="1">Avaliação!$A$4</definedName>
    <definedName name="solver_lhs4" localSheetId="0" hidden="1">Calculo!$J$11</definedName>
    <definedName name="solver_lhs5" localSheetId="1" hidden="1">Avaliação!$AA$3</definedName>
    <definedName name="solver_lhs5" localSheetId="0" hidden="1">Calculo!$J$11</definedName>
    <definedName name="solver_lhs6" localSheetId="1" hidden="1">Avaliação!$AA$4</definedName>
    <definedName name="solver_lhs7" localSheetId="1" hidden="1">Avaliação!#REF!</definedName>
    <definedName name="solver_lhs8" localSheetId="1" hidden="1">Avaliação!#REF!</definedName>
    <definedName name="solver_lhs9" localSheetId="1" hidden="1">Avaliação!$AG$3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10</definedName>
    <definedName name="solver_num" localSheetId="0" hidden="1">5</definedName>
    <definedName name="solver_nwt" localSheetId="1" hidden="1">1</definedName>
    <definedName name="solver_nwt" localSheetId="0" hidden="1">1</definedName>
    <definedName name="solver_opt" localSheetId="1" hidden="1">Avaliação!$AC$4</definedName>
    <definedName name="solver_opt" localSheetId="0" hidden="1">Calculo!$AT$12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10" localSheetId="1" hidden="1">1</definedName>
    <definedName name="solver_rel2" localSheetId="1" hidden="1">3</definedName>
    <definedName name="solver_rel2" localSheetId="0" hidden="1">1</definedName>
    <definedName name="solver_rel3" localSheetId="1" hidden="1">1</definedName>
    <definedName name="solver_rel3" localSheetId="0" hidden="1">3</definedName>
    <definedName name="solver_rel4" localSheetId="1" hidden="1">3</definedName>
    <definedName name="solver_rel4" localSheetId="0" hidden="1">1</definedName>
    <definedName name="solver_rel5" localSheetId="1" hidden="1">1</definedName>
    <definedName name="solver_rel5" localSheetId="0" hidden="1">3</definedName>
    <definedName name="solver_rel6" localSheetId="1" hidden="1">1</definedName>
    <definedName name="solver_rel7" localSheetId="1" hidden="1">2</definedName>
    <definedName name="solver_rel8" localSheetId="1" hidden="1">1</definedName>
    <definedName name="solver_rel9" localSheetId="1" hidden="1">1</definedName>
    <definedName name="solver_rhs1" localSheetId="1" hidden="1">5000</definedName>
    <definedName name="solver_rhs1" localSheetId="0" hidden="1">27</definedName>
    <definedName name="solver_rhs10" localSheetId="1" hidden="1">100%</definedName>
    <definedName name="solver_rhs2" localSheetId="1" hidden="1">0</definedName>
    <definedName name="solver_rhs2" localSheetId="0" hidden="1">30</definedName>
    <definedName name="solver_rhs3" localSheetId="1" hidden="1">5000</definedName>
    <definedName name="solver_rhs3" localSheetId="0" hidden="1">0</definedName>
    <definedName name="solver_rhs4" localSheetId="1" hidden="1">0</definedName>
    <definedName name="solver_rhs4" localSheetId="0" hidden="1">10</definedName>
    <definedName name="solver_rhs5" localSheetId="1" hidden="1">110%</definedName>
    <definedName name="solver_rhs5" localSheetId="0" hidden="1">0</definedName>
    <definedName name="solver_rhs6" localSheetId="1" hidden="1">110%</definedName>
    <definedName name="solver_rhs7" localSheetId="1" hidden="1">6.6</definedName>
    <definedName name="solver_rhs8" localSheetId="1" hidden="1">6.6</definedName>
    <definedName name="solver_rhs9" localSheetId="1" hidden="1">100%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4" i="9" l="1"/>
  <c r="AW5" i="9"/>
  <c r="AW6" i="9"/>
  <c r="AW7" i="9"/>
  <c r="AW8" i="9"/>
  <c r="AW9" i="9"/>
  <c r="AW10" i="9"/>
  <c r="AT5" i="9" l="1"/>
  <c r="AT6" i="9"/>
  <c r="AT7" i="9"/>
  <c r="AT8" i="9"/>
  <c r="AT9" i="9"/>
  <c r="AT10" i="9"/>
  <c r="AT11" i="9"/>
  <c r="AT4" i="9"/>
  <c r="AU5" i="9"/>
  <c r="AJ4" i="9"/>
  <c r="K16" i="3"/>
  <c r="K13" i="3"/>
  <c r="AZ5" i="9"/>
  <c r="AZ6" i="9"/>
  <c r="AZ7" i="9"/>
  <c r="AZ8" i="9"/>
  <c r="AZ9" i="9"/>
  <c r="AZ10" i="9"/>
  <c r="AZ11" i="9"/>
  <c r="AY5" i="9"/>
  <c r="AY6" i="9"/>
  <c r="AY7" i="9"/>
  <c r="AY8" i="9"/>
  <c r="AY9" i="9"/>
  <c r="AY10" i="9"/>
  <c r="AY11" i="9"/>
  <c r="AU11" i="9"/>
  <c r="AW11" i="9" s="1"/>
  <c r="AZ4" i="9"/>
  <c r="AY4" i="9"/>
  <c r="AY2" i="9"/>
  <c r="AU8" i="9" l="1"/>
  <c r="AV8" i="9" s="1"/>
  <c r="AU7" i="9"/>
  <c r="AX7" i="9" s="1"/>
  <c r="AU4" i="9"/>
  <c r="AV4" i="9" s="1"/>
  <c r="AT12" i="9"/>
  <c r="AV11" i="9"/>
  <c r="AX11" i="9"/>
  <c r="AV5" i="9"/>
  <c r="AX5" i="9"/>
  <c r="AU10" i="9"/>
  <c r="AU6" i="9"/>
  <c r="AX8" i="9"/>
  <c r="BA8" i="9" s="1"/>
  <c r="BB8" i="9" s="1"/>
  <c r="AU9" i="9"/>
  <c r="AX4" i="9"/>
  <c r="BA4" i="9" s="1"/>
  <c r="BB4" i="9" s="1"/>
  <c r="C32" i="3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BA5" i="9" l="1"/>
  <c r="BB5" i="9" s="1"/>
  <c r="BA11" i="9"/>
  <c r="BB11" i="9" s="1"/>
  <c r="AV7" i="9"/>
  <c r="BA7" i="9" s="1"/>
  <c r="BB7" i="9" s="1"/>
  <c r="AV6" i="9"/>
  <c r="AX6" i="9"/>
  <c r="AV10" i="9"/>
  <c r="AX10" i="9"/>
  <c r="AV9" i="9"/>
  <c r="AX9" i="9"/>
  <c r="K5" i="9"/>
  <c r="K6" i="9"/>
  <c r="K8" i="9"/>
  <c r="K10" i="9"/>
  <c r="K4" i="9"/>
  <c r="K9" i="9"/>
  <c r="K7" i="9"/>
  <c r="O17" i="4"/>
  <c r="G17" i="4"/>
  <c r="O26" i="4"/>
  <c r="G26" i="4"/>
  <c r="O35" i="4"/>
  <c r="G35" i="4"/>
  <c r="O44" i="4"/>
  <c r="G44" i="4"/>
  <c r="O53" i="4"/>
  <c r="G53" i="4"/>
  <c r="G63" i="4"/>
  <c r="O63" i="4"/>
  <c r="BA9" i="9" l="1"/>
  <c r="BB9" i="9" s="1"/>
  <c r="BA6" i="9"/>
  <c r="BB6" i="9" s="1"/>
  <c r="BA10" i="9"/>
  <c r="BB10" i="9" s="1"/>
  <c r="T11" i="9"/>
  <c r="S11" i="9"/>
  <c r="P11" i="9"/>
  <c r="A11" i="9"/>
  <c r="R11" i="9" s="1"/>
  <c r="AO10" i="9"/>
  <c r="T10" i="9"/>
  <c r="S10" i="9"/>
  <c r="P10" i="9"/>
  <c r="F10" i="9"/>
  <c r="A10" i="9"/>
  <c r="R10" i="9" s="1"/>
  <c r="AO9" i="9"/>
  <c r="T9" i="9"/>
  <c r="S9" i="9"/>
  <c r="P9" i="9"/>
  <c r="F9" i="9"/>
  <c r="A9" i="9"/>
  <c r="R9" i="9" s="1"/>
  <c r="AO8" i="9"/>
  <c r="T8" i="9"/>
  <c r="S8" i="9"/>
  <c r="P8" i="9"/>
  <c r="F8" i="9"/>
  <c r="A8" i="9"/>
  <c r="R8" i="9" s="1"/>
  <c r="AO7" i="9"/>
  <c r="T7" i="9"/>
  <c r="S7" i="9"/>
  <c r="P7" i="9"/>
  <c r="F7" i="9"/>
  <c r="A7" i="9"/>
  <c r="R7" i="9" s="1"/>
  <c r="AO6" i="9"/>
  <c r="T6" i="9"/>
  <c r="S6" i="9"/>
  <c r="P6" i="9"/>
  <c r="F6" i="9"/>
  <c r="A6" i="9"/>
  <c r="R6" i="9" s="1"/>
  <c r="AO5" i="9"/>
  <c r="T5" i="9"/>
  <c r="S5" i="9"/>
  <c r="P5" i="9"/>
  <c r="F5" i="9"/>
  <c r="A5" i="9"/>
  <c r="R5" i="9" s="1"/>
  <c r="BB12" i="9" l="1"/>
  <c r="Z5" i="9"/>
  <c r="AL5" i="9" s="1"/>
  <c r="Y5" i="9"/>
  <c r="AA5" i="9" s="1"/>
  <c r="U11" i="9"/>
  <c r="V9" i="9"/>
  <c r="U9" i="9"/>
  <c r="V10" i="9"/>
  <c r="U10" i="9"/>
  <c r="V11" i="9"/>
  <c r="V6" i="9"/>
  <c r="U6" i="9"/>
  <c r="V8" i="9"/>
  <c r="U8" i="9"/>
  <c r="U5" i="9"/>
  <c r="V5" i="9"/>
  <c r="U7" i="9"/>
  <c r="V7" i="9"/>
  <c r="Y6" i="9"/>
  <c r="AA6" i="9" s="1"/>
  <c r="AJ5" i="9" l="1"/>
  <c r="Z6" i="9"/>
  <c r="X10" i="9"/>
  <c r="W10" i="9"/>
  <c r="X11" i="9"/>
  <c r="W11" i="9"/>
  <c r="W9" i="9"/>
  <c r="X9" i="9"/>
  <c r="W8" i="9"/>
  <c r="X8" i="9"/>
  <c r="W7" i="9"/>
  <c r="X7" i="9"/>
  <c r="X5" i="9"/>
  <c r="W5" i="9"/>
  <c r="X6" i="9"/>
  <c r="W6" i="9"/>
  <c r="AL6" i="9" l="1"/>
  <c r="AJ6" i="9"/>
  <c r="Z7" i="9"/>
  <c r="Y7" i="9"/>
  <c r="AA7" i="9" s="1"/>
  <c r="AB6" i="9"/>
  <c r="AC6" i="9" s="1"/>
  <c r="AE6" i="9" s="1"/>
  <c r="AF6" i="9" s="1"/>
  <c r="AB5" i="9"/>
  <c r="AC5" i="9" s="1"/>
  <c r="AE5" i="9" s="1"/>
  <c r="AF5" i="9" s="1"/>
  <c r="AD6" i="9" l="1"/>
  <c r="AL7" i="9"/>
  <c r="AJ7" i="9"/>
  <c r="AD5" i="9"/>
  <c r="AS5" i="9" s="1"/>
  <c r="AB7" i="9"/>
  <c r="AC7" i="9" s="1"/>
  <c r="Z8" i="9"/>
  <c r="Y8" i="9"/>
  <c r="AA8" i="9" s="1"/>
  <c r="AI6" i="9" l="1"/>
  <c r="AS6" i="9"/>
  <c r="AI5" i="9"/>
  <c r="AD7" i="9"/>
  <c r="AS7" i="9" s="1"/>
  <c r="AE7" i="9"/>
  <c r="AF7" i="9" s="1"/>
  <c r="Z9" i="9"/>
  <c r="Y9" i="9"/>
  <c r="AA9" i="9" s="1"/>
  <c r="AL8" i="9"/>
  <c r="AJ8" i="9"/>
  <c r="AB8" i="9"/>
  <c r="AC8" i="9" s="1"/>
  <c r="AP5" i="9" l="1"/>
  <c r="AK5" i="9"/>
  <c r="AP6" i="9"/>
  <c r="AK6" i="9"/>
  <c r="Y10" i="9"/>
  <c r="AA10" i="9" s="1"/>
  <c r="Z10" i="9"/>
  <c r="AL9" i="9"/>
  <c r="AJ9" i="9"/>
  <c r="AB9" i="9"/>
  <c r="AC9" i="9" s="1"/>
  <c r="AE8" i="9"/>
  <c r="AF8" i="9" s="1"/>
  <c r="AD8" i="9"/>
  <c r="AS8" i="9" s="1"/>
  <c r="AI7" i="9"/>
  <c r="AP7" i="9" l="1"/>
  <c r="AK7" i="9"/>
  <c r="AI8" i="9"/>
  <c r="AL10" i="9"/>
  <c r="AJ10" i="9"/>
  <c r="AB10" i="9"/>
  <c r="AC10" i="9" s="1"/>
  <c r="AD9" i="9"/>
  <c r="AS9" i="9" s="1"/>
  <c r="AE9" i="9"/>
  <c r="AF9" i="9" s="1"/>
  <c r="AP8" i="9" l="1"/>
  <c r="AK8" i="9"/>
  <c r="AI9" i="9"/>
  <c r="AD10" i="9"/>
  <c r="AS10" i="9" s="1"/>
  <c r="AE10" i="9"/>
  <c r="AF10" i="9" s="1"/>
  <c r="AP9" i="9" l="1"/>
  <c r="AK9" i="9"/>
  <c r="AI10" i="9"/>
  <c r="AP10" i="9" l="1"/>
  <c r="AK10" i="9"/>
  <c r="AL60" i="4" l="1"/>
  <c r="AL59" i="4"/>
  <c r="AL58" i="4"/>
  <c r="AL57" i="4"/>
  <c r="AK56" i="4" l="1"/>
  <c r="AK57" i="4"/>
  <c r="AK58" i="4"/>
  <c r="AK59" i="4"/>
  <c r="AO60" i="4"/>
  <c r="AM60" i="4"/>
  <c r="AL55" i="4"/>
  <c r="AK55" i="4" s="1"/>
  <c r="AL56" i="4"/>
  <c r="C19" i="3"/>
  <c r="AL54" i="4"/>
  <c r="AM54" i="4"/>
  <c r="AM55" i="4"/>
  <c r="AM56" i="4"/>
  <c r="AM57" i="4"/>
  <c r="AM58" i="4"/>
  <c r="AM59" i="4"/>
  <c r="C20" i="3"/>
  <c r="S60" i="4"/>
  <c r="AK60" i="4" l="1"/>
  <c r="AK54" i="4"/>
  <c r="P4" i="9"/>
  <c r="C31" i="3"/>
  <c r="Q11" i="9" s="1"/>
  <c r="C9" i="3"/>
  <c r="F4" i="9"/>
  <c r="AO4" i="9" l="1"/>
  <c r="Z4" i="9"/>
  <c r="Y4" i="9"/>
  <c r="AA4" i="9" s="1"/>
  <c r="A4" i="9"/>
  <c r="AL4" i="9" l="1"/>
  <c r="AB16" i="4" l="1"/>
  <c r="B62" i="3"/>
  <c r="B63" i="3"/>
  <c r="B64" i="3"/>
  <c r="B61" i="3"/>
  <c r="D61" i="3"/>
  <c r="E61" i="3"/>
  <c r="F61" i="3"/>
  <c r="D62" i="3"/>
  <c r="E62" i="3"/>
  <c r="F62" i="3"/>
  <c r="D63" i="3"/>
  <c r="E63" i="3"/>
  <c r="F63" i="3"/>
  <c r="D64" i="3"/>
  <c r="E64" i="3"/>
  <c r="F64" i="3"/>
  <c r="C61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F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F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F85" i="3"/>
  <c r="C71" i="3"/>
  <c r="C78" i="3"/>
  <c r="C85" i="3"/>
  <c r="V16" i="4"/>
  <c r="X16" i="4" s="1"/>
  <c r="Y16" i="4" s="1"/>
  <c r="F51" i="3"/>
  <c r="F50" i="3"/>
  <c r="F49" i="3"/>
  <c r="E51" i="3"/>
  <c r="E50" i="3"/>
  <c r="E49" i="3"/>
  <c r="F59" i="3"/>
  <c r="E59" i="3"/>
  <c r="O61" i="4"/>
  <c r="O62" i="4" s="1"/>
  <c r="O59" i="4"/>
  <c r="O60" i="4" s="1"/>
  <c r="O58" i="4"/>
  <c r="G61" i="4"/>
  <c r="G62" i="4" s="1"/>
  <c r="G59" i="4"/>
  <c r="G60" i="4" s="1"/>
  <c r="G58" i="4"/>
  <c r="V4" i="1"/>
  <c r="F4" i="1"/>
  <c r="U4" i="1" s="1"/>
  <c r="W4" i="1" s="1"/>
  <c r="K59" i="3" l="1"/>
  <c r="H59" i="3"/>
  <c r="J59" i="3"/>
  <c r="I59" i="3"/>
  <c r="K51" i="3"/>
  <c r="H51" i="3"/>
  <c r="J51" i="3"/>
  <c r="I51" i="3"/>
  <c r="L51" i="3"/>
  <c r="M51" i="3"/>
  <c r="M49" i="3"/>
  <c r="L49" i="3"/>
  <c r="I50" i="3"/>
  <c r="J50" i="3"/>
  <c r="H50" i="3"/>
  <c r="K50" i="3"/>
  <c r="Q59" i="3"/>
  <c r="L59" i="3"/>
  <c r="M59" i="3"/>
  <c r="K49" i="3"/>
  <c r="H49" i="3"/>
  <c r="J49" i="3"/>
  <c r="I49" i="3"/>
  <c r="O50" i="3"/>
  <c r="M50" i="3"/>
  <c r="L50" i="3"/>
  <c r="O59" i="3"/>
  <c r="N59" i="3"/>
  <c r="P50" i="3"/>
  <c r="N50" i="3"/>
  <c r="Q50" i="3"/>
  <c r="P49" i="3"/>
  <c r="Q49" i="3"/>
  <c r="O49" i="3"/>
  <c r="N49" i="3"/>
  <c r="D60" i="3"/>
  <c r="R4" i="9"/>
  <c r="Q51" i="3"/>
  <c r="P51" i="3"/>
  <c r="N51" i="3"/>
  <c r="S4" i="9"/>
  <c r="T4" i="9"/>
  <c r="O51" i="3"/>
  <c r="P59" i="3"/>
  <c r="C60" i="3"/>
  <c r="C59" i="3"/>
  <c r="E60" i="3"/>
  <c r="E52" i="3"/>
  <c r="F60" i="3"/>
  <c r="F52" i="3"/>
  <c r="I66" i="1"/>
  <c r="I65" i="1"/>
  <c r="I57" i="1"/>
  <c r="I56" i="1"/>
  <c r="I55" i="1"/>
  <c r="I54" i="1"/>
  <c r="I53" i="1"/>
  <c r="I52" i="1"/>
  <c r="I52" i="3" l="1"/>
  <c r="J52" i="3"/>
  <c r="H52" i="3"/>
  <c r="K52" i="3"/>
  <c r="I60" i="3"/>
  <c r="J60" i="3"/>
  <c r="H60" i="3"/>
  <c r="K60" i="3"/>
  <c r="M52" i="3"/>
  <c r="L52" i="3"/>
  <c r="M60" i="3"/>
  <c r="L60" i="3"/>
  <c r="Q52" i="3"/>
  <c r="O52" i="3"/>
  <c r="N52" i="3"/>
  <c r="P52" i="3"/>
  <c r="Q60" i="3"/>
  <c r="O60" i="3"/>
  <c r="N60" i="3"/>
  <c r="P60" i="3"/>
  <c r="U4" i="9"/>
  <c r="V4" i="9"/>
  <c r="V60" i="3"/>
  <c r="U60" i="3"/>
  <c r="T60" i="3"/>
  <c r="S60" i="3"/>
  <c r="R60" i="3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D5" i="3"/>
  <c r="B4" i="1"/>
  <c r="C7" i="1" s="1"/>
  <c r="B3" i="1"/>
  <c r="D3" i="1" s="1"/>
  <c r="C6" i="1" s="1"/>
  <c r="AF4" i="1"/>
  <c r="W4" i="9" l="1"/>
  <c r="X4" i="9"/>
  <c r="F3" i="1"/>
  <c r="AH4" i="1"/>
  <c r="AH23" i="1"/>
  <c r="V23" i="1"/>
  <c r="U23" i="1"/>
  <c r="W23" i="1" s="1"/>
  <c r="O23" i="1"/>
  <c r="N23" i="1"/>
  <c r="AH22" i="1"/>
  <c r="V22" i="1"/>
  <c r="U22" i="1"/>
  <c r="W22" i="1" s="1"/>
  <c r="O22" i="1"/>
  <c r="N22" i="1"/>
  <c r="AH21" i="1"/>
  <c r="V21" i="1"/>
  <c r="U21" i="1"/>
  <c r="W21" i="1" s="1"/>
  <c r="O21" i="1"/>
  <c r="N21" i="1"/>
  <c r="AB4" i="9" l="1"/>
  <c r="AC4" i="9" s="1"/>
  <c r="AD4" i="9" s="1"/>
  <c r="AF23" i="1"/>
  <c r="AF22" i="1"/>
  <c r="AF21" i="1"/>
  <c r="O20" i="1"/>
  <c r="AI4" i="9" l="1"/>
  <c r="AP4" i="9" s="1"/>
  <c r="AS4" i="9"/>
  <c r="AE4" i="9"/>
  <c r="AF4" i="9" s="1"/>
  <c r="U5" i="1"/>
  <c r="W5" i="1" s="1"/>
  <c r="V5" i="1"/>
  <c r="AF5" i="1" s="1"/>
  <c r="AH5" i="1"/>
  <c r="U6" i="1"/>
  <c r="W6" i="1" s="1"/>
  <c r="V6" i="1"/>
  <c r="AF6" i="1" s="1"/>
  <c r="AH6" i="1"/>
  <c r="U7" i="1"/>
  <c r="W7" i="1" s="1"/>
  <c r="V7" i="1"/>
  <c r="AF7" i="1" s="1"/>
  <c r="AH7" i="1"/>
  <c r="U8" i="1"/>
  <c r="W8" i="1" s="1"/>
  <c r="V8" i="1"/>
  <c r="AF8" i="1" s="1"/>
  <c r="AH8" i="1"/>
  <c r="U9" i="1"/>
  <c r="W9" i="1" s="1"/>
  <c r="V9" i="1"/>
  <c r="AF9" i="1" s="1"/>
  <c r="AH9" i="1"/>
  <c r="U10" i="1"/>
  <c r="W10" i="1" s="1"/>
  <c r="V10" i="1"/>
  <c r="AF10" i="1" s="1"/>
  <c r="AH10" i="1"/>
  <c r="U11" i="1"/>
  <c r="W11" i="1" s="1"/>
  <c r="V11" i="1"/>
  <c r="AF11" i="1" s="1"/>
  <c r="AH11" i="1"/>
  <c r="U12" i="1"/>
  <c r="W12" i="1" s="1"/>
  <c r="V12" i="1"/>
  <c r="AF12" i="1" s="1"/>
  <c r="AH12" i="1"/>
  <c r="U13" i="1"/>
  <c r="W13" i="1" s="1"/>
  <c r="V13" i="1"/>
  <c r="AF13" i="1" s="1"/>
  <c r="AH13" i="1"/>
  <c r="U14" i="1"/>
  <c r="W14" i="1" s="1"/>
  <c r="V14" i="1"/>
  <c r="AF14" i="1" s="1"/>
  <c r="AH14" i="1"/>
  <c r="U15" i="1"/>
  <c r="W15" i="1" s="1"/>
  <c r="V15" i="1"/>
  <c r="AF15" i="1" s="1"/>
  <c r="AH15" i="1"/>
  <c r="U16" i="1"/>
  <c r="W16" i="1" s="1"/>
  <c r="V16" i="1"/>
  <c r="AF16" i="1" s="1"/>
  <c r="AH16" i="1"/>
  <c r="U17" i="1"/>
  <c r="W17" i="1" s="1"/>
  <c r="V17" i="1"/>
  <c r="AF17" i="1" s="1"/>
  <c r="AH17" i="1"/>
  <c r="U18" i="1"/>
  <c r="W18" i="1" s="1"/>
  <c r="V18" i="1"/>
  <c r="AF18" i="1" s="1"/>
  <c r="AH18" i="1"/>
  <c r="AI18" i="1" s="1"/>
  <c r="N20" i="1"/>
  <c r="U20" i="1"/>
  <c r="W20" i="1" s="1"/>
  <c r="V20" i="1"/>
  <c r="AF20" i="1" s="1"/>
  <c r="AH20" i="1"/>
  <c r="AH3" i="1"/>
  <c r="AK4" i="9" l="1"/>
  <c r="F56" i="3"/>
  <c r="E56" i="3"/>
  <c r="F55" i="3"/>
  <c r="E55" i="3"/>
  <c r="F54" i="3"/>
  <c r="E54" i="3"/>
  <c r="V3" i="1"/>
  <c r="AF3" i="1" s="1"/>
  <c r="U3" i="1"/>
  <c r="W3" i="1" s="1"/>
  <c r="L55" i="3" l="1"/>
  <c r="M55" i="3"/>
  <c r="I54" i="3"/>
  <c r="J54" i="3"/>
  <c r="H54" i="3"/>
  <c r="K54" i="3"/>
  <c r="I56" i="3"/>
  <c r="J56" i="3"/>
  <c r="H56" i="3"/>
  <c r="K56" i="3"/>
  <c r="M54" i="3"/>
  <c r="L54" i="3"/>
  <c r="M56" i="3"/>
  <c r="L56" i="3"/>
  <c r="K55" i="3"/>
  <c r="H55" i="3"/>
  <c r="J55" i="3"/>
  <c r="I55" i="3"/>
  <c r="O54" i="3"/>
  <c r="N54" i="3"/>
  <c r="P54" i="3"/>
  <c r="Q54" i="3"/>
  <c r="Q56" i="3"/>
  <c r="P56" i="3"/>
  <c r="N56" i="3"/>
  <c r="O56" i="3"/>
  <c r="Q55" i="3"/>
  <c r="P55" i="3"/>
  <c r="N55" i="3"/>
  <c r="O55" i="3"/>
  <c r="F58" i="3"/>
  <c r="F57" i="3"/>
  <c r="E58" i="3"/>
  <c r="E57" i="3"/>
  <c r="O4" i="1"/>
  <c r="P4" i="1"/>
  <c r="F42" i="3"/>
  <c r="F81" i="3" s="1"/>
  <c r="F67" i="3"/>
  <c r="F35" i="3"/>
  <c r="F74" i="3" s="1"/>
  <c r="O5" i="1"/>
  <c r="O6" i="1"/>
  <c r="O3" i="1"/>
  <c r="F37" i="3"/>
  <c r="F76" i="3" s="1"/>
  <c r="F44" i="3"/>
  <c r="F83" i="3" s="1"/>
  <c r="P5" i="1"/>
  <c r="P6" i="1"/>
  <c r="F69" i="3"/>
  <c r="P3" i="1"/>
  <c r="O11" i="1"/>
  <c r="O12" i="1"/>
  <c r="O13" i="1"/>
  <c r="O17" i="1"/>
  <c r="O15" i="1"/>
  <c r="O16" i="1"/>
  <c r="O14" i="1"/>
  <c r="O18" i="1"/>
  <c r="O10" i="1"/>
  <c r="P10" i="1"/>
  <c r="P15" i="1"/>
  <c r="F34" i="3"/>
  <c r="F73" i="3" s="1"/>
  <c r="P16" i="1"/>
  <c r="P13" i="1"/>
  <c r="P14" i="1"/>
  <c r="P17" i="1"/>
  <c r="F41" i="3"/>
  <c r="F80" i="3" s="1"/>
  <c r="F66" i="3"/>
  <c r="P11" i="1"/>
  <c r="P12" i="1"/>
  <c r="P18" i="1"/>
  <c r="F38" i="3"/>
  <c r="F77" i="3" s="1"/>
  <c r="F45" i="3"/>
  <c r="F84" i="3" s="1"/>
  <c r="F70" i="3"/>
  <c r="O8" i="1"/>
  <c r="O9" i="1"/>
  <c r="O7" i="1"/>
  <c r="P9" i="1"/>
  <c r="F68" i="3"/>
  <c r="P8" i="1"/>
  <c r="F36" i="3"/>
  <c r="F75" i="3" s="1"/>
  <c r="F43" i="3"/>
  <c r="F82" i="3" s="1"/>
  <c r="P7" i="1"/>
  <c r="F53" i="3"/>
  <c r="E53" i="3"/>
  <c r="O51" i="4"/>
  <c r="O52" i="4" s="1"/>
  <c r="G51" i="4"/>
  <c r="G52" i="4" s="1"/>
  <c r="O49" i="4"/>
  <c r="O50" i="4" s="1"/>
  <c r="C18" i="3" s="1"/>
  <c r="G49" i="4"/>
  <c r="G50" i="4" s="1"/>
  <c r="C17" i="3" s="1"/>
  <c r="AF48" i="4"/>
  <c r="X48" i="4"/>
  <c r="O48" i="4"/>
  <c r="G48" i="4"/>
  <c r="O42" i="4"/>
  <c r="O43" i="4" s="1"/>
  <c r="D4" i="3" s="1"/>
  <c r="G42" i="4"/>
  <c r="G43" i="4" s="1"/>
  <c r="O40" i="4"/>
  <c r="O41" i="4" s="1"/>
  <c r="C16" i="3" s="1"/>
  <c r="G40" i="4"/>
  <c r="AF39" i="4"/>
  <c r="D56" i="3" s="1"/>
  <c r="X39" i="4"/>
  <c r="D55" i="3" s="1"/>
  <c r="O39" i="4"/>
  <c r="G39" i="4"/>
  <c r="AS37" i="4"/>
  <c r="AS40" i="4" s="1"/>
  <c r="O33" i="4"/>
  <c r="O34" i="4" s="1"/>
  <c r="G33" i="4"/>
  <c r="G34" i="4" s="1"/>
  <c r="O31" i="4"/>
  <c r="O32" i="4" s="1"/>
  <c r="G31" i="4"/>
  <c r="AF30" i="4"/>
  <c r="D54" i="3" s="1"/>
  <c r="X30" i="4"/>
  <c r="D53" i="3" s="1"/>
  <c r="O30" i="4"/>
  <c r="G30" i="4"/>
  <c r="AS26" i="4"/>
  <c r="AS29" i="4" s="1"/>
  <c r="AM26" i="4"/>
  <c r="AM29" i="4" s="1"/>
  <c r="O24" i="4"/>
  <c r="O25" i="4" s="1"/>
  <c r="G24" i="4"/>
  <c r="G25" i="4" s="1"/>
  <c r="O22" i="4"/>
  <c r="O23" i="4" s="1"/>
  <c r="C12" i="3" s="1"/>
  <c r="C24" i="3" s="1"/>
  <c r="C64" i="3" s="1"/>
  <c r="G22" i="4"/>
  <c r="G23" i="4" s="1"/>
  <c r="C11" i="3" s="1"/>
  <c r="C23" i="3" s="1"/>
  <c r="C63" i="3" s="1"/>
  <c r="AF21" i="4"/>
  <c r="X21" i="4"/>
  <c r="D51" i="3" s="1"/>
  <c r="O21" i="4"/>
  <c r="G21" i="4"/>
  <c r="O15" i="4"/>
  <c r="O16" i="4" s="1"/>
  <c r="G15" i="4"/>
  <c r="G16" i="4" s="1"/>
  <c r="O13" i="4"/>
  <c r="O14" i="4" s="1"/>
  <c r="C10" i="3" s="1"/>
  <c r="C22" i="3" s="1"/>
  <c r="G13" i="4"/>
  <c r="G14" i="4" s="1"/>
  <c r="AF12" i="4"/>
  <c r="D50" i="3" s="1"/>
  <c r="X12" i="4"/>
  <c r="D49" i="3" s="1"/>
  <c r="O12" i="4"/>
  <c r="G12" i="4"/>
  <c r="AN10" i="4"/>
  <c r="AN15" i="4" s="1"/>
  <c r="K53" i="3" l="1"/>
  <c r="H53" i="3"/>
  <c r="J53" i="3"/>
  <c r="I53" i="3"/>
  <c r="M58" i="3"/>
  <c r="L58" i="3"/>
  <c r="L57" i="3"/>
  <c r="M57" i="3"/>
  <c r="M53" i="3"/>
  <c r="L53" i="3"/>
  <c r="K57" i="3"/>
  <c r="H57" i="3"/>
  <c r="J57" i="3"/>
  <c r="I57" i="3"/>
  <c r="I58" i="3"/>
  <c r="J58" i="3"/>
  <c r="H58" i="3"/>
  <c r="K58" i="3"/>
  <c r="C62" i="3"/>
  <c r="Q5" i="9"/>
  <c r="Q10" i="9"/>
  <c r="Q6" i="9"/>
  <c r="Q8" i="9"/>
  <c r="Q7" i="9"/>
  <c r="Q9" i="9"/>
  <c r="C57" i="3"/>
  <c r="V53" i="3"/>
  <c r="T53" i="3"/>
  <c r="R53" i="3"/>
  <c r="U53" i="3"/>
  <c r="S53" i="3"/>
  <c r="V55" i="3"/>
  <c r="U55" i="3"/>
  <c r="T55" i="3"/>
  <c r="S55" i="3"/>
  <c r="R55" i="3"/>
  <c r="O58" i="3"/>
  <c r="P58" i="3"/>
  <c r="Q58" i="3"/>
  <c r="N58" i="3"/>
  <c r="V49" i="3"/>
  <c r="T49" i="3"/>
  <c r="R49" i="3"/>
  <c r="U49" i="3"/>
  <c r="S49" i="3"/>
  <c r="V51" i="3"/>
  <c r="U51" i="3"/>
  <c r="T51" i="3"/>
  <c r="S51" i="3"/>
  <c r="R51" i="3"/>
  <c r="V56" i="3"/>
  <c r="U56" i="3"/>
  <c r="T56" i="3"/>
  <c r="S56" i="3"/>
  <c r="R56" i="3"/>
  <c r="C58" i="3"/>
  <c r="N57" i="3"/>
  <c r="O57" i="3"/>
  <c r="Q57" i="3"/>
  <c r="P57" i="3"/>
  <c r="N53" i="3"/>
  <c r="Q53" i="3"/>
  <c r="O53" i="3"/>
  <c r="P53" i="3"/>
  <c r="R54" i="3"/>
  <c r="V54" i="3"/>
  <c r="T54" i="3"/>
  <c r="U54" i="3"/>
  <c r="S54" i="3"/>
  <c r="R50" i="3"/>
  <c r="V50" i="3"/>
  <c r="U50" i="3"/>
  <c r="S50" i="3"/>
  <c r="T50" i="3"/>
  <c r="Q4" i="9"/>
  <c r="C30" i="3"/>
  <c r="C29" i="3"/>
  <c r="C28" i="3"/>
  <c r="C56" i="3"/>
  <c r="C14" i="3"/>
  <c r="C26" i="3" s="1"/>
  <c r="S26" i="4"/>
  <c r="C52" i="3"/>
  <c r="C51" i="3"/>
  <c r="C50" i="3"/>
  <c r="C49" i="3"/>
  <c r="D57" i="3"/>
  <c r="D52" i="3"/>
  <c r="X58" i="4"/>
  <c r="D59" i="3" s="1"/>
  <c r="AN13" i="4"/>
  <c r="AN14" i="4" s="1"/>
  <c r="M4" i="1"/>
  <c r="AG4" i="1" s="1"/>
  <c r="N4" i="1"/>
  <c r="P22" i="1"/>
  <c r="P21" i="1"/>
  <c r="P23" i="1"/>
  <c r="P20" i="1"/>
  <c r="N16" i="1"/>
  <c r="N10" i="1"/>
  <c r="N12" i="1"/>
  <c r="R12" i="1" s="1"/>
  <c r="N13" i="1"/>
  <c r="N14" i="1"/>
  <c r="N17" i="1"/>
  <c r="R17" i="1" s="1"/>
  <c r="N18" i="1"/>
  <c r="N15" i="1"/>
  <c r="N11" i="1"/>
  <c r="N6" i="1"/>
  <c r="N3" i="1"/>
  <c r="N5" i="1"/>
  <c r="R5" i="1" s="1"/>
  <c r="F40" i="3"/>
  <c r="F79" i="3" s="1"/>
  <c r="F65" i="3"/>
  <c r="F33" i="3"/>
  <c r="F72" i="3" s="1"/>
  <c r="N9" i="1"/>
  <c r="R9" i="1" s="1"/>
  <c r="N7" i="1"/>
  <c r="N8" i="1"/>
  <c r="Q12" i="1"/>
  <c r="G32" i="4"/>
  <c r="G41" i="4"/>
  <c r="C15" i="3" s="1"/>
  <c r="C27" i="3" s="1"/>
  <c r="AN16" i="4"/>
  <c r="AS27" i="4"/>
  <c r="AS38" i="4"/>
  <c r="AM27" i="4"/>
  <c r="AM8" i="9" l="1"/>
  <c r="AN8" i="9" s="1"/>
  <c r="AR8" i="9" s="1"/>
  <c r="AG8" i="9"/>
  <c r="AH8" i="9" s="1"/>
  <c r="AQ8" i="9" s="1"/>
  <c r="AM5" i="9"/>
  <c r="AN5" i="9" s="1"/>
  <c r="AR5" i="9" s="1"/>
  <c r="AG5" i="9"/>
  <c r="AH5" i="9" s="1"/>
  <c r="AQ5" i="9" s="1"/>
  <c r="AM9" i="9"/>
  <c r="AN9" i="9" s="1"/>
  <c r="AR9" i="9" s="1"/>
  <c r="AG9" i="9"/>
  <c r="AH9" i="9" s="1"/>
  <c r="AQ9" i="9" s="1"/>
  <c r="AM7" i="9"/>
  <c r="AN7" i="9" s="1"/>
  <c r="AR7" i="9" s="1"/>
  <c r="AG7" i="9"/>
  <c r="AH7" i="9" s="1"/>
  <c r="AQ7" i="9" s="1"/>
  <c r="AM10" i="9"/>
  <c r="AN10" i="9" s="1"/>
  <c r="AR10" i="9" s="1"/>
  <c r="AG10" i="9"/>
  <c r="AH10" i="9" s="1"/>
  <c r="AQ10" i="9" s="1"/>
  <c r="AM6" i="9"/>
  <c r="AN6" i="9" s="1"/>
  <c r="AR6" i="9" s="1"/>
  <c r="AG6" i="9"/>
  <c r="AH6" i="9" s="1"/>
  <c r="AQ6" i="9" s="1"/>
  <c r="V59" i="3"/>
  <c r="U59" i="3"/>
  <c r="T59" i="3"/>
  <c r="S59" i="3"/>
  <c r="R59" i="3"/>
  <c r="C66" i="3"/>
  <c r="C34" i="3"/>
  <c r="C69" i="3"/>
  <c r="C37" i="3"/>
  <c r="C70" i="3"/>
  <c r="C38" i="3"/>
  <c r="V52" i="3"/>
  <c r="U52" i="3"/>
  <c r="T52" i="3"/>
  <c r="S52" i="3"/>
  <c r="R52" i="3"/>
  <c r="C67" i="3"/>
  <c r="C35" i="3"/>
  <c r="U57" i="3"/>
  <c r="S57" i="3"/>
  <c r="V57" i="3"/>
  <c r="T57" i="3"/>
  <c r="R57" i="3"/>
  <c r="C68" i="3"/>
  <c r="C36" i="3"/>
  <c r="AM4" i="9"/>
  <c r="AN4" i="9" s="1"/>
  <c r="AR4" i="9" s="1"/>
  <c r="AG4" i="9"/>
  <c r="AH4" i="9" s="1"/>
  <c r="AQ4" i="9" s="1"/>
  <c r="C55" i="3"/>
  <c r="C54" i="3"/>
  <c r="C13" i="3"/>
  <c r="T26" i="4"/>
  <c r="D58" i="3"/>
  <c r="Q4" i="1"/>
  <c r="R4" i="1"/>
  <c r="Q5" i="1"/>
  <c r="T5" i="1" s="1"/>
  <c r="Q8" i="1"/>
  <c r="R8" i="1"/>
  <c r="R6" i="1"/>
  <c r="Q6" i="1"/>
  <c r="Q21" i="1"/>
  <c r="R21" i="1"/>
  <c r="M3" i="1"/>
  <c r="AG3" i="1" s="1"/>
  <c r="M6" i="1"/>
  <c r="M5" i="1"/>
  <c r="Q7" i="1"/>
  <c r="R7" i="1"/>
  <c r="R14" i="1"/>
  <c r="Q14" i="1"/>
  <c r="Q16" i="1"/>
  <c r="R16" i="1"/>
  <c r="S5" i="1"/>
  <c r="R15" i="1"/>
  <c r="Q15" i="1"/>
  <c r="Q13" i="1"/>
  <c r="R13" i="1"/>
  <c r="R20" i="1"/>
  <c r="Q20" i="1"/>
  <c r="Q17" i="1"/>
  <c r="S17" i="1" s="1"/>
  <c r="Q10" i="1"/>
  <c r="R10" i="1"/>
  <c r="R11" i="1"/>
  <c r="Q11" i="1"/>
  <c r="R22" i="1"/>
  <c r="Q22" i="1"/>
  <c r="M12" i="1"/>
  <c r="M13" i="1"/>
  <c r="M14" i="1"/>
  <c r="M17" i="1"/>
  <c r="M18" i="1"/>
  <c r="M16" i="1"/>
  <c r="M10" i="1"/>
  <c r="M15" i="1"/>
  <c r="M11" i="1"/>
  <c r="M7" i="1"/>
  <c r="M8" i="1"/>
  <c r="M9" i="1"/>
  <c r="R3" i="1"/>
  <c r="Q3" i="1"/>
  <c r="Q18" i="1"/>
  <c r="R18" i="1"/>
  <c r="S12" i="1"/>
  <c r="T12" i="1"/>
  <c r="Q23" i="1"/>
  <c r="R23" i="1"/>
  <c r="Q9" i="1"/>
  <c r="T9" i="1" s="1"/>
  <c r="AM28" i="4"/>
  <c r="AM30" i="4"/>
  <c r="AS30" i="4"/>
  <c r="AS28" i="4"/>
  <c r="AS41" i="4"/>
  <c r="AS39" i="4"/>
  <c r="C42" i="3" l="1"/>
  <c r="C81" i="3" s="1"/>
  <c r="C74" i="3"/>
  <c r="C45" i="3"/>
  <c r="C84" i="3" s="1"/>
  <c r="C77" i="3"/>
  <c r="C41" i="3"/>
  <c r="C80" i="3" s="1"/>
  <c r="C73" i="3"/>
  <c r="C43" i="3"/>
  <c r="C82" i="3" s="1"/>
  <c r="C75" i="3"/>
  <c r="R58" i="3"/>
  <c r="U58" i="3"/>
  <c r="S58" i="3"/>
  <c r="V58" i="3"/>
  <c r="T58" i="3"/>
  <c r="C44" i="3"/>
  <c r="C76" i="3"/>
  <c r="C25" i="3"/>
  <c r="C33" i="3" s="1"/>
  <c r="C53" i="3"/>
  <c r="T4" i="1"/>
  <c r="S4" i="1"/>
  <c r="X12" i="1"/>
  <c r="Y12" i="1" s="1"/>
  <c r="AA12" i="1" s="1"/>
  <c r="S15" i="1"/>
  <c r="S9" i="1"/>
  <c r="X9" i="1" s="1"/>
  <c r="Y9" i="1" s="1"/>
  <c r="T18" i="1"/>
  <c r="S18" i="1"/>
  <c r="AG15" i="1"/>
  <c r="AG7" i="1"/>
  <c r="AG16" i="1"/>
  <c r="AG13" i="1"/>
  <c r="T17" i="1"/>
  <c r="X17" i="1" s="1"/>
  <c r="Y17" i="1" s="1"/>
  <c r="S20" i="1"/>
  <c r="T20" i="1"/>
  <c r="T15" i="1"/>
  <c r="T14" i="1"/>
  <c r="S14" i="1"/>
  <c r="AG6" i="1"/>
  <c r="S3" i="1"/>
  <c r="T3" i="1"/>
  <c r="AG11" i="1"/>
  <c r="AG18" i="1"/>
  <c r="AG12" i="1"/>
  <c r="S11" i="1"/>
  <c r="T11" i="1"/>
  <c r="T13" i="1"/>
  <c r="S13" i="1"/>
  <c r="X5" i="1"/>
  <c r="Y5" i="1" s="1"/>
  <c r="T16" i="1"/>
  <c r="S16" i="1"/>
  <c r="S7" i="1"/>
  <c r="T7" i="1"/>
  <c r="T6" i="1"/>
  <c r="S6" i="1"/>
  <c r="T21" i="1"/>
  <c r="S21" i="1"/>
  <c r="S8" i="1"/>
  <c r="T8" i="1"/>
  <c r="T23" i="1"/>
  <c r="S23" i="1"/>
  <c r="AG9" i="1"/>
  <c r="AG17" i="1"/>
  <c r="T10" i="1"/>
  <c r="S10" i="1"/>
  <c r="AG8" i="1"/>
  <c r="AG10" i="1"/>
  <c r="AG14" i="1"/>
  <c r="T22" i="1"/>
  <c r="S22" i="1"/>
  <c r="AG5" i="1"/>
  <c r="C40" i="3" l="1"/>
  <c r="C79" i="3" s="1"/>
  <c r="C72" i="3"/>
  <c r="C83" i="3"/>
  <c r="M22" i="1"/>
  <c r="AG22" i="1" s="1"/>
  <c r="M23" i="1"/>
  <c r="AG23" i="1" s="1"/>
  <c r="M21" i="1"/>
  <c r="AG21" i="1" s="1"/>
  <c r="M20" i="1"/>
  <c r="AG20" i="1" s="1"/>
  <c r="C65" i="3"/>
  <c r="X4" i="1"/>
  <c r="Y4" i="1" s="1"/>
  <c r="AA4" i="1" s="1"/>
  <c r="AB4" i="1" s="1"/>
  <c r="X15" i="1"/>
  <c r="Y15" i="1" s="1"/>
  <c r="AA15" i="1" s="1"/>
  <c r="Z12" i="1"/>
  <c r="AE12" i="1" s="1"/>
  <c r="AI12" i="1" s="1"/>
  <c r="X14" i="1"/>
  <c r="Y14" i="1" s="1"/>
  <c r="Z14" i="1" s="1"/>
  <c r="X8" i="1"/>
  <c r="Y8" i="1" s="1"/>
  <c r="Z8" i="1" s="1"/>
  <c r="X13" i="1"/>
  <c r="Y13" i="1" s="1"/>
  <c r="AA13" i="1" s="1"/>
  <c r="X22" i="1"/>
  <c r="Y22" i="1" s="1"/>
  <c r="AA22" i="1" s="1"/>
  <c r="Z9" i="1"/>
  <c r="AA9" i="1"/>
  <c r="X10" i="1"/>
  <c r="Y10" i="1" s="1"/>
  <c r="AA10" i="1" s="1"/>
  <c r="X7" i="1"/>
  <c r="Y7" i="1" s="1"/>
  <c r="Z7" i="1" s="1"/>
  <c r="X6" i="1"/>
  <c r="Y6" i="1" s="1"/>
  <c r="X16" i="1"/>
  <c r="Y16" i="1" s="1"/>
  <c r="X11" i="1"/>
  <c r="Y11" i="1" s="1"/>
  <c r="X3" i="1"/>
  <c r="Y3" i="1" s="1"/>
  <c r="AA3" i="1" s="1"/>
  <c r="Z17" i="1"/>
  <c r="AA17" i="1"/>
  <c r="X18" i="1"/>
  <c r="Y18" i="1" s="1"/>
  <c r="Z5" i="1"/>
  <c r="AA5" i="1"/>
  <c r="X23" i="1"/>
  <c r="Y23" i="1" s="1"/>
  <c r="X21" i="1"/>
  <c r="Y21" i="1" s="1"/>
  <c r="X20" i="1"/>
  <c r="Y20" i="1" s="1"/>
  <c r="AC12" i="1" l="1"/>
  <c r="Z4" i="1"/>
  <c r="AC4" i="1" s="1"/>
  <c r="AD4" i="1" s="1"/>
  <c r="Z15" i="1"/>
  <c r="AC15" i="1" s="1"/>
  <c r="AA8" i="1"/>
  <c r="Z13" i="1"/>
  <c r="AC13" i="1" s="1"/>
  <c r="AB3" i="1"/>
  <c r="AA14" i="1"/>
  <c r="Z22" i="1"/>
  <c r="AE22" i="1" s="1"/>
  <c r="AI22" i="1" s="1"/>
  <c r="Z10" i="1"/>
  <c r="AE10" i="1" s="1"/>
  <c r="AI10" i="1" s="1"/>
  <c r="AA7" i="1"/>
  <c r="AE9" i="1"/>
  <c r="AI9" i="1" s="1"/>
  <c r="AC9" i="1"/>
  <c r="AE5" i="1"/>
  <c r="AI5" i="1" s="1"/>
  <c r="AC5" i="1"/>
  <c r="AE17" i="1"/>
  <c r="AI17" i="1" s="1"/>
  <c r="AC17" i="1"/>
  <c r="AA6" i="1"/>
  <c r="Z6" i="1"/>
  <c r="Z16" i="1"/>
  <c r="AA16" i="1"/>
  <c r="AE14" i="1"/>
  <c r="AI14" i="1" s="1"/>
  <c r="AC14" i="1"/>
  <c r="AE7" i="1"/>
  <c r="AI7" i="1" s="1"/>
  <c r="AC7" i="1"/>
  <c r="Z3" i="1"/>
  <c r="AC3" i="1" s="1"/>
  <c r="Z23" i="1"/>
  <c r="AA23" i="1"/>
  <c r="AE8" i="1"/>
  <c r="AI8" i="1" s="1"/>
  <c r="AC8" i="1"/>
  <c r="Z20" i="1"/>
  <c r="AA20" i="1"/>
  <c r="AA21" i="1"/>
  <c r="Z21" i="1"/>
  <c r="AA18" i="1"/>
  <c r="Z18" i="1"/>
  <c r="Z11" i="1"/>
  <c r="AA11" i="1"/>
  <c r="AE4" i="1" l="1"/>
  <c r="AI4" i="1" s="1"/>
  <c r="AE13" i="1"/>
  <c r="AI13" i="1" s="1"/>
  <c r="AC22" i="1"/>
  <c r="AE15" i="1"/>
  <c r="AI15" i="1" s="1"/>
  <c r="AC10" i="1"/>
  <c r="AE3" i="1"/>
  <c r="AI3" i="1" s="1"/>
  <c r="AC20" i="1"/>
  <c r="AE20" i="1"/>
  <c r="AI20" i="1" s="1"/>
  <c r="AE16" i="1"/>
  <c r="AI16" i="1" s="1"/>
  <c r="AC16" i="1"/>
  <c r="AE21" i="1"/>
  <c r="AI21" i="1" s="1"/>
  <c r="AC21" i="1"/>
  <c r="AE18" i="1"/>
  <c r="AC18" i="1"/>
  <c r="AE6" i="1"/>
  <c r="AI6" i="1" s="1"/>
  <c r="AC6" i="1"/>
  <c r="AE23" i="1"/>
  <c r="AI23" i="1" s="1"/>
  <c r="AC23" i="1"/>
  <c r="AE11" i="1"/>
  <c r="AI11" i="1" s="1"/>
  <c r="AC11" i="1"/>
  <c r="Z11" i="9" l="1"/>
  <c r="AL11" i="9" l="1"/>
  <c r="AJ11" i="9"/>
  <c r="AO11" i="9" l="1"/>
  <c r="E11" i="9"/>
  <c r="F11" i="9" l="1"/>
  <c r="Y11" i="9" s="1"/>
  <c r="AA11" i="9" s="1"/>
  <c r="AM11" i="9" s="1"/>
  <c r="AN11" i="9" s="1"/>
  <c r="AR11" i="9" s="1"/>
  <c r="AB11" i="9" l="1"/>
  <c r="AC11" i="9" s="1"/>
  <c r="AD11" i="9" s="1"/>
  <c r="AS11" i="9" s="1"/>
  <c r="AE11" i="9" l="1"/>
  <c r="AF11" i="9" s="1"/>
  <c r="AI11" i="9"/>
  <c r="AG11" i="9"/>
  <c r="AH11" i="9" s="1"/>
  <c r="AQ11" i="9" l="1"/>
  <c r="AP11" i="9"/>
  <c r="AK11" i="9"/>
</calcChain>
</file>

<file path=xl/sharedStrings.xml><?xml version="1.0" encoding="utf-8"?>
<sst xmlns="http://schemas.openxmlformats.org/spreadsheetml/2006/main" count="648" uniqueCount="181">
  <si>
    <t>MW</t>
  </si>
  <si>
    <t>Fat. Pot.</t>
  </si>
  <si>
    <t>km</t>
  </si>
  <si>
    <t>Distância</t>
  </si>
  <si>
    <t>kV</t>
  </si>
  <si>
    <t>Tensão Nominal</t>
  </si>
  <si>
    <t>Cabos</t>
  </si>
  <si>
    <t>Seção</t>
  </si>
  <si>
    <t># Cabos</t>
  </si>
  <si>
    <t>Cabo</t>
  </si>
  <si>
    <r>
      <t>20/35kV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</si>
  <si>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</si>
  <si>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</si>
  <si>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</si>
  <si>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</si>
  <si>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</si>
  <si>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</si>
  <si>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Rca (Ohm/km)</t>
  </si>
  <si>
    <t>Nominal</t>
  </si>
  <si>
    <t>Corrente</t>
  </si>
  <si>
    <t>Carga (A)</t>
  </si>
  <si>
    <r>
      <t>36/69kV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</si>
  <si>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</si>
  <si>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</si>
  <si>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</si>
  <si>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</si>
  <si>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</si>
  <si>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</si>
  <si>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Determinação da Bitola (seção transversal) do CEP</t>
  </si>
  <si>
    <t>Impedância típica para determinação de queda de tensão</t>
  </si>
  <si>
    <t>Dados Típicos BCS
Cabo de poço: 1/0 AWG
1/0 AWG: 0,4372 Ω/km a 110oC</t>
  </si>
  <si>
    <t>Exemplos de Caixa de Junção de Alta Tensão (CJ-AT)</t>
  </si>
  <si>
    <r>
      <t xml:space="preserve">Dados Típicos de Ampacidade para CEP (ref. IEC 60502-2 Tabela B.8)
Cabo trifásico 12/20(24)kV instalado no ar, temperatura no condutor 90oC
</t>
    </r>
    <r>
      <rPr>
        <b/>
        <sz val="10"/>
        <color indexed="30"/>
        <rFont val="Calibri"/>
        <family val="2"/>
      </rPr>
      <t>Temperatura do ambiente para dimensionamento no convés da UEP: 45oC</t>
    </r>
    <r>
      <rPr>
        <b/>
        <sz val="10"/>
        <rFont val="Calibri"/>
        <family val="2"/>
      </rPr>
      <t xml:space="preserve">
</t>
    </r>
    <r>
      <rPr>
        <b/>
        <sz val="10"/>
        <color indexed="10"/>
        <rFont val="Calibri"/>
        <family val="2"/>
      </rPr>
      <t>Quando sujeito a radiação solar, recomenda-se usar temperatura ambiente 55oC</t>
    </r>
  </si>
  <si>
    <t>Dados Típicos de Impedância para CEP
(ref. cabo EPROTENAX COMPACT - 12/20(24)kV da PRYSMIAN)
Temperatura no condutor 40oC
Temperatura do ambiente para dimensionamento da queda de tensão: 4oC</t>
  </si>
  <si>
    <t>Fabricante ABTECH: www.abtech.eu</t>
  </si>
  <si>
    <t>Modelos:</t>
  </si>
  <si>
    <t>MJB7, MJB7/3, MJB8, MJB8/3</t>
  </si>
  <si>
    <t>Motor BCSS 1500bhp</t>
  </si>
  <si>
    <t>DPJB</t>
  </si>
  <si>
    <t>Motor de Indução - 2 pólos</t>
  </si>
  <si>
    <t>HVJB</t>
  </si>
  <si>
    <t>Potência de Eixo</t>
  </si>
  <si>
    <t>bhp</t>
  </si>
  <si>
    <t>CEP 3# 35mm2</t>
  </si>
  <si>
    <t>CEP 3# 50mm2</t>
  </si>
  <si>
    <t>V</t>
  </si>
  <si>
    <t>Seção Transversal</t>
  </si>
  <si>
    <t>mm2</t>
  </si>
  <si>
    <t>kW</t>
  </si>
  <si>
    <t>Ampacidade máxima a 30oC</t>
  </si>
  <si>
    <t>A</t>
  </si>
  <si>
    <t>Reatância Capacitiva a 60Hz</t>
  </si>
  <si>
    <t>Ω/km</t>
  </si>
  <si>
    <t>Fator de potência 100%</t>
  </si>
  <si>
    <t>%</t>
  </si>
  <si>
    <t>Corrente operacional máx. a 30oC</t>
  </si>
  <si>
    <t>Resistência CA a 60Hz</t>
  </si>
  <si>
    <t>Rendimento 100%</t>
  </si>
  <si>
    <t>Ampacidade máxima a 45oC</t>
  </si>
  <si>
    <t>Reatância Indutiva a 60Hz</t>
  </si>
  <si>
    <t>Potência Total</t>
  </si>
  <si>
    <t>kVA</t>
  </si>
  <si>
    <t>Corrente operacional máx. a 45oC</t>
  </si>
  <si>
    <t>Corrente nominal</t>
  </si>
  <si>
    <t>Ampacidade máxima a 55oC</t>
  </si>
  <si>
    <t>Potência Ativa</t>
  </si>
  <si>
    <t>Corrente operacional máx. a 55oC</t>
  </si>
  <si>
    <t>Potência Reativa</t>
  </si>
  <si>
    <t>kVAr</t>
  </si>
  <si>
    <t>CEP 3# 70mm2</t>
  </si>
  <si>
    <t>CEP 3# 95mm2</t>
  </si>
  <si>
    <t>Dados Típicos
Bomba FRAMO, Motor de Indução com FP x Rend ≈ 0,71</t>
  </si>
  <si>
    <t>Mesma potência BCS 1500bhp</t>
  </si>
  <si>
    <t>Potência Limite para 3#120mm2</t>
  </si>
  <si>
    <t>Fator de Potência</t>
  </si>
  <si>
    <t>Rendimento</t>
  </si>
  <si>
    <t>CEP 3# 120mm2</t>
  </si>
  <si>
    <t>CEP 3# 150mm2</t>
  </si>
  <si>
    <t>Potência Limite para 3#240mm2</t>
  </si>
  <si>
    <t>CEP 3# 185mm2</t>
  </si>
  <si>
    <t>CEP 3# 240mm2</t>
  </si>
  <si>
    <t>OBSERVAÇÃO:
A bomba Sulzer / FMC utiliza Motor de Ímãs Permanentes, tipicamente com FP x Rend ≈ 0,75</t>
  </si>
  <si>
    <t>CEP 3# 300mm2</t>
  </si>
  <si>
    <t>CEP 3# 400mm2</t>
  </si>
  <si>
    <r>
      <t>12/20kV EPR 3x120mm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</si>
  <si>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</si>
  <si>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</si>
  <si>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</si>
  <si>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</si>
  <si>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</si>
  <si>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</si>
  <si>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XL (Ohm/km)</t>
  </si>
  <si>
    <t>XC (Ohm.km)</t>
  </si>
  <si>
    <t>R</t>
  </si>
  <si>
    <t>X</t>
  </si>
  <si>
    <t>Y</t>
  </si>
  <si>
    <t>Zc</t>
  </si>
  <si>
    <t>Zeq</t>
  </si>
  <si>
    <t>Vr</t>
  </si>
  <si>
    <t>Ir</t>
  </si>
  <si>
    <t>Vs</t>
  </si>
  <si>
    <t>Yeq / 2</t>
  </si>
  <si>
    <t>Is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</si>
  <si>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V</t>
    </r>
  </si>
  <si>
    <t>Vr [%]</t>
  </si>
  <si>
    <t>Ir [%]</t>
  </si>
  <si>
    <t>Vs [%]</t>
  </si>
  <si>
    <t>Is[%]</t>
  </si>
  <si>
    <t xml:space="preserve">Amp </t>
  </si>
  <si>
    <t>Fator</t>
  </si>
  <si>
    <r>
      <t>76/138kV XLPE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</si>
  <si>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</si>
  <si>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</si>
  <si>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</si>
  <si>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</si>
  <si>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</si>
  <si>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</si>
  <si>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 xml:space="preserve">Tensão </t>
  </si>
  <si>
    <t>Carga (%)</t>
  </si>
  <si>
    <t>12/20kV EPR 3x150mm2 Cu</t>
  </si>
  <si>
    <t>12/20kV EPR 3x240mm2 Cu</t>
  </si>
  <si>
    <t>12/20kV EPR 3x300mm2 Cu</t>
  </si>
  <si>
    <t>Ps [MW]</t>
  </si>
  <si>
    <t>Potência Carga</t>
  </si>
  <si>
    <t>Perd[%]</t>
  </si>
  <si>
    <r>
      <t>g</t>
    </r>
    <r>
      <rPr>
        <b/>
        <sz val="12"/>
        <color theme="1"/>
        <rFont val="Calibri"/>
        <family val="2"/>
        <scheme val="minor"/>
      </rPr>
      <t>l</t>
    </r>
  </si>
  <si>
    <t>Pr [MW]</t>
  </si>
  <si>
    <t>76/138kV XLPE 300mm2 Cu</t>
  </si>
  <si>
    <t>EFF</t>
  </si>
  <si>
    <t>MVA</t>
  </si>
  <si>
    <t xml:space="preserve">Icarga </t>
  </si>
  <si>
    <t>I (A)</t>
  </si>
  <si>
    <t>V (kV)</t>
  </si>
  <si>
    <t>MW eixo HP</t>
  </si>
  <si>
    <t>HP CW</t>
  </si>
  <si>
    <t>Vfonte</t>
  </si>
  <si>
    <t>Vabs</t>
  </si>
  <si>
    <r>
      <t>12/20kV EPR 3x630mm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</si>
  <si>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CEP 3# 500mm2</t>
  </si>
  <si>
    <t>CEP 3# 630mm2</t>
  </si>
  <si>
    <r>
      <t>12/20kV EPR 3x95mm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</si>
  <si>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</si>
  <si>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</si>
  <si>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</si>
  <si>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Amperes (55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</si>
  <si>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Xl=</t>
  </si>
  <si>
    <t>l=</t>
  </si>
  <si>
    <r>
      <t>20/35kV EPR 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</si>
  <si>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</si>
  <si>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</si>
  <si>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</si>
  <si>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%R/Freq</t>
  </si>
  <si>
    <t>F(Hz)</t>
  </si>
  <si>
    <t>não</t>
  </si>
  <si>
    <t>sim</t>
  </si>
  <si>
    <t>f &gt; R</t>
  </si>
  <si>
    <t>Ss</t>
  </si>
  <si>
    <t>Sr</t>
  </si>
  <si>
    <t>Ampacidade máxima a 60oC</t>
  </si>
  <si>
    <t>20/35kV EPR 50mm2 Cu</t>
  </si>
  <si>
    <t>y</t>
  </si>
  <si>
    <t>x</t>
  </si>
  <si>
    <r>
      <t>20/35kV EPR 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</si>
  <si>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Qs(Var)</t>
  </si>
  <si>
    <t>$/m</t>
  </si>
  <si>
    <t>CAP. FAB (t)</t>
  </si>
  <si>
    <t>CAP. PLSV (t)</t>
  </si>
  <si>
    <t>Viagens</t>
  </si>
  <si>
    <t>t (emendas)</t>
  </si>
  <si>
    <t>km/dia</t>
  </si>
  <si>
    <t>$/dia</t>
  </si>
  <si>
    <t>$ Aquisição</t>
  </si>
  <si>
    <t>peso umb</t>
  </si>
  <si>
    <t>dias viagem</t>
  </si>
  <si>
    <t>n° emendas</t>
  </si>
  <si>
    <t>dias emenda</t>
  </si>
  <si>
    <t>dias spool</t>
  </si>
  <si>
    <t>dias instalação</t>
  </si>
  <si>
    <t>$ Instalação</t>
  </si>
  <si>
    <t>26/45</t>
  </si>
  <si>
    <t>20/35kV EPR 400mm2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</si>
</sst>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"/>
    <numFmt numFmtId="165" formatCode="0.0"/>
    <numFmt numFmtId="166" formatCode="_-* #,##0.0_-;\-* #,##0.0_-;_-* &quot;-&quot;??_-;_-@_-"/>
    <numFmt numFmtId="167" formatCode="0.0%"/>
    <numFmt numFmtId="168" formatCode="0.00000"/>
    <numFmt numFmtId="169" formatCode="_-[$$-409]* #,##0.00_ ;_-[$$-409]* \-#,##0.00\ ;_-[$$-409]* &quot;-&quot;??_ ;_-@_ "/>
  </numFmts>
  <fonts count="1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30"/>
      <name val="Calibri"/>
      <family val="2"/>
    </font>
    <font>
      <b/>
      <sz val="10"/>
      <color indexed="10"/>
      <name val="Calibri"/>
      <family val="2"/>
    </font>
    <font>
      <b/>
      <sz val="10"/>
      <color rgb="FF0070C0"/>
      <name val="Calibri"/>
      <family val="2"/>
    </font>
    <font>
      <b/>
      <sz val="10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0"/>
      <color theme="6"/>
      <name val="Calibri"/>
      <family val="2"/>
    </font>
    <font>
      <sz val="10"/>
      <color theme="6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30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/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0" fontId="3" fillId="2" borderId="4" xfId="1" applyFont="1" applyFill="1" applyBorder="1" applyAlignment="1">
      <alignment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3" fillId="3" borderId="8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 wrapText="1"/>
    </xf>
    <xf numFmtId="0" fontId="3" fillId="3" borderId="4" xfId="1" applyFont="1" applyFill="1" applyBorder="1" applyAlignment="1">
      <alignment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3" fillId="3" borderId="0" xfId="1" applyFont="1" applyFill="1" applyAlignment="1">
      <alignment vertical="center" wrapText="1"/>
    </xf>
    <xf numFmtId="0" fontId="4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 wrapText="1"/>
    </xf>
    <xf numFmtId="3" fontId="3" fillId="2" borderId="16" xfId="1" applyNumberFormat="1" applyFont="1" applyFill="1" applyBorder="1" applyAlignment="1">
      <alignment horizontal="right" vertical="center"/>
    </xf>
    <xf numFmtId="0" fontId="3" fillId="2" borderId="17" xfId="1" applyFont="1" applyFill="1" applyBorder="1" applyAlignment="1">
      <alignment horizontal="right" vertical="center"/>
    </xf>
    <xf numFmtId="3" fontId="3" fillId="3" borderId="0" xfId="1" applyNumberFormat="1" applyFont="1" applyFill="1" applyBorder="1" applyAlignment="1">
      <alignment horizontal="right" vertical="center"/>
    </xf>
    <xf numFmtId="0" fontId="3" fillId="3" borderId="0" xfId="1" applyFont="1" applyFill="1" applyBorder="1" applyAlignment="1">
      <alignment horizontal="right" vertical="center"/>
    </xf>
    <xf numFmtId="0" fontId="3" fillId="2" borderId="13" xfId="1" applyFont="1" applyFill="1" applyBorder="1" applyAlignment="1">
      <alignment horizontal="right" vertical="center"/>
    </xf>
    <xf numFmtId="0" fontId="3" fillId="2" borderId="14" xfId="1" applyFont="1" applyFill="1" applyBorder="1" applyAlignment="1">
      <alignment horizontal="right" vertical="center"/>
    </xf>
    <xf numFmtId="0" fontId="3" fillId="3" borderId="4" xfId="1" applyFont="1" applyFill="1" applyBorder="1" applyAlignment="1">
      <alignment horizontal="right" vertical="center"/>
    </xf>
    <xf numFmtId="0" fontId="3" fillId="3" borderId="8" xfId="1" applyFont="1" applyFill="1" applyBorder="1" applyAlignment="1">
      <alignment horizontal="right" vertical="center"/>
    </xf>
    <xf numFmtId="0" fontId="3" fillId="2" borderId="16" xfId="1" applyFont="1" applyFill="1" applyBorder="1" applyAlignment="1">
      <alignment horizontal="righ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" fontId="3" fillId="2" borderId="16" xfId="1" applyNumberFormat="1" applyFont="1" applyFill="1" applyBorder="1" applyAlignment="1">
      <alignment horizontal="right" vertical="center"/>
    </xf>
    <xf numFmtId="1" fontId="3" fillId="3" borderId="0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" fontId="7" fillId="2" borderId="16" xfId="1" applyNumberFormat="1" applyFont="1" applyFill="1" applyBorder="1" applyAlignment="1">
      <alignment horizontal="right" vertical="center"/>
    </xf>
    <xf numFmtId="0" fontId="7" fillId="2" borderId="17" xfId="1" applyFont="1" applyFill="1" applyBorder="1" applyAlignment="1">
      <alignment horizontal="right" vertical="center"/>
    </xf>
    <xf numFmtId="0" fontId="7" fillId="3" borderId="0" xfId="1" applyFont="1" applyFill="1" applyBorder="1" applyAlignment="1">
      <alignment horizontal="right" vertical="center"/>
    </xf>
    <xf numFmtId="0" fontId="7" fillId="3" borderId="4" xfId="1" applyFont="1" applyFill="1" applyBorder="1" applyAlignment="1">
      <alignment horizontal="right" vertical="center"/>
    </xf>
    <xf numFmtId="164" fontId="3" fillId="2" borderId="27" xfId="1" applyNumberFormat="1" applyFont="1" applyFill="1" applyBorder="1" applyAlignment="1">
      <alignment horizontal="right" vertical="center"/>
    </xf>
    <xf numFmtId="0" fontId="3" fillId="2" borderId="28" xfId="1" applyFont="1" applyFill="1" applyBorder="1" applyAlignment="1">
      <alignment horizontal="right" vertical="center"/>
    </xf>
    <xf numFmtId="0" fontId="7" fillId="3" borderId="8" xfId="1" applyFont="1" applyFill="1" applyBorder="1" applyAlignment="1">
      <alignment horizontal="right" vertical="center"/>
    </xf>
    <xf numFmtId="164" fontId="3" fillId="2" borderId="0" xfId="1" applyNumberFormat="1" applyFont="1" applyFill="1" applyBorder="1" applyAlignment="1">
      <alignment horizontal="right" vertical="center"/>
    </xf>
    <xf numFmtId="165" fontId="3" fillId="2" borderId="16" xfId="1" applyNumberFormat="1" applyFont="1" applyFill="1" applyBorder="1" applyAlignment="1">
      <alignment vertical="center"/>
    </xf>
    <xf numFmtId="165" fontId="3" fillId="3" borderId="0" xfId="1" applyNumberFormat="1" applyFont="1" applyFill="1" applyBorder="1" applyAlignment="1">
      <alignment vertical="center"/>
    </xf>
    <xf numFmtId="1" fontId="8" fillId="2" borderId="16" xfId="1" applyNumberFormat="1" applyFont="1" applyFill="1" applyBorder="1" applyAlignment="1">
      <alignment horizontal="right" vertical="center"/>
    </xf>
    <xf numFmtId="0" fontId="8" fillId="2" borderId="17" xfId="1" applyFont="1" applyFill="1" applyBorder="1" applyAlignment="1">
      <alignment horizontal="right" vertical="center"/>
    </xf>
    <xf numFmtId="0" fontId="8" fillId="3" borderId="0" xfId="1" applyFont="1" applyFill="1" applyBorder="1" applyAlignment="1">
      <alignment horizontal="right" vertical="center"/>
    </xf>
    <xf numFmtId="0" fontId="8" fillId="3" borderId="4" xfId="1" applyFont="1" applyFill="1" applyBorder="1" applyAlignment="1">
      <alignment horizontal="right" vertical="center"/>
    </xf>
    <xf numFmtId="0" fontId="8" fillId="3" borderId="8" xfId="1" applyFont="1" applyFill="1" applyBorder="1" applyAlignment="1">
      <alignment horizontal="right" vertical="center"/>
    </xf>
    <xf numFmtId="1" fontId="8" fillId="2" borderId="27" xfId="1" applyNumberFormat="1" applyFont="1" applyFill="1" applyBorder="1" applyAlignment="1">
      <alignment horizontal="right" vertical="center"/>
    </xf>
    <xf numFmtId="0" fontId="8" fillId="2" borderId="28" xfId="1" applyFont="1" applyFill="1" applyBorder="1" applyAlignment="1">
      <alignment horizontal="right" vertical="center"/>
    </xf>
    <xf numFmtId="1" fontId="3" fillId="2" borderId="27" xfId="1" applyNumberFormat="1" applyFont="1" applyFill="1" applyBorder="1" applyAlignment="1">
      <alignment vertical="center"/>
    </xf>
    <xf numFmtId="1" fontId="3" fillId="3" borderId="0" xfId="1" applyNumberFormat="1" applyFont="1" applyFill="1" applyBorder="1" applyAlignment="1">
      <alignment vertical="center"/>
    </xf>
    <xf numFmtId="0" fontId="3" fillId="3" borderId="17" xfId="1" applyFont="1" applyFill="1" applyBorder="1" applyAlignment="1">
      <alignment horizontal="right" vertical="center"/>
    </xf>
    <xf numFmtId="0" fontId="3" fillId="3" borderId="16" xfId="1" applyFont="1" applyFill="1" applyBorder="1" applyAlignment="1">
      <alignment horizontal="right" vertical="center"/>
    </xf>
    <xf numFmtId="165" fontId="3" fillId="3" borderId="16" xfId="1" applyNumberFormat="1" applyFont="1" applyFill="1" applyBorder="1" applyAlignment="1">
      <alignment horizontal="right" vertical="center"/>
    </xf>
    <xf numFmtId="165" fontId="3" fillId="3" borderId="0" xfId="1" applyNumberFormat="1" applyFont="1" applyFill="1" applyBorder="1" applyAlignment="1">
      <alignment horizontal="right" vertical="center"/>
    </xf>
    <xf numFmtId="3" fontId="3" fillId="3" borderId="16" xfId="1" applyNumberFormat="1" applyFont="1" applyFill="1" applyBorder="1" applyAlignment="1">
      <alignment horizontal="right" vertical="center"/>
    </xf>
    <xf numFmtId="3" fontId="3" fillId="3" borderId="27" xfId="1" applyNumberFormat="1" applyFont="1" applyFill="1" applyBorder="1" applyAlignment="1">
      <alignment horizontal="right" vertical="center"/>
    </xf>
    <xf numFmtId="0" fontId="3" fillId="3" borderId="28" xfId="1" applyFont="1" applyFill="1" applyBorder="1" applyAlignment="1">
      <alignment horizontal="right" vertical="center"/>
    </xf>
    <xf numFmtId="165" fontId="7" fillId="3" borderId="0" xfId="1" applyNumberFormat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3" fillId="3" borderId="10" xfId="1" applyFont="1" applyFill="1" applyBorder="1" applyAlignment="1">
      <alignment horizontal="right" vertical="center"/>
    </xf>
    <xf numFmtId="0" fontId="8" fillId="3" borderId="10" xfId="1" applyFont="1" applyFill="1" applyBorder="1" applyAlignment="1">
      <alignment horizontal="right" vertical="center"/>
    </xf>
    <xf numFmtId="0" fontId="3" fillId="3" borderId="0" xfId="1" applyFont="1" applyFill="1" applyAlignment="1">
      <alignment vertical="center"/>
    </xf>
    <xf numFmtId="0" fontId="3" fillId="3" borderId="9" xfId="1" applyFont="1" applyFill="1" applyBorder="1" applyAlignment="1">
      <alignment vertical="center"/>
    </xf>
    <xf numFmtId="0" fontId="3" fillId="2" borderId="10" xfId="1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3" fillId="3" borderId="11" xfId="1" applyFont="1" applyFill="1" applyBorder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6" borderId="0" xfId="0" applyNumberFormat="1" applyFill="1"/>
    <xf numFmtId="0" fontId="0" fillId="6" borderId="0" xfId="0" applyFill="1"/>
    <xf numFmtId="9" fontId="0" fillId="0" borderId="0" xfId="3" applyFont="1"/>
    <xf numFmtId="9" fontId="0" fillId="6" borderId="0" xfId="3" applyFont="1" applyFill="1"/>
    <xf numFmtId="0" fontId="0" fillId="6" borderId="0" xfId="0" applyFill="1" applyAlignment="1">
      <alignment horizontal="center" vertical="center"/>
    </xf>
    <xf numFmtId="164" fontId="0" fillId="6" borderId="0" xfId="0" applyNumberFormat="1" applyFill="1"/>
    <xf numFmtId="0" fontId="12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66" fontId="0" fillId="6" borderId="0" xfId="2" applyNumberFormat="1" applyFont="1" applyFill="1"/>
    <xf numFmtId="167" fontId="0" fillId="6" borderId="0" xfId="3" applyNumberFormat="1" applyFont="1" applyFill="1"/>
    <xf numFmtId="0" fontId="10" fillId="7" borderId="0" xfId="0" applyFont="1" applyFill="1"/>
    <xf numFmtId="0" fontId="10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3" fontId="0" fillId="6" borderId="0" xfId="0" applyNumberFormat="1" applyFill="1"/>
    <xf numFmtId="0" fontId="0" fillId="0" borderId="0" xfId="0" applyAlignment="1">
      <alignment horizontal="center"/>
    </xf>
    <xf numFmtId="164" fontId="0" fillId="8" borderId="0" xfId="0" applyNumberFormat="1" applyFill="1"/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0" fontId="0" fillId="6" borderId="0" xfId="3" applyNumberFormat="1" applyFont="1" applyFill="1"/>
    <xf numFmtId="2" fontId="0" fillId="0" borderId="0" xfId="0" applyNumberFormat="1"/>
    <xf numFmtId="0" fontId="0" fillId="0" borderId="3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9" fontId="0" fillId="0" borderId="16" xfId="3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9" fontId="0" fillId="0" borderId="27" xfId="3" applyFont="1" applyBorder="1" applyAlignment="1">
      <alignment horizontal="center"/>
    </xf>
    <xf numFmtId="2" fontId="0" fillId="0" borderId="17" xfId="3" applyNumberFormat="1" applyFont="1" applyBorder="1" applyAlignment="1">
      <alignment horizontal="center"/>
    </xf>
    <xf numFmtId="2" fontId="0" fillId="0" borderId="28" xfId="3" applyNumberFormat="1" applyFon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9" fontId="0" fillId="0" borderId="31" xfId="3" applyFont="1" applyBorder="1" applyAlignment="1">
      <alignment horizontal="center"/>
    </xf>
    <xf numFmtId="2" fontId="0" fillId="0" borderId="32" xfId="3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3" applyFont="1" applyBorder="1" applyAlignment="1">
      <alignment horizontal="center"/>
    </xf>
    <xf numFmtId="2" fontId="0" fillId="0" borderId="14" xfId="3" applyNumberFormat="1" applyFon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9" fontId="0" fillId="0" borderId="34" xfId="3" applyFont="1" applyBorder="1" applyAlignment="1">
      <alignment horizontal="center"/>
    </xf>
    <xf numFmtId="2" fontId="0" fillId="0" borderId="35" xfId="3" applyNumberFormat="1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10" fontId="0" fillId="0" borderId="0" xfId="0" applyNumberFormat="1"/>
    <xf numFmtId="0" fontId="3" fillId="9" borderId="13" xfId="1" applyFont="1" applyFill="1" applyBorder="1" applyAlignment="1">
      <alignment horizontal="right" vertical="center"/>
    </xf>
    <xf numFmtId="0" fontId="3" fillId="9" borderId="14" xfId="1" applyFont="1" applyFill="1" applyBorder="1" applyAlignment="1">
      <alignment horizontal="right" vertical="center"/>
    </xf>
    <xf numFmtId="0" fontId="3" fillId="9" borderId="21" xfId="1" applyFont="1" applyFill="1" applyBorder="1" applyAlignment="1">
      <alignment horizontal="left" vertical="center"/>
    </xf>
    <xf numFmtId="0" fontId="3" fillId="9" borderId="22" xfId="1" applyFont="1" applyFill="1" applyBorder="1" applyAlignment="1">
      <alignment horizontal="left" vertical="center"/>
    </xf>
    <xf numFmtId="0" fontId="3" fillId="9" borderId="23" xfId="1" applyFont="1" applyFill="1" applyBorder="1" applyAlignment="1">
      <alignment horizontal="left" vertical="center"/>
    </xf>
    <xf numFmtId="3" fontId="3" fillId="9" borderId="16" xfId="1" applyNumberFormat="1" applyFont="1" applyFill="1" applyBorder="1" applyAlignment="1">
      <alignment horizontal="right" vertical="center"/>
    </xf>
    <xf numFmtId="0" fontId="3" fillId="9" borderId="17" xfId="1" applyFont="1" applyFill="1" applyBorder="1" applyAlignment="1">
      <alignment horizontal="right" vertical="center"/>
    </xf>
    <xf numFmtId="164" fontId="3" fillId="9" borderId="16" xfId="1" applyNumberFormat="1" applyFont="1" applyFill="1" applyBorder="1" applyAlignment="1">
      <alignment horizontal="right" vertical="center"/>
    </xf>
    <xf numFmtId="164" fontId="3" fillId="9" borderId="27" xfId="1" applyNumberFormat="1" applyFont="1" applyFill="1" applyBorder="1" applyAlignment="1">
      <alignment horizontal="right" vertical="center"/>
    </xf>
    <xf numFmtId="0" fontId="3" fillId="9" borderId="28" xfId="1" applyFont="1" applyFill="1" applyBorder="1" applyAlignment="1">
      <alignment horizontal="right" vertical="center"/>
    </xf>
    <xf numFmtId="0" fontId="3" fillId="9" borderId="16" xfId="1" applyFont="1" applyFill="1" applyBorder="1" applyAlignment="1">
      <alignment horizontal="right" vertical="center"/>
    </xf>
    <xf numFmtId="1" fontId="3" fillId="9" borderId="16" xfId="1" applyNumberFormat="1" applyFont="1" applyFill="1" applyBorder="1" applyAlignment="1">
      <alignment horizontal="right" vertical="center"/>
    </xf>
    <xf numFmtId="1" fontId="7" fillId="9" borderId="16" xfId="1" applyNumberFormat="1" applyFont="1" applyFill="1" applyBorder="1" applyAlignment="1">
      <alignment horizontal="right" vertical="center"/>
    </xf>
    <xf numFmtId="0" fontId="7" fillId="9" borderId="17" xfId="1" applyFont="1" applyFill="1" applyBorder="1" applyAlignment="1">
      <alignment horizontal="right" vertical="center"/>
    </xf>
    <xf numFmtId="1" fontId="8" fillId="9" borderId="16" xfId="1" applyNumberFormat="1" applyFont="1" applyFill="1" applyBorder="1" applyAlignment="1">
      <alignment horizontal="right" vertical="center"/>
    </xf>
    <xf numFmtId="0" fontId="8" fillId="9" borderId="17" xfId="1" applyFont="1" applyFill="1" applyBorder="1" applyAlignment="1">
      <alignment horizontal="right" vertical="center"/>
    </xf>
    <xf numFmtId="1" fontId="8" fillId="9" borderId="27" xfId="1" applyNumberFormat="1" applyFont="1" applyFill="1" applyBorder="1" applyAlignment="1">
      <alignment horizontal="right" vertical="center"/>
    </xf>
    <xf numFmtId="0" fontId="8" fillId="9" borderId="28" xfId="1" applyFont="1" applyFill="1" applyBorder="1" applyAlignment="1">
      <alignment horizontal="right" vertical="center"/>
    </xf>
    <xf numFmtId="168" fontId="0" fillId="0" borderId="0" xfId="0" applyNumberFormat="1"/>
    <xf numFmtId="9" fontId="0" fillId="0" borderId="0" xfId="0" applyNumberFormat="1"/>
    <xf numFmtId="0" fontId="10" fillId="7" borderId="0" xfId="0" applyFont="1" applyFill="1" applyAlignment="1">
      <alignment horizontal="center"/>
    </xf>
    <xf numFmtId="0" fontId="0" fillId="0" borderId="40" xfId="0" applyBorder="1"/>
    <xf numFmtId="0" fontId="0" fillId="0" borderId="0" xfId="0" applyBorder="1"/>
    <xf numFmtId="2" fontId="0" fillId="0" borderId="0" xfId="0" applyNumberFormat="1" applyBorder="1"/>
    <xf numFmtId="9" fontId="0" fillId="0" borderId="0" xfId="3" applyFont="1" applyBorder="1"/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4" fontId="0" fillId="6" borderId="0" xfId="0" applyNumberFormat="1" applyFill="1" applyBorder="1"/>
    <xf numFmtId="1" fontId="0" fillId="6" borderId="0" xfId="0" applyNumberFormat="1" applyFill="1" applyBorder="1"/>
    <xf numFmtId="0" fontId="0" fillId="6" borderId="0" xfId="0" applyFill="1" applyBorder="1"/>
    <xf numFmtId="9" fontId="0" fillId="6" borderId="0" xfId="3" applyFont="1" applyFill="1" applyBorder="1"/>
    <xf numFmtId="0" fontId="0" fillId="6" borderId="0" xfId="3" applyNumberFormat="1" applyFont="1" applyFill="1" applyBorder="1"/>
    <xf numFmtId="43" fontId="0" fillId="6" borderId="0" xfId="2" applyNumberFormat="1" applyFont="1" applyFill="1" applyBorder="1"/>
    <xf numFmtId="166" fontId="0" fillId="6" borderId="0" xfId="2" applyNumberFormat="1" applyFont="1" applyFill="1" applyBorder="1"/>
    <xf numFmtId="2" fontId="0" fillId="0" borderId="40" xfId="0" applyNumberFormat="1" applyBorder="1"/>
    <xf numFmtId="9" fontId="0" fillId="0" borderId="40" xfId="3" applyFont="1" applyBorder="1"/>
    <xf numFmtId="0" fontId="0" fillId="6" borderId="40" xfId="0" applyFill="1" applyBorder="1" applyAlignment="1">
      <alignment horizontal="center" vertical="center"/>
    </xf>
    <xf numFmtId="164" fontId="0" fillId="6" borderId="40" xfId="0" applyNumberFormat="1" applyFill="1" applyBorder="1"/>
    <xf numFmtId="1" fontId="0" fillId="6" borderId="40" xfId="0" applyNumberFormat="1" applyFill="1" applyBorder="1"/>
    <xf numFmtId="0" fontId="0" fillId="6" borderId="40" xfId="0" applyFill="1" applyBorder="1"/>
    <xf numFmtId="9" fontId="0" fillId="6" borderId="40" xfId="3" applyFont="1" applyFill="1" applyBorder="1"/>
    <xf numFmtId="0" fontId="0" fillId="6" borderId="40" xfId="3" applyNumberFormat="1" applyFont="1" applyFill="1" applyBorder="1"/>
    <xf numFmtId="43" fontId="0" fillId="6" borderId="40" xfId="2" applyNumberFormat="1" applyFont="1" applyFill="1" applyBorder="1"/>
    <xf numFmtId="166" fontId="0" fillId="6" borderId="40" xfId="2" applyNumberFormat="1" applyFont="1" applyFill="1" applyBorder="1"/>
    <xf numFmtId="0" fontId="0" fillId="0" borderId="39" xfId="0" applyBorder="1"/>
    <xf numFmtId="2" fontId="0" fillId="0" borderId="39" xfId="0" applyNumberFormat="1" applyBorder="1"/>
    <xf numFmtId="9" fontId="0" fillId="0" borderId="39" xfId="3" applyFont="1" applyBorder="1"/>
    <xf numFmtId="0" fontId="0" fillId="6" borderId="39" xfId="0" applyFill="1" applyBorder="1" applyAlignment="1">
      <alignment horizontal="center" vertical="center"/>
    </xf>
    <xf numFmtId="164" fontId="0" fillId="6" borderId="39" xfId="0" applyNumberFormat="1" applyFill="1" applyBorder="1"/>
    <xf numFmtId="1" fontId="0" fillId="6" borderId="39" xfId="0" applyNumberFormat="1" applyFill="1" applyBorder="1"/>
    <xf numFmtId="0" fontId="0" fillId="6" borderId="39" xfId="0" applyFill="1" applyBorder="1"/>
    <xf numFmtId="9" fontId="0" fillId="6" borderId="39" xfId="3" applyFont="1" applyFill="1" applyBorder="1"/>
    <xf numFmtId="0" fontId="0" fillId="6" borderId="39" xfId="3" applyNumberFormat="1" applyFont="1" applyFill="1" applyBorder="1"/>
    <xf numFmtId="43" fontId="0" fillId="6" borderId="39" xfId="2" applyNumberFormat="1" applyFont="1" applyFill="1" applyBorder="1"/>
    <xf numFmtId="166" fontId="0" fillId="6" borderId="39" xfId="2" applyNumberFormat="1" applyFont="1" applyFill="1" applyBorder="1"/>
    <xf numFmtId="0" fontId="10" fillId="7" borderId="0" xfId="0" applyFont="1" applyFill="1" applyAlignment="1">
      <alignment horizontal="center"/>
    </xf>
    <xf numFmtId="0" fontId="16" fillId="3" borderId="0" xfId="1" applyFont="1" applyFill="1" applyAlignment="1">
      <alignment horizontal="right" vertical="center"/>
    </xf>
    <xf numFmtId="1" fontId="16" fillId="3" borderId="0" xfId="1" applyNumberFormat="1" applyFont="1" applyFill="1" applyAlignment="1">
      <alignment vertical="center"/>
    </xf>
    <xf numFmtId="2" fontId="0" fillId="0" borderId="0" xfId="0" applyNumberFormat="1" applyBorder="1" applyAlignment="1">
      <alignment horizontal="center"/>
    </xf>
    <xf numFmtId="43" fontId="0" fillId="6" borderId="0" xfId="0" applyNumberFormat="1" applyFill="1"/>
    <xf numFmtId="164" fontId="0" fillId="0" borderId="40" xfId="0" applyNumberFormat="1" applyBorder="1"/>
    <xf numFmtId="2" fontId="0" fillId="9" borderId="0" xfId="0" applyNumberFormat="1" applyFill="1" applyBorder="1"/>
    <xf numFmtId="44" fontId="0" fillId="0" borderId="0" xfId="4" applyFont="1"/>
    <xf numFmtId="44" fontId="0" fillId="0" borderId="0" xfId="0" applyNumberFormat="1"/>
    <xf numFmtId="0" fontId="10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5" fillId="2" borderId="15" xfId="1" applyFont="1" applyFill="1" applyBorder="1" applyAlignment="1">
      <alignment horizontal="left" vertical="center"/>
    </xf>
    <xf numFmtId="0" fontId="15" fillId="2" borderId="16" xfId="1" applyFont="1" applyFill="1" applyBorder="1" applyAlignment="1">
      <alignment horizontal="left" vertical="center"/>
    </xf>
    <xf numFmtId="0" fontId="8" fillId="2" borderId="29" xfId="1" applyFont="1" applyFill="1" applyBorder="1" applyAlignment="1">
      <alignment horizontal="left" vertical="center"/>
    </xf>
    <xf numFmtId="0" fontId="8" fillId="2" borderId="27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3" fillId="2" borderId="12" xfId="1" applyFont="1" applyFill="1" applyBorder="1" applyAlignment="1">
      <alignment horizontal="left" vertical="center"/>
    </xf>
    <xf numFmtId="0" fontId="3" fillId="2" borderId="13" xfId="1" applyFont="1" applyFill="1" applyBorder="1" applyAlignment="1">
      <alignment horizontal="left" vertical="center"/>
    </xf>
    <xf numFmtId="0" fontId="3" fillId="3" borderId="15" xfId="1" applyFont="1" applyFill="1" applyBorder="1" applyAlignment="1">
      <alignment horizontal="left" vertical="center"/>
    </xf>
    <xf numFmtId="0" fontId="3" fillId="3" borderId="16" xfId="1" applyFont="1" applyFill="1" applyBorder="1" applyAlignment="1">
      <alignment horizontal="left" vertical="center"/>
    </xf>
    <xf numFmtId="0" fontId="7" fillId="9" borderId="15" xfId="1" applyFont="1" applyFill="1" applyBorder="1" applyAlignment="1">
      <alignment horizontal="left" vertical="center"/>
    </xf>
    <xf numFmtId="0" fontId="7" fillId="9" borderId="16" xfId="1" applyFont="1" applyFill="1" applyBorder="1" applyAlignment="1">
      <alignment horizontal="left" vertical="center"/>
    </xf>
    <xf numFmtId="0" fontId="8" fillId="9" borderId="15" xfId="1" applyFont="1" applyFill="1" applyBorder="1" applyAlignment="1">
      <alignment horizontal="left" vertical="center"/>
    </xf>
    <xf numFmtId="0" fontId="8" fillId="9" borderId="16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/>
    </xf>
    <xf numFmtId="0" fontId="8" fillId="2" borderId="15" xfId="1" applyFont="1" applyFill="1" applyBorder="1" applyAlignment="1">
      <alignment horizontal="left" vertical="center"/>
    </xf>
    <xf numFmtId="0" fontId="8" fillId="2" borderId="16" xfId="1" applyFont="1" applyFill="1" applyBorder="1" applyAlignment="1">
      <alignment horizontal="left" vertical="center"/>
    </xf>
    <xf numFmtId="0" fontId="3" fillId="2" borderId="24" xfId="1" applyFont="1" applyFill="1" applyBorder="1" applyAlignment="1">
      <alignment horizontal="left" vertical="center"/>
    </xf>
    <xf numFmtId="0" fontId="3" fillId="2" borderId="25" xfId="1" applyFont="1" applyFill="1" applyBorder="1" applyAlignment="1">
      <alignment horizontal="left" vertical="center"/>
    </xf>
    <xf numFmtId="0" fontId="3" fillId="2" borderId="26" xfId="1" applyFont="1" applyFill="1" applyBorder="1" applyAlignment="1">
      <alignment horizontal="left" vertical="center"/>
    </xf>
    <xf numFmtId="0" fontId="3" fillId="2" borderId="18" xfId="1" applyFont="1" applyFill="1" applyBorder="1" applyAlignment="1">
      <alignment horizontal="left" vertical="center"/>
    </xf>
    <xf numFmtId="0" fontId="3" fillId="2" borderId="19" xfId="1" applyFont="1" applyFill="1" applyBorder="1" applyAlignment="1">
      <alignment horizontal="left" vertical="center"/>
    </xf>
    <xf numFmtId="0" fontId="3" fillId="2" borderId="20" xfId="1" applyFont="1" applyFill="1" applyBorder="1" applyAlignment="1">
      <alignment horizontal="left" vertical="center"/>
    </xf>
    <xf numFmtId="0" fontId="4" fillId="4" borderId="1" xfId="1" applyFont="1" applyFill="1" applyBorder="1" applyAlignment="1">
      <alignment horizontal="left" vertical="center" wrapText="1"/>
    </xf>
    <xf numFmtId="0" fontId="4" fillId="4" borderId="2" xfId="1" applyFont="1" applyFill="1" applyBorder="1" applyAlignment="1">
      <alignment horizontal="left" vertical="center" wrapText="1"/>
    </xf>
    <xf numFmtId="0" fontId="4" fillId="4" borderId="3" xfId="1" applyFont="1" applyFill="1" applyBorder="1" applyAlignment="1">
      <alignment horizontal="left" vertical="center" wrapText="1"/>
    </xf>
    <xf numFmtId="0" fontId="4" fillId="4" borderId="9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1" xfId="1" applyFont="1" applyFill="1" applyBorder="1" applyAlignment="1">
      <alignment horizontal="left" vertical="center" wrapText="1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3" fillId="3" borderId="29" xfId="1" applyFont="1" applyFill="1" applyBorder="1" applyAlignment="1">
      <alignment horizontal="left" vertical="center"/>
    </xf>
    <xf numFmtId="0" fontId="3" fillId="3" borderId="27" xfId="1" applyFont="1" applyFill="1" applyBorder="1" applyAlignment="1">
      <alignment horizontal="lef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65" fontId="7" fillId="3" borderId="0" xfId="1" applyNumberFormat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left" vertical="center" wrapText="1"/>
    </xf>
    <xf numFmtId="0" fontId="8" fillId="9" borderId="29" xfId="1" applyFont="1" applyFill="1" applyBorder="1" applyAlignment="1">
      <alignment horizontal="left" vertical="center"/>
    </xf>
    <xf numFmtId="0" fontId="8" fillId="9" borderId="27" xfId="1" applyFont="1" applyFill="1" applyBorder="1" applyAlignment="1">
      <alignment horizontal="left" vertical="center"/>
    </xf>
    <xf numFmtId="0" fontId="4" fillId="9" borderId="5" xfId="1" applyFont="1" applyFill="1" applyBorder="1" applyAlignment="1">
      <alignment horizontal="center" vertical="center"/>
    </xf>
    <xf numFmtId="0" fontId="4" fillId="9" borderId="6" xfId="1" applyFont="1" applyFill="1" applyBorder="1" applyAlignment="1">
      <alignment horizontal="center" vertical="center"/>
    </xf>
    <xf numFmtId="0" fontId="4" fillId="9" borderId="7" xfId="1" applyFont="1" applyFill="1" applyBorder="1" applyAlignment="1">
      <alignment horizontal="center" vertical="center"/>
    </xf>
    <xf numFmtId="0" fontId="3" fillId="9" borderId="18" xfId="1" applyFont="1" applyFill="1" applyBorder="1" applyAlignment="1">
      <alignment horizontal="left" vertical="center"/>
    </xf>
    <xf numFmtId="0" fontId="3" fillId="9" borderId="19" xfId="1" applyFont="1" applyFill="1" applyBorder="1" applyAlignment="1">
      <alignment horizontal="left" vertical="center"/>
    </xf>
    <xf numFmtId="0" fontId="3" fillId="9" borderId="20" xfId="1" applyFont="1" applyFill="1" applyBorder="1" applyAlignment="1">
      <alignment horizontal="left" vertical="center"/>
    </xf>
    <xf numFmtId="0" fontId="3" fillId="9" borderId="24" xfId="1" applyFont="1" applyFill="1" applyBorder="1" applyAlignment="1">
      <alignment horizontal="left" vertical="center"/>
    </xf>
    <xf numFmtId="0" fontId="3" fillId="9" borderId="25" xfId="1" applyFont="1" applyFill="1" applyBorder="1" applyAlignment="1">
      <alignment horizontal="left" vertical="center"/>
    </xf>
    <xf numFmtId="0" fontId="3" fillId="9" borderId="26" xfId="1" applyFont="1" applyFill="1" applyBorder="1" applyAlignment="1">
      <alignment horizontal="left" vertical="center"/>
    </xf>
    <xf numFmtId="0" fontId="3" fillId="9" borderId="12" xfId="1" applyFont="1" applyFill="1" applyBorder="1" applyAlignment="1">
      <alignment horizontal="left" vertical="center"/>
    </xf>
    <xf numFmtId="0" fontId="3" fillId="9" borderId="13" xfId="1" applyFont="1" applyFill="1" applyBorder="1" applyAlignment="1">
      <alignment horizontal="left" vertical="center"/>
    </xf>
    <xf numFmtId="0" fontId="3" fillId="9" borderId="15" xfId="1" applyFont="1" applyFill="1" applyBorder="1" applyAlignment="1">
      <alignment horizontal="left" vertical="center"/>
    </xf>
    <xf numFmtId="0" fontId="3" fillId="9" borderId="16" xfId="1" applyFont="1" applyFill="1" applyBorder="1" applyAlignment="1">
      <alignment horizontal="left" vertical="center"/>
    </xf>
    <xf numFmtId="169" fontId="0" fillId="0" borderId="0" xfId="0" applyNumberFormat="1"/>
    <xf numFmtId="1" fontId="0" fillId="0" borderId="0" xfId="4" applyNumberFormat="1" applyFont="1" applyAlignment="1">
      <alignment horizontal="center"/>
    </xf>
    <xf numFmtId="43" fontId="0" fillId="0" borderId="0" xfId="0" applyNumberFormat="1"/>
    <xf numFmtId="167" fontId="0" fillId="6" borderId="39" xfId="3" applyNumberFormat="1" applyFont="1" applyFill="1" applyBorder="1"/>
  </cellXfs>
  <cellStyles count="5">
    <cellStyle name="Moeda" xfId="4" builtinId="4"/>
    <cellStyle name="Normal" xfId="0" builtinId="0"/>
    <cellStyle name="Normal 2" xfId="1" xr:uid="{00000000-0005-0000-0000-000001000000}"/>
    <cellStyle name="Porcentagem" xfId="3" builtinId="5"/>
    <cellStyle name="Vírgula" xfId="2" builtinId="3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104775</xdr:colOff>
      <xdr:row>9</xdr:row>
      <xdr:rowOff>38100</xdr:rowOff>
    </xdr:from>
    <xdr:to>
      <xdr:col>46</xdr:col>
      <xdr:colOff>72693</xdr:colOff>
      <xdr:row>9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4751F8-6458-4E26-91FA-4897F6123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0" y="771525"/>
          <a:ext cx="2657143" cy="1161905"/>
        </a:xfrm>
        <a:prstGeom prst="rect">
          <a:avLst/>
        </a:prstGeom>
      </xdr:spPr>
    </xdr:pic>
    <xdr:clientData/>
  </xdr:twoCellAnchor>
  <xdr:twoCellAnchor editAs="oneCell">
    <xdr:from>
      <xdr:col>46</xdr:col>
      <xdr:colOff>409575</xdr:colOff>
      <xdr:row>8</xdr:row>
      <xdr:rowOff>152400</xdr:rowOff>
    </xdr:from>
    <xdr:to>
      <xdr:col>47</xdr:col>
      <xdr:colOff>716339</xdr:colOff>
      <xdr:row>8</xdr:row>
      <xdr:rowOff>152400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6745369-9106-492D-99EA-1A7191117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78200" y="771525"/>
          <a:ext cx="1219048" cy="371429"/>
        </a:xfrm>
        <a:prstGeom prst="rect">
          <a:avLst/>
        </a:prstGeom>
      </xdr:spPr>
    </xdr:pic>
    <xdr:clientData/>
  </xdr:twoCellAnchor>
  <xdr:twoCellAnchor editAs="oneCell">
    <xdr:from>
      <xdr:col>46</xdr:col>
      <xdr:colOff>419100</xdr:colOff>
      <xdr:row>10</xdr:row>
      <xdr:rowOff>104775</xdr:rowOff>
    </xdr:from>
    <xdr:to>
      <xdr:col>48</xdr:col>
      <xdr:colOff>28395</xdr:colOff>
      <xdr:row>10</xdr:row>
      <xdr:rowOff>104775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F3A1563-6201-425F-9414-BCC53D918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87725" y="771525"/>
          <a:ext cx="1438095" cy="1047619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7</xdr:row>
      <xdr:rowOff>152400</xdr:rowOff>
    </xdr:from>
    <xdr:ext cx="1219048" cy="0"/>
    <xdr:pic>
      <xdr:nvPicPr>
        <xdr:cNvPr id="6" name="Imagem 5">
          <a:extLst>
            <a:ext uri="{FF2B5EF4-FFF2-40B4-BE49-F238E27FC236}">
              <a16:creationId xmlns:a16="http://schemas.microsoft.com/office/drawing/2014/main" id="{F9B1C4E4-6CFF-4506-8E97-E60C57EE7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40100" y="20669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7" name="Imagem 6">
          <a:extLst>
            <a:ext uri="{FF2B5EF4-FFF2-40B4-BE49-F238E27FC236}">
              <a16:creationId xmlns:a16="http://schemas.microsoft.com/office/drawing/2014/main" id="{670FEFF8-D18C-48BA-BAB4-BCFDBF553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11</xdr:row>
      <xdr:rowOff>0</xdr:rowOff>
    </xdr:from>
    <xdr:ext cx="2666668" cy="0"/>
    <xdr:pic>
      <xdr:nvPicPr>
        <xdr:cNvPr id="8" name="Imagem 7">
          <a:extLst>
            <a:ext uri="{FF2B5EF4-FFF2-40B4-BE49-F238E27FC236}">
              <a16:creationId xmlns:a16="http://schemas.microsoft.com/office/drawing/2014/main" id="{E8439219-F80A-4F43-9689-FD5B4E8DF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3692" y="2144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27514" cy="0"/>
    <xdr:pic>
      <xdr:nvPicPr>
        <xdr:cNvPr id="9" name="Imagem 8">
          <a:extLst>
            <a:ext uri="{FF2B5EF4-FFF2-40B4-BE49-F238E27FC236}">
              <a16:creationId xmlns:a16="http://schemas.microsoft.com/office/drawing/2014/main" id="{8194A9C2-7A4F-498B-BACA-504187A36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2067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11</xdr:row>
      <xdr:rowOff>0</xdr:rowOff>
    </xdr:from>
    <xdr:ext cx="1450795" cy="0"/>
    <xdr:pic>
      <xdr:nvPicPr>
        <xdr:cNvPr id="10" name="Imagem 9">
          <a:extLst>
            <a:ext uri="{FF2B5EF4-FFF2-40B4-BE49-F238E27FC236}">
              <a16:creationId xmlns:a16="http://schemas.microsoft.com/office/drawing/2014/main" id="{E4093008-2874-4707-B854-D75B449A6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34517" y="2401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11" name="Imagem 10">
          <a:extLst>
            <a:ext uri="{FF2B5EF4-FFF2-40B4-BE49-F238E27FC236}">
              <a16:creationId xmlns:a16="http://schemas.microsoft.com/office/drawing/2014/main" id="{9B995D02-B5F8-40B3-91BA-2FD39C17B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12" name="Imagem 11">
          <a:extLst>
            <a:ext uri="{FF2B5EF4-FFF2-40B4-BE49-F238E27FC236}">
              <a16:creationId xmlns:a16="http://schemas.microsoft.com/office/drawing/2014/main" id="{E8BB5EFA-9130-4156-AD3B-AEFA0D9A4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2639483"/>
          <a:ext cx="1219048" cy="0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11</xdr:row>
      <xdr:rowOff>0</xdr:rowOff>
    </xdr:from>
    <xdr:ext cx="2666668" cy="0"/>
    <xdr:pic>
      <xdr:nvPicPr>
        <xdr:cNvPr id="13" name="Imagem 12">
          <a:extLst>
            <a:ext uri="{FF2B5EF4-FFF2-40B4-BE49-F238E27FC236}">
              <a16:creationId xmlns:a16="http://schemas.microsoft.com/office/drawing/2014/main" id="{6A08D3E3-532D-489B-9795-9D0F8CB95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3692" y="4430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27514" cy="0"/>
    <xdr:pic>
      <xdr:nvPicPr>
        <xdr:cNvPr id="14" name="Imagem 13">
          <a:extLst>
            <a:ext uri="{FF2B5EF4-FFF2-40B4-BE49-F238E27FC236}">
              <a16:creationId xmlns:a16="http://schemas.microsoft.com/office/drawing/2014/main" id="{92285AC7-5019-4A5A-86C8-2762754DE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4353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11</xdr:row>
      <xdr:rowOff>0</xdr:rowOff>
    </xdr:from>
    <xdr:ext cx="1450795" cy="0"/>
    <xdr:pic>
      <xdr:nvPicPr>
        <xdr:cNvPr id="15" name="Imagem 14">
          <a:extLst>
            <a:ext uri="{FF2B5EF4-FFF2-40B4-BE49-F238E27FC236}">
              <a16:creationId xmlns:a16="http://schemas.microsoft.com/office/drawing/2014/main" id="{1F0A1AC7-997C-4584-8ADD-3F517C217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34517" y="4687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16" name="Imagem 15">
          <a:extLst>
            <a:ext uri="{FF2B5EF4-FFF2-40B4-BE49-F238E27FC236}">
              <a16:creationId xmlns:a16="http://schemas.microsoft.com/office/drawing/2014/main" id="{1D81E8E6-F117-4085-B3F6-20D1CB13F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4163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17" name="Imagem 16">
          <a:extLst>
            <a:ext uri="{FF2B5EF4-FFF2-40B4-BE49-F238E27FC236}">
              <a16:creationId xmlns:a16="http://schemas.microsoft.com/office/drawing/2014/main" id="{5FD8D3FB-761C-47CD-8696-38729ED9F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4925483"/>
          <a:ext cx="1219048" cy="0"/>
        </a:xfrm>
        <a:prstGeom prst="rect">
          <a:avLst/>
        </a:prstGeom>
      </xdr:spPr>
    </xdr:pic>
    <xdr:clientData/>
  </xdr:oneCellAnchor>
  <xdr:oneCellAnchor>
    <xdr:from>
      <xdr:col>41</xdr:col>
      <xdr:colOff>534459</xdr:colOff>
      <xdr:row>26</xdr:row>
      <xdr:rowOff>52917</xdr:rowOff>
    </xdr:from>
    <xdr:ext cx="4648749" cy="2219325"/>
    <xdr:pic>
      <xdr:nvPicPr>
        <xdr:cNvPr id="18" name="Imagem 17">
          <a:extLst>
            <a:ext uri="{FF2B5EF4-FFF2-40B4-BE49-F238E27FC236}">
              <a16:creationId xmlns:a16="http://schemas.microsoft.com/office/drawing/2014/main" id="{32063E8C-BB30-4FCA-9DC1-ADAA3D5E0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25876" y="5778500"/>
          <a:ext cx="4648749" cy="2219325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11</xdr:row>
      <xdr:rowOff>0</xdr:rowOff>
    </xdr:from>
    <xdr:ext cx="2666668" cy="0"/>
    <xdr:pic>
      <xdr:nvPicPr>
        <xdr:cNvPr id="19" name="Imagem 18">
          <a:extLst>
            <a:ext uri="{FF2B5EF4-FFF2-40B4-BE49-F238E27FC236}">
              <a16:creationId xmlns:a16="http://schemas.microsoft.com/office/drawing/2014/main" id="{2F02CC8C-8464-4C6D-9753-B746A1902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3692" y="6716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27514" cy="0"/>
    <xdr:pic>
      <xdr:nvPicPr>
        <xdr:cNvPr id="20" name="Imagem 19">
          <a:extLst>
            <a:ext uri="{FF2B5EF4-FFF2-40B4-BE49-F238E27FC236}">
              <a16:creationId xmlns:a16="http://schemas.microsoft.com/office/drawing/2014/main" id="{DF5492BF-8B52-46E8-9DC9-D2C7BE1CF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6639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11</xdr:row>
      <xdr:rowOff>0</xdr:rowOff>
    </xdr:from>
    <xdr:ext cx="1450795" cy="0"/>
    <xdr:pic>
      <xdr:nvPicPr>
        <xdr:cNvPr id="21" name="Imagem 20">
          <a:extLst>
            <a:ext uri="{FF2B5EF4-FFF2-40B4-BE49-F238E27FC236}">
              <a16:creationId xmlns:a16="http://schemas.microsoft.com/office/drawing/2014/main" id="{FFB5D39A-9FFD-4128-9697-21CC2062D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34517" y="6973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22" name="Imagem 21">
          <a:extLst>
            <a:ext uri="{FF2B5EF4-FFF2-40B4-BE49-F238E27FC236}">
              <a16:creationId xmlns:a16="http://schemas.microsoft.com/office/drawing/2014/main" id="{F87A836F-65B8-4893-93F5-A773A9C7F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6449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23" name="Imagem 22">
          <a:extLst>
            <a:ext uri="{FF2B5EF4-FFF2-40B4-BE49-F238E27FC236}">
              <a16:creationId xmlns:a16="http://schemas.microsoft.com/office/drawing/2014/main" id="{CD078986-733C-49B0-964B-C6789C65E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7211483"/>
          <a:ext cx="1219048" cy="0"/>
        </a:xfrm>
        <a:prstGeom prst="rect">
          <a:avLst/>
        </a:prstGeom>
      </xdr:spPr>
    </xdr:pic>
    <xdr:clientData/>
  </xdr:oneCellAnchor>
  <xdr:twoCellAnchor editAs="oneCell">
    <xdr:from>
      <xdr:col>46</xdr:col>
      <xdr:colOff>409575</xdr:colOff>
      <xdr:row>7</xdr:row>
      <xdr:rowOff>152400</xdr:rowOff>
    </xdr:from>
    <xdr:to>
      <xdr:col>48</xdr:col>
      <xdr:colOff>421064</xdr:colOff>
      <xdr:row>7</xdr:row>
      <xdr:rowOff>152400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9DDF7AB8-939A-4255-94E8-CF838F9DB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495425"/>
          <a:ext cx="1230689" cy="0"/>
        </a:xfrm>
        <a:prstGeom prst="rect">
          <a:avLst/>
        </a:prstGeom>
      </xdr:spPr>
    </xdr:pic>
    <xdr:clientData/>
  </xdr:twoCellAnchor>
  <xdr:twoCellAnchor editAs="oneCell">
    <xdr:from>
      <xdr:col>46</xdr:col>
      <xdr:colOff>419100</xdr:colOff>
      <xdr:row>9</xdr:row>
      <xdr:rowOff>104775</xdr:rowOff>
    </xdr:from>
    <xdr:to>
      <xdr:col>49</xdr:col>
      <xdr:colOff>47444</xdr:colOff>
      <xdr:row>9</xdr:row>
      <xdr:rowOff>104775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AD1C2A28-87A0-4B52-8DC7-4A682F0C2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11975" y="1828800"/>
          <a:ext cx="1457145" cy="0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6</xdr:row>
      <xdr:rowOff>152400</xdr:rowOff>
    </xdr:from>
    <xdr:ext cx="1219048" cy="0"/>
    <xdr:pic>
      <xdr:nvPicPr>
        <xdr:cNvPr id="26" name="Imagem 25">
          <a:extLst>
            <a:ext uri="{FF2B5EF4-FFF2-40B4-BE49-F238E27FC236}">
              <a16:creationId xmlns:a16="http://schemas.microsoft.com/office/drawing/2014/main" id="{D811BAB0-15F1-49A7-8416-6B4D826BD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3049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27" name="Imagem 26">
          <a:extLst>
            <a:ext uri="{FF2B5EF4-FFF2-40B4-BE49-F238E27FC236}">
              <a16:creationId xmlns:a16="http://schemas.microsoft.com/office/drawing/2014/main" id="{F24ADA63-D27A-427C-98EA-C99EE9B55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914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27514" cy="0"/>
    <xdr:pic>
      <xdr:nvPicPr>
        <xdr:cNvPr id="28" name="Imagem 27">
          <a:extLst>
            <a:ext uri="{FF2B5EF4-FFF2-40B4-BE49-F238E27FC236}">
              <a16:creationId xmlns:a16="http://schemas.microsoft.com/office/drawing/2014/main" id="{439EA566-5734-4CF8-ADA6-8175ED31D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914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10</xdr:row>
      <xdr:rowOff>0</xdr:rowOff>
    </xdr:from>
    <xdr:ext cx="1450795" cy="0"/>
    <xdr:pic>
      <xdr:nvPicPr>
        <xdr:cNvPr id="29" name="Imagem 28">
          <a:extLst>
            <a:ext uri="{FF2B5EF4-FFF2-40B4-BE49-F238E27FC236}">
              <a16:creationId xmlns:a16="http://schemas.microsoft.com/office/drawing/2014/main" id="{097576F1-35B6-488B-A6E3-A6DA0F8EA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11975" y="1914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30" name="Imagem 29">
          <a:extLst>
            <a:ext uri="{FF2B5EF4-FFF2-40B4-BE49-F238E27FC236}">
              <a16:creationId xmlns:a16="http://schemas.microsoft.com/office/drawing/2014/main" id="{1ADB8277-5DA9-4E9A-8BAD-78EF70103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914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31" name="Imagem 30">
          <a:extLst>
            <a:ext uri="{FF2B5EF4-FFF2-40B4-BE49-F238E27FC236}">
              <a16:creationId xmlns:a16="http://schemas.microsoft.com/office/drawing/2014/main" id="{CE211576-81E4-489E-B489-A8E19038A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914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27514" cy="0"/>
    <xdr:pic>
      <xdr:nvPicPr>
        <xdr:cNvPr id="32" name="Imagem 31">
          <a:extLst>
            <a:ext uri="{FF2B5EF4-FFF2-40B4-BE49-F238E27FC236}">
              <a16:creationId xmlns:a16="http://schemas.microsoft.com/office/drawing/2014/main" id="{B8A793AD-A185-4038-B055-E59B2CCF9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914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10</xdr:row>
      <xdr:rowOff>0</xdr:rowOff>
    </xdr:from>
    <xdr:ext cx="1450795" cy="0"/>
    <xdr:pic>
      <xdr:nvPicPr>
        <xdr:cNvPr id="33" name="Imagem 32">
          <a:extLst>
            <a:ext uri="{FF2B5EF4-FFF2-40B4-BE49-F238E27FC236}">
              <a16:creationId xmlns:a16="http://schemas.microsoft.com/office/drawing/2014/main" id="{9169C04D-C8F2-4A5A-BB1C-8B129395C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11975" y="1914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34" name="Imagem 33">
          <a:extLst>
            <a:ext uri="{FF2B5EF4-FFF2-40B4-BE49-F238E27FC236}">
              <a16:creationId xmlns:a16="http://schemas.microsoft.com/office/drawing/2014/main" id="{EF06492E-29A6-441D-AE58-CBB01097C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914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35" name="Imagem 34">
          <a:extLst>
            <a:ext uri="{FF2B5EF4-FFF2-40B4-BE49-F238E27FC236}">
              <a16:creationId xmlns:a16="http://schemas.microsoft.com/office/drawing/2014/main" id="{096D320E-000F-4496-A36F-B88217BD9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914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27514" cy="0"/>
    <xdr:pic>
      <xdr:nvPicPr>
        <xdr:cNvPr id="36" name="Imagem 35">
          <a:extLst>
            <a:ext uri="{FF2B5EF4-FFF2-40B4-BE49-F238E27FC236}">
              <a16:creationId xmlns:a16="http://schemas.microsoft.com/office/drawing/2014/main" id="{942B38B9-9037-4849-8BE9-573CC553D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914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10</xdr:row>
      <xdr:rowOff>0</xdr:rowOff>
    </xdr:from>
    <xdr:ext cx="1450795" cy="0"/>
    <xdr:pic>
      <xdr:nvPicPr>
        <xdr:cNvPr id="37" name="Imagem 36">
          <a:extLst>
            <a:ext uri="{FF2B5EF4-FFF2-40B4-BE49-F238E27FC236}">
              <a16:creationId xmlns:a16="http://schemas.microsoft.com/office/drawing/2014/main" id="{3468A380-5183-4FCB-8384-9B1F30A07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11975" y="1914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38" name="Imagem 37">
          <a:extLst>
            <a:ext uri="{FF2B5EF4-FFF2-40B4-BE49-F238E27FC236}">
              <a16:creationId xmlns:a16="http://schemas.microsoft.com/office/drawing/2014/main" id="{3E093F53-53BD-4BFB-B11C-A1B348D8E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914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39" name="Imagem 38">
          <a:extLst>
            <a:ext uri="{FF2B5EF4-FFF2-40B4-BE49-F238E27FC236}">
              <a16:creationId xmlns:a16="http://schemas.microsoft.com/office/drawing/2014/main" id="{C8A542A6-9B94-45D0-8320-25F892B10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914525"/>
          <a:ext cx="1219048" cy="0"/>
        </a:xfrm>
        <a:prstGeom prst="rect">
          <a:avLst/>
        </a:prstGeom>
      </xdr:spPr>
    </xdr:pic>
    <xdr:clientData/>
  </xdr:oneCellAnchor>
  <xdr:twoCellAnchor editAs="oneCell">
    <xdr:from>
      <xdr:col>46</xdr:col>
      <xdr:colOff>409575</xdr:colOff>
      <xdr:row>5</xdr:row>
      <xdr:rowOff>152400</xdr:rowOff>
    </xdr:from>
    <xdr:to>
      <xdr:col>52</xdr:col>
      <xdr:colOff>240089</xdr:colOff>
      <xdr:row>5</xdr:row>
      <xdr:rowOff>152400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87DD332B-2984-420D-939B-BD0E61802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14425"/>
          <a:ext cx="3488114" cy="0"/>
        </a:xfrm>
        <a:prstGeom prst="rect">
          <a:avLst/>
        </a:prstGeom>
      </xdr:spPr>
    </xdr:pic>
    <xdr:clientData/>
  </xdr:twoCellAnchor>
  <xdr:twoCellAnchor editAs="oneCell">
    <xdr:from>
      <xdr:col>46</xdr:col>
      <xdr:colOff>419100</xdr:colOff>
      <xdr:row>7</xdr:row>
      <xdr:rowOff>104775</xdr:rowOff>
    </xdr:from>
    <xdr:to>
      <xdr:col>52</xdr:col>
      <xdr:colOff>523695</xdr:colOff>
      <xdr:row>7</xdr:row>
      <xdr:rowOff>104775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9C51F4FD-8154-46CC-9B45-7C0E6B34E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11975" y="1447800"/>
          <a:ext cx="3762195" cy="0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4</xdr:row>
      <xdr:rowOff>152400</xdr:rowOff>
    </xdr:from>
    <xdr:ext cx="1219048" cy="0"/>
    <xdr:pic>
      <xdr:nvPicPr>
        <xdr:cNvPr id="42" name="Imagem 41">
          <a:extLst>
            <a:ext uri="{FF2B5EF4-FFF2-40B4-BE49-F238E27FC236}">
              <a16:creationId xmlns:a16="http://schemas.microsoft.com/office/drawing/2014/main" id="{537CF1A1-0219-4EF6-AA1A-8C78714D9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239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43" name="Imagem 42">
          <a:extLst>
            <a:ext uri="{FF2B5EF4-FFF2-40B4-BE49-F238E27FC236}">
              <a16:creationId xmlns:a16="http://schemas.microsoft.com/office/drawing/2014/main" id="{3B2CE593-D251-4CA6-B7CE-4892E9C8B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44" name="Imagem 43">
          <a:extLst>
            <a:ext uri="{FF2B5EF4-FFF2-40B4-BE49-F238E27FC236}">
              <a16:creationId xmlns:a16="http://schemas.microsoft.com/office/drawing/2014/main" id="{D89B4BAC-DB53-48EE-AE55-2B89C4DA1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533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45" name="Imagem 44">
          <a:extLst>
            <a:ext uri="{FF2B5EF4-FFF2-40B4-BE49-F238E27FC236}">
              <a16:creationId xmlns:a16="http://schemas.microsoft.com/office/drawing/2014/main" id="{350642B2-63B0-4B58-9A01-388957EEA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11975" y="1533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46" name="Imagem 45">
          <a:extLst>
            <a:ext uri="{FF2B5EF4-FFF2-40B4-BE49-F238E27FC236}">
              <a16:creationId xmlns:a16="http://schemas.microsoft.com/office/drawing/2014/main" id="{D02A79BA-A232-4B72-82B1-7C5F9317D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47" name="Imagem 46">
          <a:extLst>
            <a:ext uri="{FF2B5EF4-FFF2-40B4-BE49-F238E27FC236}">
              <a16:creationId xmlns:a16="http://schemas.microsoft.com/office/drawing/2014/main" id="{8DD3B562-730A-45CF-857D-AA8D5A2FD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48" name="Imagem 47">
          <a:extLst>
            <a:ext uri="{FF2B5EF4-FFF2-40B4-BE49-F238E27FC236}">
              <a16:creationId xmlns:a16="http://schemas.microsoft.com/office/drawing/2014/main" id="{1929BABB-28C2-4E5E-A2DC-A0A6AA89B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533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49" name="Imagem 48">
          <a:extLst>
            <a:ext uri="{FF2B5EF4-FFF2-40B4-BE49-F238E27FC236}">
              <a16:creationId xmlns:a16="http://schemas.microsoft.com/office/drawing/2014/main" id="{A0C863D9-0AE1-41DF-84CE-787D3CE44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11975" y="1533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50" name="Imagem 49">
          <a:extLst>
            <a:ext uri="{FF2B5EF4-FFF2-40B4-BE49-F238E27FC236}">
              <a16:creationId xmlns:a16="http://schemas.microsoft.com/office/drawing/2014/main" id="{AF1BC6C4-1373-4B5A-870E-2045D058A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51" name="Imagem 50">
          <a:extLst>
            <a:ext uri="{FF2B5EF4-FFF2-40B4-BE49-F238E27FC236}">
              <a16:creationId xmlns:a16="http://schemas.microsoft.com/office/drawing/2014/main" id="{25A68451-9C00-4182-8112-D2535A28B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52" name="Imagem 51">
          <a:extLst>
            <a:ext uri="{FF2B5EF4-FFF2-40B4-BE49-F238E27FC236}">
              <a16:creationId xmlns:a16="http://schemas.microsoft.com/office/drawing/2014/main" id="{9C1FBF99-2896-428A-A42E-C87C6AB2B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533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53" name="Imagem 52">
          <a:extLst>
            <a:ext uri="{FF2B5EF4-FFF2-40B4-BE49-F238E27FC236}">
              <a16:creationId xmlns:a16="http://schemas.microsoft.com/office/drawing/2014/main" id="{2F5F946B-F41C-471A-B945-270E0EF89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11975" y="1533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54" name="Imagem 53">
          <a:extLst>
            <a:ext uri="{FF2B5EF4-FFF2-40B4-BE49-F238E27FC236}">
              <a16:creationId xmlns:a16="http://schemas.microsoft.com/office/drawing/2014/main" id="{49ABE66F-DB0F-4464-883E-8ED7DCF1B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55" name="Imagem 54">
          <a:extLst>
            <a:ext uri="{FF2B5EF4-FFF2-40B4-BE49-F238E27FC236}">
              <a16:creationId xmlns:a16="http://schemas.microsoft.com/office/drawing/2014/main" id="{CC5C6538-DCB2-47A7-99CF-079AF7B01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twoCellAnchor editAs="oneCell">
    <xdr:from>
      <xdr:col>46</xdr:col>
      <xdr:colOff>409575</xdr:colOff>
      <xdr:row>4</xdr:row>
      <xdr:rowOff>152400</xdr:rowOff>
    </xdr:from>
    <xdr:to>
      <xdr:col>54</xdr:col>
      <xdr:colOff>354389</xdr:colOff>
      <xdr:row>4</xdr:row>
      <xdr:rowOff>152400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ADEFDEC-EFC7-468A-A3B8-B564E74C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23925"/>
          <a:ext cx="4821614" cy="0"/>
        </a:xfrm>
        <a:prstGeom prst="rect">
          <a:avLst/>
        </a:prstGeom>
      </xdr:spPr>
    </xdr:pic>
    <xdr:clientData/>
  </xdr:twoCellAnchor>
  <xdr:oneCellAnchor>
    <xdr:from>
      <xdr:col>50</xdr:col>
      <xdr:colOff>599017</xdr:colOff>
      <xdr:row>22</xdr:row>
      <xdr:rowOff>63500</xdr:rowOff>
    </xdr:from>
    <xdr:ext cx="1450795" cy="1121833"/>
    <xdr:pic>
      <xdr:nvPicPr>
        <xdr:cNvPr id="57" name="Imagem 56">
          <a:extLst>
            <a:ext uri="{FF2B5EF4-FFF2-40B4-BE49-F238E27FC236}">
              <a16:creationId xmlns:a16="http://schemas.microsoft.com/office/drawing/2014/main" id="{9A92A9F8-6995-4B5F-90A4-F2FEB26DB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278042" y="4264025"/>
          <a:ext cx="1450795" cy="1121833"/>
        </a:xfrm>
        <a:prstGeom prst="rect">
          <a:avLst/>
        </a:prstGeom>
      </xdr:spPr>
    </xdr:pic>
    <xdr:clientData/>
  </xdr:oneCellAnchor>
  <xdr:oneCellAnchor>
    <xdr:from>
      <xdr:col>51</xdr:col>
      <xdr:colOff>84666</xdr:colOff>
      <xdr:row>17</xdr:row>
      <xdr:rowOff>183300</xdr:rowOff>
    </xdr:from>
    <xdr:ext cx="1131207" cy="906782"/>
    <xdr:pic>
      <xdr:nvPicPr>
        <xdr:cNvPr id="58" name="Imagem 57">
          <a:extLst>
            <a:ext uri="{FF2B5EF4-FFF2-40B4-BE49-F238E27FC236}">
              <a16:creationId xmlns:a16="http://schemas.microsoft.com/office/drawing/2014/main" id="{6DBF156A-F07C-4BC2-9619-FF8E366E2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20916" y="3431325"/>
          <a:ext cx="1131207" cy="906782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12</xdr:row>
      <xdr:rowOff>52916</xdr:rowOff>
    </xdr:from>
    <xdr:ext cx="1450795" cy="0"/>
    <xdr:pic>
      <xdr:nvPicPr>
        <xdr:cNvPr id="59" name="Imagem 58">
          <a:extLst>
            <a:ext uri="{FF2B5EF4-FFF2-40B4-BE49-F238E27FC236}">
              <a16:creationId xmlns:a16="http://schemas.microsoft.com/office/drawing/2014/main" id="{8A23D4AE-34FC-4193-ABDF-1550FF03C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90808" y="2348441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179917</xdr:colOff>
      <xdr:row>10</xdr:row>
      <xdr:rowOff>137583</xdr:rowOff>
    </xdr:from>
    <xdr:ext cx="1227514" cy="0"/>
    <xdr:pic>
      <xdr:nvPicPr>
        <xdr:cNvPr id="60" name="Imagem 59">
          <a:extLst>
            <a:ext uri="{FF2B5EF4-FFF2-40B4-BE49-F238E27FC236}">
              <a16:creationId xmlns:a16="http://schemas.microsoft.com/office/drawing/2014/main" id="{AE4355E8-942B-45DC-8DEC-92120908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25917" y="2052108"/>
          <a:ext cx="1227514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47625</xdr:colOff>
      <xdr:row>32</xdr:row>
      <xdr:rowOff>19050</xdr:rowOff>
    </xdr:from>
    <xdr:to>
      <xdr:col>42</xdr:col>
      <xdr:colOff>406949</xdr:colOff>
      <xdr:row>43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34725" y="2124075"/>
          <a:ext cx="4626524" cy="2200275"/>
        </a:xfrm>
        <a:prstGeom prst="rect">
          <a:avLst/>
        </a:prstGeom>
      </xdr:spPr>
    </xdr:pic>
    <xdr:clientData/>
  </xdr:twoCellAnchor>
  <xdr:twoCellAnchor editAs="oneCell">
    <xdr:from>
      <xdr:col>35</xdr:col>
      <xdr:colOff>104775</xdr:colOff>
      <xdr:row>12</xdr:row>
      <xdr:rowOff>38100</xdr:rowOff>
    </xdr:from>
    <xdr:to>
      <xdr:col>39</xdr:col>
      <xdr:colOff>323518</xdr:colOff>
      <xdr:row>28</xdr:row>
      <xdr:rowOff>180830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21625" y="2143125"/>
          <a:ext cx="2657143" cy="1161905"/>
        </a:xfrm>
        <a:prstGeom prst="rect">
          <a:avLst/>
        </a:prstGeom>
      </xdr:spPr>
    </xdr:pic>
    <xdr:clientData/>
  </xdr:twoCellAnchor>
  <xdr:twoCellAnchor editAs="oneCell">
    <xdr:from>
      <xdr:col>39</xdr:col>
      <xdr:colOff>409575</xdr:colOff>
      <xdr:row>11</xdr:row>
      <xdr:rowOff>152400</xdr:rowOff>
    </xdr:from>
    <xdr:to>
      <xdr:col>41</xdr:col>
      <xdr:colOff>409423</xdr:colOff>
      <xdr:row>24</xdr:row>
      <xdr:rowOff>180929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64825" y="2066925"/>
          <a:ext cx="1219048" cy="371429"/>
        </a:xfrm>
        <a:prstGeom prst="rect">
          <a:avLst/>
        </a:prstGeom>
      </xdr:spPr>
    </xdr:pic>
    <xdr:clientData/>
  </xdr:twoCellAnchor>
  <xdr:twoCellAnchor editAs="oneCell">
    <xdr:from>
      <xdr:col>39</xdr:col>
      <xdr:colOff>419100</xdr:colOff>
      <xdr:row>13</xdr:row>
      <xdr:rowOff>104775</xdr:rowOff>
    </xdr:from>
    <xdr:to>
      <xdr:col>42</xdr:col>
      <xdr:colOff>28395</xdr:colOff>
      <xdr:row>28</xdr:row>
      <xdr:rowOff>66544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0" y="2400300"/>
          <a:ext cx="1438095" cy="1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0</xdr:row>
      <xdr:rowOff>47625</xdr:rowOff>
    </xdr:from>
    <xdr:to>
      <xdr:col>26</xdr:col>
      <xdr:colOff>37267</xdr:colOff>
      <xdr:row>8</xdr:row>
      <xdr:rowOff>18860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47625"/>
          <a:ext cx="6666667" cy="152381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12</xdr:row>
      <xdr:rowOff>47625</xdr:rowOff>
    </xdr:from>
    <xdr:to>
      <xdr:col>26</xdr:col>
      <xdr:colOff>46790</xdr:colOff>
      <xdr:row>20</xdr:row>
      <xdr:rowOff>37873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39425" y="1571625"/>
          <a:ext cx="667619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24</xdr:row>
      <xdr:rowOff>28575</xdr:rowOff>
    </xdr:from>
    <xdr:to>
      <xdr:col>26</xdr:col>
      <xdr:colOff>46790</xdr:colOff>
      <xdr:row>31</xdr:row>
      <xdr:rowOff>75994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39425" y="3381375"/>
          <a:ext cx="6676190" cy="1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Corrente@5oC" TargetMode="External"/><Relationship Id="rId18" Type="http://schemas.openxmlformats.org/officeDocument/2006/relationships/hyperlink" Target="mailto:Corrente@5oC" TargetMode="External"/><Relationship Id="rId26" Type="http://schemas.openxmlformats.org/officeDocument/2006/relationships/hyperlink" Target="mailto:Corrente@5oC" TargetMode="External"/><Relationship Id="rId39" Type="http://schemas.openxmlformats.org/officeDocument/2006/relationships/hyperlink" Target="mailto:Corrente@5oC" TargetMode="External"/><Relationship Id="rId21" Type="http://schemas.openxmlformats.org/officeDocument/2006/relationships/hyperlink" Target="mailto:Corrente@5oC" TargetMode="External"/><Relationship Id="rId34" Type="http://schemas.openxmlformats.org/officeDocument/2006/relationships/hyperlink" Target="mailto:Corrente@5oC" TargetMode="External"/><Relationship Id="rId42" Type="http://schemas.openxmlformats.org/officeDocument/2006/relationships/hyperlink" Target="mailto:Corrente@5oC" TargetMode="External"/><Relationship Id="rId47" Type="http://schemas.openxmlformats.org/officeDocument/2006/relationships/hyperlink" Target="mailto:Corrente@5oC" TargetMode="External"/><Relationship Id="rId7" Type="http://schemas.openxmlformats.org/officeDocument/2006/relationships/hyperlink" Target="mailto:Corrente@5oC" TargetMode="External"/><Relationship Id="rId2" Type="http://schemas.openxmlformats.org/officeDocument/2006/relationships/hyperlink" Target="mailto:Corrente@5oC" TargetMode="External"/><Relationship Id="rId16" Type="http://schemas.openxmlformats.org/officeDocument/2006/relationships/hyperlink" Target="mailto:Corrente@5oC" TargetMode="External"/><Relationship Id="rId29" Type="http://schemas.openxmlformats.org/officeDocument/2006/relationships/hyperlink" Target="mailto:Corrente@5oC" TargetMode="External"/><Relationship Id="rId11" Type="http://schemas.openxmlformats.org/officeDocument/2006/relationships/hyperlink" Target="mailto:Corrente@5oC" TargetMode="External"/><Relationship Id="rId24" Type="http://schemas.openxmlformats.org/officeDocument/2006/relationships/hyperlink" Target="mailto:Corrente@5oC" TargetMode="External"/><Relationship Id="rId32" Type="http://schemas.openxmlformats.org/officeDocument/2006/relationships/hyperlink" Target="mailto:Corrente@5oC" TargetMode="External"/><Relationship Id="rId37" Type="http://schemas.openxmlformats.org/officeDocument/2006/relationships/hyperlink" Target="mailto:Corrente@5oC" TargetMode="External"/><Relationship Id="rId40" Type="http://schemas.openxmlformats.org/officeDocument/2006/relationships/hyperlink" Target="mailto:Corrente@5oC" TargetMode="External"/><Relationship Id="rId45" Type="http://schemas.openxmlformats.org/officeDocument/2006/relationships/hyperlink" Target="mailto:Corrente@5oC" TargetMode="External"/><Relationship Id="rId5" Type="http://schemas.openxmlformats.org/officeDocument/2006/relationships/hyperlink" Target="mailto:Corrente@5oC" TargetMode="External"/><Relationship Id="rId15" Type="http://schemas.openxmlformats.org/officeDocument/2006/relationships/hyperlink" Target="mailto:Corrente@5oC" TargetMode="External"/><Relationship Id="rId23" Type="http://schemas.openxmlformats.org/officeDocument/2006/relationships/hyperlink" Target="mailto:Corrente@5oC" TargetMode="External"/><Relationship Id="rId28" Type="http://schemas.openxmlformats.org/officeDocument/2006/relationships/hyperlink" Target="mailto:Corrente@5oC" TargetMode="External"/><Relationship Id="rId36" Type="http://schemas.openxmlformats.org/officeDocument/2006/relationships/hyperlink" Target="mailto:Corrente@5oC" TargetMode="External"/><Relationship Id="rId49" Type="http://schemas.openxmlformats.org/officeDocument/2006/relationships/printerSettings" Target="../printerSettings/printerSettings4.bin"/><Relationship Id="rId10" Type="http://schemas.openxmlformats.org/officeDocument/2006/relationships/hyperlink" Target="mailto:Corrente@5oC" TargetMode="External"/><Relationship Id="rId19" Type="http://schemas.openxmlformats.org/officeDocument/2006/relationships/hyperlink" Target="mailto:Corrente@5oC" TargetMode="External"/><Relationship Id="rId31" Type="http://schemas.openxmlformats.org/officeDocument/2006/relationships/hyperlink" Target="mailto:Corrente@5oC" TargetMode="External"/><Relationship Id="rId44" Type="http://schemas.openxmlformats.org/officeDocument/2006/relationships/hyperlink" Target="mailto:Corrente@5oC" TargetMode="External"/><Relationship Id="rId4" Type="http://schemas.openxmlformats.org/officeDocument/2006/relationships/hyperlink" Target="mailto:Corrente@5oC" TargetMode="External"/><Relationship Id="rId9" Type="http://schemas.openxmlformats.org/officeDocument/2006/relationships/hyperlink" Target="mailto:Corrente@5oC" TargetMode="External"/><Relationship Id="rId14" Type="http://schemas.openxmlformats.org/officeDocument/2006/relationships/hyperlink" Target="mailto:Corrente@5oC" TargetMode="External"/><Relationship Id="rId22" Type="http://schemas.openxmlformats.org/officeDocument/2006/relationships/hyperlink" Target="mailto:Corrente@5oC" TargetMode="External"/><Relationship Id="rId27" Type="http://schemas.openxmlformats.org/officeDocument/2006/relationships/hyperlink" Target="mailto:Corrente@5oC" TargetMode="External"/><Relationship Id="rId30" Type="http://schemas.openxmlformats.org/officeDocument/2006/relationships/hyperlink" Target="mailto:Corrente@5oC" TargetMode="External"/><Relationship Id="rId35" Type="http://schemas.openxmlformats.org/officeDocument/2006/relationships/hyperlink" Target="mailto:Corrente@5oC" TargetMode="External"/><Relationship Id="rId43" Type="http://schemas.openxmlformats.org/officeDocument/2006/relationships/hyperlink" Target="mailto:Corrente@5oC" TargetMode="External"/><Relationship Id="rId48" Type="http://schemas.openxmlformats.org/officeDocument/2006/relationships/hyperlink" Target="mailto:Corrente@5oC" TargetMode="External"/><Relationship Id="rId8" Type="http://schemas.openxmlformats.org/officeDocument/2006/relationships/hyperlink" Target="mailto:Corrente@5oC" TargetMode="External"/><Relationship Id="rId3" Type="http://schemas.openxmlformats.org/officeDocument/2006/relationships/hyperlink" Target="mailto:Corrente@5oC" TargetMode="External"/><Relationship Id="rId12" Type="http://schemas.openxmlformats.org/officeDocument/2006/relationships/hyperlink" Target="mailto:Corrente@5oC" TargetMode="External"/><Relationship Id="rId17" Type="http://schemas.openxmlformats.org/officeDocument/2006/relationships/hyperlink" Target="mailto:Corrente@5oC" TargetMode="External"/><Relationship Id="rId25" Type="http://schemas.openxmlformats.org/officeDocument/2006/relationships/hyperlink" Target="mailto:Corrente@5oC" TargetMode="External"/><Relationship Id="rId33" Type="http://schemas.openxmlformats.org/officeDocument/2006/relationships/hyperlink" Target="mailto:Corrente@5oC" TargetMode="External"/><Relationship Id="rId38" Type="http://schemas.openxmlformats.org/officeDocument/2006/relationships/hyperlink" Target="mailto:Corrente@5oC" TargetMode="External"/><Relationship Id="rId46" Type="http://schemas.openxmlformats.org/officeDocument/2006/relationships/hyperlink" Target="mailto:Corrente@5oC" TargetMode="External"/><Relationship Id="rId20" Type="http://schemas.openxmlformats.org/officeDocument/2006/relationships/hyperlink" Target="mailto:Corrente@5oC" TargetMode="External"/><Relationship Id="rId41" Type="http://schemas.openxmlformats.org/officeDocument/2006/relationships/hyperlink" Target="mailto:Corrente@5oC" TargetMode="External"/><Relationship Id="rId1" Type="http://schemas.openxmlformats.org/officeDocument/2006/relationships/hyperlink" Target="mailto:Corrente@5oC" TargetMode="External"/><Relationship Id="rId6" Type="http://schemas.openxmlformats.org/officeDocument/2006/relationships/hyperlink" Target="mailto:Corrente@5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3C94-88F4-45C4-B87D-9A21785CA604}">
  <dimension ref="A1:BB312"/>
  <sheetViews>
    <sheetView tabSelected="1" zoomScale="90" zoomScaleNormal="90" workbookViewId="0">
      <selection activeCell="N16" sqref="N16"/>
    </sheetView>
  </sheetViews>
  <sheetFormatPr defaultRowHeight="15" x14ac:dyDescent="0.25"/>
  <cols>
    <col min="1" max="1" width="8.5703125" bestFit="1" customWidth="1"/>
    <col min="2" max="2" width="5.5703125" bestFit="1" customWidth="1"/>
    <col min="3" max="3" width="8.5703125" bestFit="1" customWidth="1"/>
    <col min="4" max="4" width="7.28515625" bestFit="1" customWidth="1"/>
    <col min="5" max="5" width="8.28515625" bestFit="1" customWidth="1"/>
    <col min="6" max="6" width="6" bestFit="1" customWidth="1"/>
    <col min="7" max="10" width="6" customWidth="1"/>
    <col min="11" max="11" width="9" style="102" bestFit="1" customWidth="1"/>
    <col min="12" max="12" width="8.5703125" bestFit="1" customWidth="1"/>
    <col min="13" max="13" width="9.28515625" bestFit="1" customWidth="1"/>
    <col min="14" max="14" width="25.42578125" bestFit="1" customWidth="1"/>
    <col min="15" max="15" width="7.7109375" style="79" bestFit="1" customWidth="1"/>
    <col min="16" max="16" width="5.7109375" style="79" bestFit="1" customWidth="1"/>
    <col min="17" max="17" width="8.85546875" style="79" hidden="1" customWidth="1"/>
    <col min="18" max="20" width="7.140625" hidden="1" customWidth="1"/>
    <col min="21" max="21" width="37.5703125" hidden="1" customWidth="1"/>
    <col min="22" max="22" width="43.5703125" hidden="1" customWidth="1"/>
    <col min="23" max="23" width="42.5703125" hidden="1" customWidth="1"/>
    <col min="24" max="24" width="47.140625" hidden="1" customWidth="1"/>
    <col min="25" max="25" width="9" style="81" hidden="1" customWidth="1"/>
    <col min="26" max="26" width="18.42578125" hidden="1" customWidth="1"/>
    <col min="27" max="27" width="37.5703125" hidden="1" customWidth="1"/>
    <col min="28" max="28" width="40.7109375" hidden="1" customWidth="1"/>
    <col min="29" max="29" width="39" hidden="1" customWidth="1"/>
    <col min="30" max="30" width="43.140625" hidden="1" customWidth="1"/>
    <col min="31" max="31" width="7.42578125" bestFit="1" customWidth="1"/>
    <col min="32" max="32" width="13.28515625" bestFit="1" customWidth="1"/>
    <col min="33" max="33" width="5.85546875" bestFit="1" customWidth="1"/>
    <col min="34" max="34" width="13.28515625" bestFit="1" customWidth="1"/>
    <col min="35" max="35" width="8.7109375" bestFit="1" customWidth="1"/>
    <col min="36" max="36" width="6.42578125" bestFit="1" customWidth="1"/>
    <col min="37" max="37" width="7.28515625" hidden="1" customWidth="1"/>
    <col min="38" max="38" width="5.5703125" bestFit="1" customWidth="1"/>
    <col min="39" max="39" width="5.85546875" bestFit="1" customWidth="1"/>
    <col min="40" max="40" width="13.28515625" bestFit="1" customWidth="1"/>
    <col min="41" max="41" width="8.5703125" bestFit="1" customWidth="1"/>
    <col min="42" max="42" width="8.140625" bestFit="1" customWidth="1"/>
    <col min="43" max="44" width="7.140625" bestFit="1" customWidth="1"/>
    <col min="45" max="45" width="7.28515625" bestFit="1" customWidth="1"/>
    <col min="46" max="46" width="18.85546875" bestFit="1" customWidth="1"/>
    <col min="47" max="48" width="13.85546875" customWidth="1"/>
    <col min="49" max="50" width="12.28515625" customWidth="1"/>
    <col min="51" max="51" width="9.85546875" customWidth="1"/>
    <col min="52" max="52" width="14" customWidth="1"/>
    <col min="53" max="53" width="13.140625" customWidth="1"/>
    <col min="54" max="54" width="17.140625" bestFit="1" customWidth="1"/>
  </cols>
  <sheetData>
    <row r="1" spans="1:54" x14ac:dyDescent="0.25">
      <c r="A1" t="s">
        <v>155</v>
      </c>
      <c r="B1" t="s">
        <v>154</v>
      </c>
      <c r="D1" s="199" t="s">
        <v>123</v>
      </c>
      <c r="E1" s="199"/>
      <c r="F1" s="101"/>
      <c r="G1" s="189"/>
      <c r="H1" s="189"/>
      <c r="I1" s="189"/>
      <c r="J1" s="189"/>
      <c r="K1" s="101" t="s">
        <v>3</v>
      </c>
      <c r="L1" s="101" t="s">
        <v>18</v>
      </c>
      <c r="M1" s="90" t="s">
        <v>117</v>
      </c>
      <c r="N1" s="199" t="s">
        <v>6</v>
      </c>
      <c r="O1" s="199"/>
      <c r="P1" s="199"/>
      <c r="Q1" s="199"/>
      <c r="R1" s="90"/>
      <c r="S1" s="90"/>
      <c r="T1" s="90"/>
      <c r="U1" s="90"/>
      <c r="V1" s="90"/>
      <c r="W1" s="90"/>
      <c r="X1" s="90"/>
      <c r="Y1" s="101" t="s">
        <v>19</v>
      </c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S1" s="90"/>
      <c r="AU1" t="s">
        <v>165</v>
      </c>
      <c r="AV1" t="s">
        <v>166</v>
      </c>
      <c r="AW1" t="s">
        <v>167</v>
      </c>
      <c r="AX1" t="s">
        <v>168</v>
      </c>
      <c r="AY1" t="s">
        <v>169</v>
      </c>
      <c r="AZ1" t="s">
        <v>169</v>
      </c>
      <c r="BA1" t="s">
        <v>170</v>
      </c>
    </row>
    <row r="2" spans="1:54" x14ac:dyDescent="0.25">
      <c r="D2" s="198"/>
      <c r="E2" s="198"/>
      <c r="F2" s="198"/>
      <c r="G2" s="198"/>
      <c r="H2" s="198"/>
      <c r="I2" s="198"/>
      <c r="J2" s="198"/>
      <c r="K2" s="198"/>
      <c r="L2" s="198"/>
      <c r="M2" s="90"/>
      <c r="N2" s="198"/>
      <c r="O2" s="198"/>
      <c r="P2" s="198"/>
      <c r="Q2" s="198"/>
      <c r="R2" s="90"/>
      <c r="S2" s="90"/>
      <c r="T2" s="90"/>
      <c r="U2" s="90"/>
      <c r="V2" s="90"/>
      <c r="W2" s="90"/>
      <c r="X2" s="90"/>
      <c r="Y2" s="198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S2" s="90"/>
      <c r="AU2">
        <v>300</v>
      </c>
      <c r="AV2">
        <v>3640</v>
      </c>
      <c r="AW2">
        <v>2</v>
      </c>
      <c r="AX2">
        <v>1.5</v>
      </c>
      <c r="AY2">
        <f>AZ2*2</f>
        <v>17.2</v>
      </c>
      <c r="AZ2">
        <v>8.6</v>
      </c>
      <c r="BA2" s="299">
        <v>275000</v>
      </c>
    </row>
    <row r="3" spans="1:54" ht="15.75" x14ac:dyDescent="0.25">
      <c r="A3" t="s">
        <v>151</v>
      </c>
      <c r="B3" t="s">
        <v>152</v>
      </c>
      <c r="C3" t="s">
        <v>128</v>
      </c>
      <c r="D3" s="90" t="s">
        <v>0</v>
      </c>
      <c r="E3" s="90" t="s">
        <v>1</v>
      </c>
      <c r="F3" s="90" t="s">
        <v>129</v>
      </c>
      <c r="G3" s="90" t="s">
        <v>161</v>
      </c>
      <c r="H3" s="90" t="s">
        <v>160</v>
      </c>
      <c r="I3" s="90" t="s">
        <v>161</v>
      </c>
      <c r="J3" s="90" t="s">
        <v>160</v>
      </c>
      <c r="K3" s="101" t="s">
        <v>2</v>
      </c>
      <c r="L3" s="101" t="s">
        <v>4</v>
      </c>
      <c r="M3" s="101" t="s">
        <v>118</v>
      </c>
      <c r="N3" s="101" t="s">
        <v>7</v>
      </c>
      <c r="O3" s="91" t="s">
        <v>8</v>
      </c>
      <c r="P3" s="91" t="s">
        <v>109</v>
      </c>
      <c r="Q3" s="91" t="s">
        <v>108</v>
      </c>
      <c r="R3" s="101" t="s">
        <v>93</v>
      </c>
      <c r="S3" s="101" t="s">
        <v>94</v>
      </c>
      <c r="T3" s="101" t="s">
        <v>95</v>
      </c>
      <c r="U3" s="101" t="s">
        <v>96</v>
      </c>
      <c r="V3" s="92" t="s">
        <v>125</v>
      </c>
      <c r="W3" s="101" t="s">
        <v>97</v>
      </c>
      <c r="X3" s="101" t="s">
        <v>101</v>
      </c>
      <c r="Y3" s="101" t="s">
        <v>20</v>
      </c>
      <c r="Z3" s="101" t="s">
        <v>98</v>
      </c>
      <c r="AA3" s="101" t="s">
        <v>99</v>
      </c>
      <c r="AB3" s="86" t="s">
        <v>103</v>
      </c>
      <c r="AC3" s="101" t="s">
        <v>100</v>
      </c>
      <c r="AD3" s="101" t="s">
        <v>102</v>
      </c>
      <c r="AE3" s="101" t="s">
        <v>106</v>
      </c>
      <c r="AF3" s="101"/>
      <c r="AG3" s="101" t="s">
        <v>107</v>
      </c>
      <c r="AH3" s="101"/>
      <c r="AI3" s="101" t="s">
        <v>122</v>
      </c>
      <c r="AJ3" s="101" t="s">
        <v>104</v>
      </c>
      <c r="AK3" s="189"/>
      <c r="AL3" s="154"/>
      <c r="AM3" s="101" t="s">
        <v>105</v>
      </c>
      <c r="AN3" s="101"/>
      <c r="AO3" s="101" t="s">
        <v>126</v>
      </c>
      <c r="AP3" s="101" t="s">
        <v>124</v>
      </c>
      <c r="AQ3" s="154" t="s">
        <v>156</v>
      </c>
      <c r="AR3" s="154" t="s">
        <v>157</v>
      </c>
      <c r="AS3" s="189" t="s">
        <v>163</v>
      </c>
      <c r="AT3" s="198" t="s">
        <v>171</v>
      </c>
      <c r="AU3" s="198" t="s">
        <v>172</v>
      </c>
      <c r="AV3" s="198" t="s">
        <v>173</v>
      </c>
      <c r="AW3" s="198" t="s">
        <v>174</v>
      </c>
      <c r="AX3" s="198" t="s">
        <v>175</v>
      </c>
      <c r="AY3" s="198" t="s">
        <v>176</v>
      </c>
      <c r="AZ3" s="198" t="s">
        <v>177</v>
      </c>
      <c r="BB3" s="198" t="s">
        <v>178</v>
      </c>
    </row>
    <row r="4" spans="1:54" x14ac:dyDescent="0.25">
      <c r="A4" s="153">
        <f t="shared" ref="A4:A10" si="0">IF($B$1="não",0,1-60/$B4)</f>
        <v>0</v>
      </c>
      <c r="B4">
        <v>60</v>
      </c>
      <c r="C4" s="133">
        <v>1</v>
      </c>
      <c r="D4" s="107">
        <v>4</v>
      </c>
      <c r="E4" s="194">
        <v>0.92</v>
      </c>
      <c r="F4" s="168">
        <f t="shared" ref="F4:F6" si="1">D4/(E4*C4)</f>
        <v>4.3478260869565215</v>
      </c>
      <c r="G4" s="157">
        <f t="shared" ref="G4:G10" si="2">$I$11</f>
        <v>29.033350144358597</v>
      </c>
      <c r="H4" s="157">
        <f t="shared" ref="H4:H10" si="3">$J$11</f>
        <v>3.0000001245658106</v>
      </c>
      <c r="I4">
        <v>30</v>
      </c>
      <c r="J4">
        <v>6</v>
      </c>
      <c r="K4" s="192">
        <f t="shared" ref="K4:K11" si="4">SQRT((G4-I4)^2+(H4-J4)^2)</f>
        <v>3.1518900989750098</v>
      </c>
      <c r="L4" s="107">
        <v>25</v>
      </c>
      <c r="M4" s="169">
        <v>1</v>
      </c>
      <c r="N4" s="156" t="s">
        <v>159</v>
      </c>
      <c r="O4" s="159">
        <v>1</v>
      </c>
      <c r="P4" s="159">
        <f t="shared" ref="P4" si="5">IF(O4=1,1,IF(O4=2,0.9,0.8))</f>
        <v>1</v>
      </c>
      <c r="Q4" s="170">
        <f>VLOOKUP(N4,Cabos!$B$13:$F$46,2,0)*O4*P4</f>
        <v>153.70000000000002</v>
      </c>
      <c r="R4" s="171">
        <f>((VLOOKUP(N4,Cabos!$B$13:$F$46,3,0)/O4*K4))*(1+A4)</f>
        <v>1.5601855989926299</v>
      </c>
      <c r="S4" s="171">
        <f>(VLOOKUP(N4,Cabos!$B$13:$F$46,4,0)/O4*K4)*B4/60</f>
        <v>0.56418832771652672</v>
      </c>
      <c r="T4" s="171">
        <f>1/(VLOOKUP(N4,Cabos!$B$13:$F$46,5,0)*60/B4) * O4 * K4</f>
        <v>1.6534071756675286E-4</v>
      </c>
      <c r="U4" s="155" t="str">
        <f t="shared" ref="U4" si="6">IMSQRT(IMDIV(COMPLEX(R4,S4),COMPLEX(0,T4)))</f>
        <v>81,9953644820212-57,5409662461408i</v>
      </c>
      <c r="V4" s="155" t="str">
        <f t="shared" ref="V4" si="7">IMSQRT(IMPRODUCT(COMPLEX(R4,S4),COMPLEX(0,T4)))</f>
        <v>0,00951386464862124+0,0135571724006048i</v>
      </c>
      <c r="W4" s="155" t="str">
        <f t="shared" ref="W4" si="8">IMPRODUCT(U4,_xlfn.IMSINH(V4))</f>
        <v>1,56013708537823+0,564246633413665i</v>
      </c>
      <c r="X4" s="155" t="str">
        <f t="shared" ref="X4" si="9">IMDIV(IMSUB(_xlfn.IMCOSH(V4),COMPLEX(1,0)),IMPRODUCT(U4,_xlfn.IMSINH(V4)))</f>
        <v>1,77718526166221E-09+0,0000826710013906236i</v>
      </c>
      <c r="Y4" s="172">
        <f t="shared" ref="Y4" si="10">F4/L4/SQRT(3)*1000</f>
        <v>100.408742467761</v>
      </c>
      <c r="Z4" s="173" t="str">
        <f t="shared" ref="Z4" si="11">COMPLEX(L4*1000/SQRT(3)*M4,0)</f>
        <v>14433,7567297406</v>
      </c>
      <c r="AA4" s="173" t="str">
        <f t="shared" ref="AA4" si="12">COMPLEX(Y4*E4,-Y4*SQRT(1-E4*E4))</f>
        <v>92,3760430703401-39,3520295616861i</v>
      </c>
      <c r="AB4" s="173" t="str">
        <f t="shared" ref="AB4" si="13">IMPRODUCT(W4,IMSUM(AA4,IMPRODUCT(X4,Z4)))</f>
        <v>165,650291755224-7,41003647089132i</v>
      </c>
      <c r="AC4" s="173" t="str">
        <f t="shared" ref="AC4" si="14">IMSUM(Z4,AB4)</f>
        <v>14599,4070214958-7,41003647089132i</v>
      </c>
      <c r="AD4" s="173" t="str">
        <f t="shared" ref="AD4" si="15">IMSUM(IMPRODUCT(AC4,X4),IMDIV(AB4,W4))</f>
        <v>92,3767072627863-36,9518288540024i</v>
      </c>
      <c r="AE4" s="174">
        <f t="shared" ref="AE4" si="16">IMABS(AC4)/L4/1000*SQRT(3)</f>
        <v>1.0114767191498373</v>
      </c>
      <c r="AF4" s="175">
        <f t="shared" ref="AF4" si="17">L4*AE4</f>
        <v>25.286917978745933</v>
      </c>
      <c r="AG4" s="174">
        <f t="shared" ref="AG4" si="18">IMABS(AD4)/Q4</f>
        <v>0.64732065185768584</v>
      </c>
      <c r="AH4" s="175">
        <f t="shared" ref="AH4" si="19">AG4*Q4/O4</f>
        <v>99.493184190526321</v>
      </c>
      <c r="AI4" s="176">
        <f t="shared" ref="AI4" si="20">IMREAL(IMPRODUCT(AC4,IMCONJUGATE(AD4)))*3/1000000</f>
        <v>4.0467568891033796</v>
      </c>
      <c r="AJ4" s="174">
        <f>IMABS(Z4)/L4/1000*SQRT(3)</f>
        <v>0.99999999999999678</v>
      </c>
      <c r="AK4" s="176">
        <f t="shared" ref="AK4:AK11" si="21">SQRT(AI4^2+AS4^2)</f>
        <v>4.3576250368799689</v>
      </c>
      <c r="AL4" s="175">
        <f t="shared" ref="AL4:AL11" si="22">IMABS(Z4)*SQRT(3)/1000</f>
        <v>24.999999999999922</v>
      </c>
      <c r="AM4" s="174">
        <f t="shared" ref="AM4:AM11" si="23">IMABS(AA4)/Q4</f>
        <v>0.65327743960807394</v>
      </c>
      <c r="AN4" s="175">
        <f t="shared" ref="AN4:AN11" si="24">Q4*AM4/P4</f>
        <v>100.40874246776097</v>
      </c>
      <c r="AO4" s="177">
        <f t="shared" ref="AO4:AO11" si="25">D4</f>
        <v>4</v>
      </c>
      <c r="AP4" s="174">
        <f>IF(AO4&gt;0, (AI4-AO4)/AO4,0)</f>
        <v>1.1689222275844902E-2</v>
      </c>
      <c r="AQ4" s="168">
        <f t="shared" ref="AQ4:AQ11" si="26">AF4*AH4*SQRT(3)*O4/1000</f>
        <v>4.3576250368799645</v>
      </c>
      <c r="AR4" s="168">
        <f t="shared" ref="AR4" si="27">AL4*AN4*SQRT(3)/1000</f>
        <v>4.3478260869565064</v>
      </c>
      <c r="AS4" s="176">
        <f t="shared" ref="AS4:AS11" si="28">IMAGINARY(IMPRODUCT(AC4,IMCONJUGATE(AD4)))*3/1000000</f>
        <v>1.6163708245750679</v>
      </c>
      <c r="AT4" s="196">
        <f>VLOOKUP(N4,Cabos!$B$9:$I$46,6,0)*K4*O4</f>
        <v>936.0231064728066</v>
      </c>
      <c r="AU4" s="300">
        <f>VLOOKUP(N4,Cabos!$B$9:$I$46,7,0)*K4</f>
        <v>84.511629223816939</v>
      </c>
      <c r="AV4" s="301">
        <f>ROUNDUP(AU4/$AV$2,0)*$AW$2</f>
        <v>2</v>
      </c>
      <c r="AW4" s="301">
        <f t="shared" ref="AW4:AW10" si="29">ROUNDDOWN(AU4/$AU$2,0)*O4</f>
        <v>0</v>
      </c>
      <c r="AX4">
        <f>ROUNDUP((AW4)*$AX$2,0)</f>
        <v>0</v>
      </c>
      <c r="AY4">
        <f>IFERROR(ROUNDUP(K4*O4/$AY$2,0),0)</f>
        <v>1</v>
      </c>
      <c r="AZ4">
        <f>IFERROR(ROUNDUP(K4*O4/$AZ$2,0),0)</f>
        <v>1</v>
      </c>
      <c r="BA4" s="301">
        <f t="shared" ref="BA4:BA11" si="30">SUM(AX4:AZ4)+AV4</f>
        <v>4</v>
      </c>
      <c r="BB4" s="299">
        <f>BA4*$BA$2</f>
        <v>1100000</v>
      </c>
    </row>
    <row r="5" spans="1:54" x14ac:dyDescent="0.25">
      <c r="A5" s="153">
        <f>IF($B$1="não",0,1-60/$B5)</f>
        <v>0</v>
      </c>
      <c r="B5">
        <v>60</v>
      </c>
      <c r="C5" s="133">
        <v>1</v>
      </c>
      <c r="D5" s="107">
        <v>4</v>
      </c>
      <c r="E5" s="194">
        <v>0.92</v>
      </c>
      <c r="F5" s="168">
        <f t="shared" si="1"/>
        <v>4.3478260869565215</v>
      </c>
      <c r="G5" s="157">
        <f t="shared" si="2"/>
        <v>29.033350144358597</v>
      </c>
      <c r="H5" s="157">
        <f t="shared" si="3"/>
        <v>3.0000001245658106</v>
      </c>
      <c r="I5">
        <v>30</v>
      </c>
      <c r="J5">
        <v>5</v>
      </c>
      <c r="K5" s="192">
        <f t="shared" si="4"/>
        <v>2.2213535164733051</v>
      </c>
      <c r="L5" s="107">
        <v>25</v>
      </c>
      <c r="M5" s="158">
        <v>1</v>
      </c>
      <c r="N5" s="156" t="s">
        <v>159</v>
      </c>
      <c r="O5" s="159">
        <v>1</v>
      </c>
      <c r="P5" s="159">
        <f t="shared" ref="P5:P8" si="31">IF(O5=1,1,IF(O5=2,0.9,0.8))</f>
        <v>1</v>
      </c>
      <c r="Q5" s="160">
        <f>VLOOKUP(N5,Cabos!$B$13:$F$46,2,0)*O5*P5</f>
        <v>153.70000000000002</v>
      </c>
      <c r="R5" s="161">
        <f>((VLOOKUP(N5,Cabos!$B$13:$F$46,3,0)/O5*K5))*(1+A5)</f>
        <v>1.099569990654286</v>
      </c>
      <c r="S5" s="161">
        <f>(VLOOKUP(N5,Cabos!$B$13:$F$46,4,0)/O5*K5)*B5/60</f>
        <v>0.39762227944872158</v>
      </c>
      <c r="T5" s="161">
        <f>1/(VLOOKUP(N5,Cabos!$B$13:$F$46,5,0)*60/B5) * O5 * K5</f>
        <v>1.1652696409134476E-4</v>
      </c>
      <c r="U5" s="156" t="str">
        <f t="shared" ref="U5:U8" si="32">IMSQRT(IMDIV(COMPLEX(R5,S5),COMPLEX(0,T5)))</f>
        <v>81,9953644820213-57,5409662461409i</v>
      </c>
      <c r="V5" s="156" t="str">
        <f t="shared" ref="V5:V8" si="33">IMSQRT(IMPRODUCT(COMPLEX(R5,S5),COMPLEX(0,T5)))</f>
        <v>0,00670507410754535+0,00955467089265324i</v>
      </c>
      <c r="W5" s="156" t="str">
        <f t="shared" ref="W5:W8" si="34">IMPRODUCT(U5,_xlfn.IMSINH(V5))</f>
        <v>1,09955300817459+0,397642689974804i</v>
      </c>
      <c r="X5" s="156" t="str">
        <f t="shared" ref="X5:X8" si="35">IMDIV(IMSUB(_xlfn.IMCOSH(V5),COMPLEX(1,0)),IMPRODUCT(U5,_xlfn.IMSINH(V5)))</f>
        <v>6,22112144692206E-10+0,0000582637070023046i</v>
      </c>
      <c r="Y5" s="162">
        <f t="shared" ref="Y5:Y8" si="36">F5/L5/SQRT(3)*1000</f>
        <v>100.408742467761</v>
      </c>
      <c r="Z5" s="163" t="str">
        <f t="shared" ref="Z5:Z8" si="37">COMPLEX(L5*1000/SQRT(3)*M5,0)</f>
        <v>14433,7567297406</v>
      </c>
      <c r="AA5" s="163" t="str">
        <f t="shared" ref="AA5:AA8" si="38">COMPLEX(Y5*E5,-Y5*SQRT(1-E5*E5))</f>
        <v>92,3760430703401-39,3520295616861i</v>
      </c>
      <c r="AB5" s="163" t="str">
        <f t="shared" ref="AB5:AB8" si="39">IMPRODUCT(W5,IMSUM(AA5,IMPRODUCT(X5,Z5)))</f>
        <v>116,886009549536-5,61229596977236i</v>
      </c>
      <c r="AC5" s="163" t="str">
        <f t="shared" ref="AC5:AC8" si="40">IMSUM(Z5,AB5)</f>
        <v>14550,6427392901-5,61229596977236i</v>
      </c>
      <c r="AD5" s="163" t="str">
        <f t="shared" ref="AD5:AD8" si="41">IMSUM(IMPRODUCT(AC5,X5),IMDIV(AB5,W5))</f>
        <v>92,3763880950548-37,6632910068762i</v>
      </c>
      <c r="AE5" s="164">
        <f t="shared" ref="AE5:AE8" si="42">IMABS(AC5)/L5/1000*SQRT(3)</f>
        <v>1.008098175276964</v>
      </c>
      <c r="AF5" s="165">
        <f t="shared" ref="AF5:AF8" si="43">L5*AE5</f>
        <v>25.202454381924099</v>
      </c>
      <c r="AG5" s="164">
        <f t="shared" ref="AG5:AG8" si="44">IMABS(AD5)/Q5</f>
        <v>0.64905213522490113</v>
      </c>
      <c r="AH5" s="165">
        <f t="shared" ref="AH5:AH8" si="45">AG5*Q5/O5</f>
        <v>99.75931318406731</v>
      </c>
      <c r="AI5" s="166">
        <f t="shared" ref="AI5:AI8" si="46">IMREAL(IMPRODUCT(AC5,IMCONJUGATE(AD5)))*3/1000000</f>
        <v>4.0330415947604399</v>
      </c>
      <c r="AJ5" s="164">
        <f t="shared" ref="AJ4:AJ5" si="47">IMABS(Z5)/L5/1000*SQRT(3)</f>
        <v>0.99999999999999678</v>
      </c>
      <c r="AK5" s="176">
        <f t="shared" si="21"/>
        <v>4.3546867020993361</v>
      </c>
      <c r="AL5" s="165">
        <f t="shared" si="22"/>
        <v>24.999999999999922</v>
      </c>
      <c r="AM5" s="164">
        <f t="shared" si="23"/>
        <v>0.65327743960807394</v>
      </c>
      <c r="AN5" s="165">
        <f t="shared" si="24"/>
        <v>100.40874246776097</v>
      </c>
      <c r="AO5" s="167">
        <f t="shared" si="25"/>
        <v>4</v>
      </c>
      <c r="AP5" s="164">
        <f t="shared" ref="AP4:AP11" si="48">IF(AO5&gt;0, (AI5-AO5)/AO5,0)</f>
        <v>8.2603986901099713E-3</v>
      </c>
      <c r="AQ5" s="157">
        <f t="shared" si="26"/>
        <v>4.3546867020993369</v>
      </c>
      <c r="AR5" s="157">
        <f>AL5*AN5*SQRT(3)/1000</f>
        <v>4.3478260869565064</v>
      </c>
      <c r="AS5" s="176">
        <f t="shared" si="28"/>
        <v>1.642519944589095</v>
      </c>
      <c r="AT5" s="196">
        <f>VLOOKUP(N5,Cabos!$B$9:$I$46,6,0)*K5*O5</f>
        <v>659.67979649411029</v>
      </c>
      <c r="AU5" s="300">
        <f>VLOOKUP(N5,Cabos!$B$9:$I$46,7,0)*K5</f>
        <v>59.561151837198729</v>
      </c>
      <c r="AV5" s="301">
        <f t="shared" ref="AV5:AV11" si="49">ROUNDUP(AU5/$AV$2,0)*$AW$2</f>
        <v>2</v>
      </c>
      <c r="AW5" s="301">
        <f t="shared" si="29"/>
        <v>0</v>
      </c>
      <c r="AX5">
        <f t="shared" ref="AX5:AX11" si="50">ROUNDUP((AW5)*$AX$2,0)</f>
        <v>0</v>
      </c>
      <c r="AY5">
        <f t="shared" ref="AY5:AY11" si="51">IFERROR(ROUNDUP(K5*O5/$AY$2,0),0)</f>
        <v>1</v>
      </c>
      <c r="AZ5">
        <f t="shared" ref="AZ5:AZ11" si="52">IFERROR(ROUNDUP(K5*O5/$AZ$2,0),0)</f>
        <v>1</v>
      </c>
      <c r="BA5" s="301">
        <f t="shared" si="30"/>
        <v>4</v>
      </c>
      <c r="BB5" s="299">
        <f t="shared" ref="BB5:BB11" si="53">BA5*$BA$2</f>
        <v>1100000</v>
      </c>
    </row>
    <row r="6" spans="1:54" x14ac:dyDescent="0.25">
      <c r="A6" s="153">
        <f t="shared" si="0"/>
        <v>0</v>
      </c>
      <c r="B6">
        <v>60</v>
      </c>
      <c r="C6" s="133">
        <v>1</v>
      </c>
      <c r="D6" s="107">
        <v>4</v>
      </c>
      <c r="E6" s="194">
        <v>0.92</v>
      </c>
      <c r="F6" s="168">
        <f t="shared" si="1"/>
        <v>4.3478260869565215</v>
      </c>
      <c r="G6" s="157">
        <f t="shared" si="2"/>
        <v>29.033350144358597</v>
      </c>
      <c r="H6" s="157">
        <f t="shared" si="3"/>
        <v>3.0000001245658106</v>
      </c>
      <c r="I6">
        <v>30</v>
      </c>
      <c r="J6">
        <v>4</v>
      </c>
      <c r="K6" s="192">
        <f t="shared" si="4"/>
        <v>1.39083129612471</v>
      </c>
      <c r="L6" s="107">
        <v>25</v>
      </c>
      <c r="M6" s="169">
        <v>1</v>
      </c>
      <c r="N6" s="156" t="s">
        <v>159</v>
      </c>
      <c r="O6" s="159">
        <v>1</v>
      </c>
      <c r="P6" s="159">
        <f t="shared" si="31"/>
        <v>1</v>
      </c>
      <c r="Q6" s="170">
        <f>VLOOKUP(N6,Cabos!$B$13:$F$46,2,0)*O6*P6</f>
        <v>153.70000000000002</v>
      </c>
      <c r="R6" s="171">
        <f>((VLOOKUP(N6,Cabos!$B$13:$F$46,3,0)/O6*K6))*(1+A6)</f>
        <v>0.68846149158173142</v>
      </c>
      <c r="S6" s="171">
        <f>(VLOOKUP(N6,Cabos!$B$13:$F$46,4,0)/O6*K6)*B6/60</f>
        <v>0.24895880200632309</v>
      </c>
      <c r="T6" s="171">
        <f>1/(VLOOKUP(N6,Cabos!$B$13:$F$46,5,0)*60/B6) * O6 * K6</f>
        <v>7.2959728066133875E-5</v>
      </c>
      <c r="U6" s="155" t="str">
        <f t="shared" si="32"/>
        <v>81,9953644820212-57,5409662461408i</v>
      </c>
      <c r="V6" s="155" t="str">
        <f t="shared" si="33"/>
        <v>0,00419817324998102+0,0059823594952918i</v>
      </c>
      <c r="W6" s="155" t="str">
        <f t="shared" si="34"/>
        <v>0,688457323175779+0,248963811877313i</v>
      </c>
      <c r="X6" s="155" t="str">
        <f t="shared" si="35"/>
        <v>1,52698820808036E-10+0,000036479919250744i</v>
      </c>
      <c r="Y6" s="172">
        <f t="shared" si="36"/>
        <v>100.408742467761</v>
      </c>
      <c r="Z6" s="173" t="str">
        <f t="shared" si="37"/>
        <v>14433,7567297406</v>
      </c>
      <c r="AA6" s="173" t="str">
        <f t="shared" si="38"/>
        <v>92,3760430703401-39,3520295616861i</v>
      </c>
      <c r="AB6" s="173" t="str">
        <f t="shared" si="39"/>
        <v>73,2631061667951-3,7313986872993i</v>
      </c>
      <c r="AC6" s="173" t="str">
        <f t="shared" si="40"/>
        <v>14507,0198359074-3,7313986872993i</v>
      </c>
      <c r="AD6" s="173" t="str">
        <f t="shared" si="41"/>
        <v>92,3761836106853-38,2962723700872i</v>
      </c>
      <c r="AE6" s="174">
        <f t="shared" si="42"/>
        <v>1.0050758501352945</v>
      </c>
      <c r="AF6" s="175">
        <f t="shared" si="43"/>
        <v>25.126896253382363</v>
      </c>
      <c r="AG6" s="174">
        <f t="shared" si="44"/>
        <v>0.65061690877964029</v>
      </c>
      <c r="AH6" s="175">
        <f t="shared" si="45"/>
        <v>99.99981887943072</v>
      </c>
      <c r="AI6" s="176">
        <f t="shared" si="46"/>
        <v>4.0207380799982699</v>
      </c>
      <c r="AJ6" s="174">
        <f t="shared" ref="AJ6:AJ9" si="54">IMABS(Z6)/L6/1000*SQRT(3)</f>
        <v>0.99999999999999678</v>
      </c>
      <c r="AK6" s="176">
        <f t="shared" si="21"/>
        <v>4.352098212177709</v>
      </c>
      <c r="AL6" s="175">
        <f t="shared" si="22"/>
        <v>24.999999999999922</v>
      </c>
      <c r="AM6" s="174">
        <f t="shared" si="23"/>
        <v>0.65327743960807394</v>
      </c>
      <c r="AN6" s="175">
        <f t="shared" si="24"/>
        <v>100.40874246776097</v>
      </c>
      <c r="AO6" s="177">
        <f t="shared" si="25"/>
        <v>4</v>
      </c>
      <c r="AP6" s="174">
        <f t="shared" si="48"/>
        <v>5.1845199995674829E-3</v>
      </c>
      <c r="AQ6" s="168">
        <f t="shared" si="26"/>
        <v>4.3520982121776965</v>
      </c>
      <c r="AR6" s="168">
        <f t="shared" ref="AR6:AR8" si="55">AL6*AN6*SQRT(3)/1000</f>
        <v>4.3478260869565064</v>
      </c>
      <c r="AS6" s="176">
        <f t="shared" si="28"/>
        <v>1.665660271631715</v>
      </c>
      <c r="AT6" s="196">
        <f>VLOOKUP(N6,Cabos!$B$9:$I$46,6,0)*K6*O6</f>
        <v>413.03795167274734</v>
      </c>
      <c r="AU6" s="300">
        <f>VLOOKUP(N6,Cabos!$B$9:$I$46,7,0)*K6</f>
        <v>37.292359542991846</v>
      </c>
      <c r="AV6" s="301">
        <f t="shared" si="49"/>
        <v>2</v>
      </c>
      <c r="AW6" s="301">
        <f t="shared" si="29"/>
        <v>0</v>
      </c>
      <c r="AX6">
        <f t="shared" si="50"/>
        <v>0</v>
      </c>
      <c r="AY6">
        <f t="shared" si="51"/>
        <v>1</v>
      </c>
      <c r="AZ6">
        <f t="shared" si="52"/>
        <v>1</v>
      </c>
      <c r="BA6" s="301">
        <f t="shared" si="30"/>
        <v>4</v>
      </c>
      <c r="BB6" s="299">
        <f t="shared" si="53"/>
        <v>1100000</v>
      </c>
    </row>
    <row r="7" spans="1:54" x14ac:dyDescent="0.25">
      <c r="A7" s="153">
        <f>IF($B$1="não",0,1-60/$B7)</f>
        <v>0</v>
      </c>
      <c r="B7">
        <v>60</v>
      </c>
      <c r="C7" s="133">
        <v>1</v>
      </c>
      <c r="D7" s="107">
        <v>4</v>
      </c>
      <c r="E7" s="194">
        <v>0.92</v>
      </c>
      <c r="F7" s="168">
        <f t="shared" ref="F7:F10" si="56">D7/(E7*C7)</f>
        <v>4.3478260869565215</v>
      </c>
      <c r="G7" s="157">
        <f t="shared" si="2"/>
        <v>29.033350144358597</v>
      </c>
      <c r="H7" s="157">
        <f t="shared" si="3"/>
        <v>3.0000001245658106</v>
      </c>
      <c r="I7">
        <v>30</v>
      </c>
      <c r="J7">
        <v>3</v>
      </c>
      <c r="K7" s="192">
        <f t="shared" si="4"/>
        <v>0.96664985564141137</v>
      </c>
      <c r="L7" s="107">
        <v>25</v>
      </c>
      <c r="M7" s="180">
        <v>1</v>
      </c>
      <c r="N7" s="156" t="s">
        <v>159</v>
      </c>
      <c r="O7" s="159">
        <v>1</v>
      </c>
      <c r="P7" s="159">
        <f t="shared" si="31"/>
        <v>1</v>
      </c>
      <c r="Q7" s="181">
        <f>VLOOKUP(N7,Cabos!$B$13:$F$46,2,0)*O7*P7</f>
        <v>153.70000000000002</v>
      </c>
      <c r="R7" s="182">
        <f>((VLOOKUP(N7,Cabos!$B$13:$F$46,3,0)/O7*K7))*(1+A7)</f>
        <v>0.47849167854249863</v>
      </c>
      <c r="S7" s="182">
        <f>(VLOOKUP(N7,Cabos!$B$13:$F$46,4,0)/O7*K7)*B7/60</f>
        <v>0.17303032415981262</v>
      </c>
      <c r="T7" s="182">
        <f>1/(VLOOKUP(N7,Cabos!$B$13:$F$46,5,0)*60/B7) * O7 * K7</f>
        <v>5.0708170573436048E-5</v>
      </c>
      <c r="U7" s="178" t="str">
        <f t="shared" si="32"/>
        <v>81,9953644820214-57,5409662461409i</v>
      </c>
      <c r="V7" s="178" t="str">
        <f t="shared" si="33"/>
        <v>0,00291779713136963+0,00415783492838539i</v>
      </c>
      <c r="W7" s="178" t="str">
        <f t="shared" si="34"/>
        <v>0,478490279104245+0,173032006103392i</v>
      </c>
      <c r="X7" s="178" t="str">
        <f t="shared" si="35"/>
        <v>5,12649602796553E-11+0,0000253541038247447i</v>
      </c>
      <c r="Y7" s="183">
        <f t="shared" si="36"/>
        <v>100.408742467761</v>
      </c>
      <c r="Z7" s="184" t="str">
        <f t="shared" si="37"/>
        <v>14433,7567297406</v>
      </c>
      <c r="AA7" s="184" t="str">
        <f t="shared" si="38"/>
        <v>92,3760430703401-39,3520295616861i</v>
      </c>
      <c r="AB7" s="184" t="str">
        <f t="shared" si="39"/>
        <v>50,9468776825955-2,67044553774188i</v>
      </c>
      <c r="AC7" s="184" t="str">
        <f t="shared" si="40"/>
        <v>14484,7036074232-2,67044553774188i</v>
      </c>
      <c r="AD7" s="184" t="str">
        <f t="shared" si="41"/>
        <v>92,3761122595973-38,6188279159828i</v>
      </c>
      <c r="AE7" s="185">
        <f t="shared" si="42"/>
        <v>1.0035297202801992</v>
      </c>
      <c r="AF7" s="186">
        <f t="shared" si="43"/>
        <v>25.08824300700498</v>
      </c>
      <c r="AG7" s="185">
        <f t="shared" si="44"/>
        <v>0.65142305394679179</v>
      </c>
      <c r="AH7" s="186">
        <f t="shared" si="45"/>
        <v>100.12372339162191</v>
      </c>
      <c r="AI7" s="187">
        <f t="shared" si="46"/>
        <v>4.0144312078890003</v>
      </c>
      <c r="AJ7" s="185">
        <f t="shared" si="54"/>
        <v>0.99999999999999678</v>
      </c>
      <c r="AK7" s="176">
        <f t="shared" si="21"/>
        <v>4.3507874461389342</v>
      </c>
      <c r="AL7" s="186">
        <f t="shared" si="22"/>
        <v>24.999999999999922</v>
      </c>
      <c r="AM7" s="185">
        <f t="shared" si="23"/>
        <v>0.65327743960807394</v>
      </c>
      <c r="AN7" s="186">
        <f t="shared" si="24"/>
        <v>100.40874246776097</v>
      </c>
      <c r="AO7" s="188">
        <f t="shared" si="25"/>
        <v>4</v>
      </c>
      <c r="AP7" s="185">
        <f t="shared" si="48"/>
        <v>3.6078019722500798E-3</v>
      </c>
      <c r="AQ7" s="179">
        <f t="shared" si="26"/>
        <v>4.3507874461389369</v>
      </c>
      <c r="AR7" s="179">
        <f t="shared" si="55"/>
        <v>4.3478260869565064</v>
      </c>
      <c r="AS7" s="176">
        <f t="shared" si="28"/>
        <v>1.6774067719569421</v>
      </c>
      <c r="AT7" s="196">
        <f>VLOOKUP(N7,Cabos!$B$9:$I$46,6,0)*K7*O7</f>
        <v>287.06794092954118</v>
      </c>
      <c r="AU7" s="300">
        <f>VLOOKUP(N7,Cabos!$B$9:$I$46,7,0)*K7</f>
        <v>25.918782579313163</v>
      </c>
      <c r="AV7" s="301">
        <f t="shared" si="49"/>
        <v>2</v>
      </c>
      <c r="AW7" s="301">
        <f t="shared" si="29"/>
        <v>0</v>
      </c>
      <c r="AX7">
        <f t="shared" si="50"/>
        <v>0</v>
      </c>
      <c r="AY7">
        <f t="shared" si="51"/>
        <v>1</v>
      </c>
      <c r="AZ7">
        <f t="shared" si="52"/>
        <v>1</v>
      </c>
      <c r="BA7" s="301">
        <f t="shared" si="30"/>
        <v>4</v>
      </c>
      <c r="BB7" s="299">
        <f t="shared" si="53"/>
        <v>1100000</v>
      </c>
    </row>
    <row r="8" spans="1:54" x14ac:dyDescent="0.25">
      <c r="A8" s="153">
        <f t="shared" si="0"/>
        <v>0</v>
      </c>
      <c r="B8">
        <v>60</v>
      </c>
      <c r="C8" s="133">
        <v>1</v>
      </c>
      <c r="D8" s="107">
        <v>4</v>
      </c>
      <c r="E8" s="194">
        <v>0.92</v>
      </c>
      <c r="F8" s="168">
        <f t="shared" si="56"/>
        <v>4.3478260869565215</v>
      </c>
      <c r="G8" s="157">
        <f t="shared" si="2"/>
        <v>29.033350144358597</v>
      </c>
      <c r="H8" s="157">
        <f t="shared" si="3"/>
        <v>3.0000001245658106</v>
      </c>
      <c r="I8">
        <v>30</v>
      </c>
      <c r="J8">
        <v>2</v>
      </c>
      <c r="K8" s="192">
        <f t="shared" si="4"/>
        <v>1.3908314752489543</v>
      </c>
      <c r="L8" s="107">
        <v>25</v>
      </c>
      <c r="M8" s="169">
        <v>1</v>
      </c>
      <c r="N8" s="156" t="s">
        <v>159</v>
      </c>
      <c r="O8" s="159">
        <v>1</v>
      </c>
      <c r="P8" s="159">
        <f t="shared" si="31"/>
        <v>1</v>
      </c>
      <c r="Q8" s="170">
        <f>VLOOKUP(N8,Cabos!$B$13:$F$46,2,0)*O8*P8</f>
        <v>153.70000000000002</v>
      </c>
      <c r="R8" s="171">
        <f>((VLOOKUP(N8,Cabos!$B$13:$F$46,3,0)/O8*K8))*(1+A8)</f>
        <v>0.68846158024823234</v>
      </c>
      <c r="S8" s="171">
        <f>(VLOOKUP(N8,Cabos!$B$13:$F$46,4,0)/O8*K8)*B8/60</f>
        <v>0.24895883406956282</v>
      </c>
      <c r="T8" s="171">
        <f>1/(VLOOKUP(N8,Cabos!$B$13:$F$46,5,0)*60/B8) * O8 * K8</f>
        <v>7.2959737462569083E-5</v>
      </c>
      <c r="U8" s="155" t="str">
        <f t="shared" si="32"/>
        <v>81,9953644820212-57,5409662461408i</v>
      </c>
      <c r="V8" s="155" t="str">
        <f t="shared" si="33"/>
        <v>0,00419817379066098+0,00598236026575593i</v>
      </c>
      <c r="W8" s="155" t="str">
        <f t="shared" si="34"/>
        <v>0,68845741184067+0,248963843942488i</v>
      </c>
      <c r="X8" s="155" t="str">
        <f t="shared" si="35"/>
        <v>1,52699335275336E-10+0,0000364799239488182i</v>
      </c>
      <c r="Y8" s="172">
        <f t="shared" si="36"/>
        <v>100.408742467761</v>
      </c>
      <c r="Z8" s="173" t="str">
        <f t="shared" si="37"/>
        <v>14433,7567297406</v>
      </c>
      <c r="AA8" s="173" t="str">
        <f t="shared" si="38"/>
        <v>92,3760430703401-39,3520295616861i</v>
      </c>
      <c r="AB8" s="173" t="str">
        <f t="shared" si="39"/>
        <v>73,2631155853758-3,73139912101606i</v>
      </c>
      <c r="AC8" s="173" t="str">
        <f t="shared" si="40"/>
        <v>14507,019845326-3,73139912101606i</v>
      </c>
      <c r="AD8" s="173" t="str">
        <f t="shared" si="41"/>
        <v>92,3761836107335-38,2962722337777i</v>
      </c>
      <c r="AE8" s="174">
        <f t="shared" si="42"/>
        <v>1.0050758507878421</v>
      </c>
      <c r="AF8" s="175">
        <f t="shared" si="43"/>
        <v>25.126896269696054</v>
      </c>
      <c r="AG8" s="174">
        <f t="shared" si="44"/>
        <v>0.65061690844029729</v>
      </c>
      <c r="AH8" s="175">
        <f t="shared" si="45"/>
        <v>99.9998188272737</v>
      </c>
      <c r="AI8" s="176">
        <f t="shared" si="46"/>
        <v>4.0207380826588199</v>
      </c>
      <c r="AJ8" s="174">
        <f t="shared" si="54"/>
        <v>0.99999999999999678</v>
      </c>
      <c r="AK8" s="176">
        <f t="shared" si="21"/>
        <v>4.3520982127333756</v>
      </c>
      <c r="AL8" s="175">
        <f t="shared" si="22"/>
        <v>24.999999999999922</v>
      </c>
      <c r="AM8" s="174">
        <f t="shared" si="23"/>
        <v>0.65327743960807394</v>
      </c>
      <c r="AN8" s="175">
        <f t="shared" si="24"/>
        <v>100.40874246776097</v>
      </c>
      <c r="AO8" s="177">
        <f t="shared" si="25"/>
        <v>4</v>
      </c>
      <c r="AP8" s="174">
        <f t="shared" si="48"/>
        <v>5.1845206647049835E-3</v>
      </c>
      <c r="AQ8" s="168">
        <f t="shared" si="26"/>
        <v>4.3520982127333774</v>
      </c>
      <c r="AR8" s="168">
        <f t="shared" si="55"/>
        <v>4.3478260869565064</v>
      </c>
      <c r="AS8" s="176">
        <f t="shared" si="28"/>
        <v>1.6656602666612759</v>
      </c>
      <c r="AT8" s="196">
        <f>VLOOKUP(N8,Cabos!$B$9:$I$46,6,0)*K8*O8</f>
        <v>413.03800486763242</v>
      </c>
      <c r="AU8" s="300">
        <f>VLOOKUP(N8,Cabos!$B$9:$I$46,7,0)*K8</f>
        <v>37.29236434585021</v>
      </c>
      <c r="AV8" s="301">
        <f t="shared" si="49"/>
        <v>2</v>
      </c>
      <c r="AW8" s="301">
        <f t="shared" si="29"/>
        <v>0</v>
      </c>
      <c r="AX8">
        <f t="shared" si="50"/>
        <v>0</v>
      </c>
      <c r="AY8">
        <f t="shared" si="51"/>
        <v>1</v>
      </c>
      <c r="AZ8">
        <f t="shared" si="52"/>
        <v>1</v>
      </c>
      <c r="BA8" s="301">
        <f t="shared" si="30"/>
        <v>4</v>
      </c>
      <c r="BB8" s="299">
        <f t="shared" si="53"/>
        <v>1100000</v>
      </c>
    </row>
    <row r="9" spans="1:54" x14ac:dyDescent="0.25">
      <c r="A9" s="153">
        <f>IF($B$1="não",0,1-60/$B9)</f>
        <v>0</v>
      </c>
      <c r="B9">
        <v>60</v>
      </c>
      <c r="C9" s="133">
        <v>1</v>
      </c>
      <c r="D9" s="107">
        <v>4</v>
      </c>
      <c r="E9" s="194">
        <v>0.92</v>
      </c>
      <c r="F9" s="168">
        <f t="shared" si="56"/>
        <v>4.3478260869565215</v>
      </c>
      <c r="G9" s="157">
        <f t="shared" si="2"/>
        <v>29.033350144358597</v>
      </c>
      <c r="H9" s="157">
        <f t="shared" si="3"/>
        <v>3.0000001245658106</v>
      </c>
      <c r="I9">
        <v>30</v>
      </c>
      <c r="J9">
        <v>1</v>
      </c>
      <c r="K9" s="192">
        <f t="shared" si="4"/>
        <v>2.2213537407794384</v>
      </c>
      <c r="L9" s="107">
        <v>25</v>
      </c>
      <c r="M9" s="158">
        <v>1</v>
      </c>
      <c r="N9" s="156" t="s">
        <v>159</v>
      </c>
      <c r="O9" s="159">
        <v>1</v>
      </c>
      <c r="P9" s="159">
        <f t="shared" ref="P9:P11" si="57">IF(O9=1,1,IF(O9=2,0.9,0.8))</f>
        <v>1</v>
      </c>
      <c r="Q9" s="160">
        <f>VLOOKUP(N9,Cabos!$B$13:$F$46,2,0)*O9*P9</f>
        <v>153.70000000000002</v>
      </c>
      <c r="R9" s="161">
        <f>((VLOOKUP(N9,Cabos!$B$13:$F$46,3,0)/O9*K9))*(1+A9)</f>
        <v>1.0995701016858219</v>
      </c>
      <c r="S9" s="161">
        <f>(VLOOKUP(N9,Cabos!$B$13:$F$46,4,0)/O9*K9)*B9/60</f>
        <v>0.39762231959951944</v>
      </c>
      <c r="T9" s="161">
        <f>1/(VLOOKUP(N9,Cabos!$B$13:$F$46,5,0)*60/B9) * O9 * K9</f>
        <v>1.1652697585791524E-4</v>
      </c>
      <c r="U9" s="156" t="str">
        <f t="shared" ref="U9:U11" si="58">IMSQRT(IMDIV(COMPLEX(R9,S9),COMPLEX(0,T9)))</f>
        <v>81,9953644820213-57,5409662461408i</v>
      </c>
      <c r="V9" s="156" t="str">
        <f t="shared" ref="V9:V11" si="59">IMSQRT(IMPRODUCT(COMPLEX(R9,S9),COMPLEX(0,T9)))</f>
        <v>0,00670507478460516+0,00955467185745744i</v>
      </c>
      <c r="W9" s="156" t="str">
        <f t="shared" ref="W9:W11" si="60">IMPRODUCT(U9,_xlfn.IMSINH(V9))</f>
        <v>1,09955311920097+0,397642730131785i</v>
      </c>
      <c r="X9" s="156" t="str">
        <f t="shared" ref="X9:X11" si="61">IMDIV(IMSUB(_xlfn.IMCOSH(V9),COMPLEX(1,0)),IMPRODUCT(U9,_xlfn.IMSINH(V9)))</f>
        <v>6,22112217443913E-10+0,0000582637128856999i</v>
      </c>
      <c r="Y9" s="162">
        <f>F9/L9/SQRT(3)*1000</f>
        <v>100.408742467761</v>
      </c>
      <c r="Z9" s="163" t="str">
        <f t="shared" ref="Z9:Z11" si="62">COMPLEX(L9*1000/SQRT(3)*M9,0)</f>
        <v>14433,7567297406</v>
      </c>
      <c r="AA9" s="163" t="str">
        <f>COMPLEX(Y9*E9,-Y9*SQRT(1-E9*E9))</f>
        <v>92,3760430703401-39,3520295616861i</v>
      </c>
      <c r="AB9" s="163" t="str">
        <f t="shared" ref="AB9:AB11" si="63">IMPRODUCT(W9,IMSUM(AA9,IMPRODUCT(X9,Z9)))</f>
        <v>116,886021318437-5,61229644259927i</v>
      </c>
      <c r="AC9" s="163" t="str">
        <f t="shared" ref="AC9:AC11" si="64">IMSUM(Z9,AB9)</f>
        <v>14550,642751059-5,61229644259927i</v>
      </c>
      <c r="AD9" s="163" t="str">
        <f t="shared" ref="AD9:AD11" si="65">IMSUM(IMPRODUCT(AC9,X9),IMDIV(AB9,W9))</f>
        <v>92,376388095118-37,663290835664i</v>
      </c>
      <c r="AE9" s="164">
        <f t="shared" ref="AE9:AE11" si="66">IMABS(AC9)/L9/1000*SQRT(3)</f>
        <v>1.0080981760923498</v>
      </c>
      <c r="AF9" s="165">
        <f t="shared" ref="AF9:AF11" si="67">L9*AE9</f>
        <v>25.202454402308742</v>
      </c>
      <c r="AG9" s="164">
        <f t="shared" ref="AG9:AG11" si="68">IMABS(AD9)/Q9</f>
        <v>0.64905213480472412</v>
      </c>
      <c r="AH9" s="165">
        <f t="shared" ref="AH9:AH11" si="69">AG9*Q9/O9</f>
        <v>99.759313119486109</v>
      </c>
      <c r="AI9" s="166">
        <f t="shared" ref="AI9:AI11" si="70">IMREAL(IMPRODUCT(AC9,IMCONJUGATE(AD9)))*3/1000000</f>
        <v>4.0330415980752603</v>
      </c>
      <c r="AJ9" s="164">
        <f t="shared" si="54"/>
        <v>0.99999999999999678</v>
      </c>
      <c r="AK9" s="176">
        <f t="shared" si="21"/>
        <v>4.3546867028024829</v>
      </c>
      <c r="AL9" s="165">
        <f t="shared" si="22"/>
        <v>24.999999999999922</v>
      </c>
      <c r="AM9" s="164">
        <f t="shared" si="23"/>
        <v>0.65327743960807394</v>
      </c>
      <c r="AN9" s="165">
        <f t="shared" si="24"/>
        <v>100.40874246776097</v>
      </c>
      <c r="AO9" s="167">
        <f t="shared" si="25"/>
        <v>4</v>
      </c>
      <c r="AP9" s="164">
        <f t="shared" si="48"/>
        <v>8.2603995188150758E-3</v>
      </c>
      <c r="AQ9" s="157">
        <f t="shared" si="26"/>
        <v>4.3546867028024678</v>
      </c>
      <c r="AR9" s="157">
        <f>AL9*AN9*SQRT(3)/1000</f>
        <v>4.3478260869565064</v>
      </c>
      <c r="AS9" s="176">
        <f t="shared" si="28"/>
        <v>1.6425199383140852</v>
      </c>
      <c r="AT9" s="196">
        <f>VLOOKUP(N9,Cabos!$B$9:$I$46,6,0)*K9*O9</f>
        <v>659.67986310675133</v>
      </c>
      <c r="AU9" s="300">
        <f>VLOOKUP(N9,Cabos!$B$9:$I$46,7,0)*K9</f>
        <v>59.561157851519077</v>
      </c>
      <c r="AV9" s="301">
        <f t="shared" si="49"/>
        <v>2</v>
      </c>
      <c r="AW9" s="301">
        <f t="shared" si="29"/>
        <v>0</v>
      </c>
      <c r="AX9">
        <f t="shared" si="50"/>
        <v>0</v>
      </c>
      <c r="AY9">
        <f t="shared" si="51"/>
        <v>1</v>
      </c>
      <c r="AZ9">
        <f t="shared" si="52"/>
        <v>1</v>
      </c>
      <c r="BA9" s="301">
        <f t="shared" si="30"/>
        <v>4</v>
      </c>
      <c r="BB9" s="299">
        <f t="shared" si="53"/>
        <v>1100000</v>
      </c>
    </row>
    <row r="10" spans="1:54" x14ac:dyDescent="0.25">
      <c r="A10" s="153">
        <f t="shared" si="0"/>
        <v>0</v>
      </c>
      <c r="B10">
        <v>60</v>
      </c>
      <c r="C10" s="133">
        <v>1</v>
      </c>
      <c r="D10" s="107">
        <v>4</v>
      </c>
      <c r="E10" s="194">
        <v>0.92</v>
      </c>
      <c r="F10" s="168">
        <f t="shared" si="56"/>
        <v>4.3478260869565215</v>
      </c>
      <c r="G10" s="157">
        <f t="shared" si="2"/>
        <v>29.033350144358597</v>
      </c>
      <c r="H10" s="157">
        <f t="shared" si="3"/>
        <v>3.0000001245658106</v>
      </c>
      <c r="I10">
        <v>30</v>
      </c>
      <c r="J10">
        <v>0</v>
      </c>
      <c r="K10" s="192">
        <f t="shared" si="4"/>
        <v>3.1518903361009283</v>
      </c>
      <c r="L10" s="107">
        <v>25</v>
      </c>
      <c r="M10" s="169">
        <v>1</v>
      </c>
      <c r="N10" s="156" t="s">
        <v>159</v>
      </c>
      <c r="O10" s="159">
        <v>1</v>
      </c>
      <c r="P10" s="159">
        <f t="shared" si="57"/>
        <v>1</v>
      </c>
      <c r="Q10" s="170">
        <f>VLOOKUP(N10,Cabos!$B$13:$F$46,2,0)*O10*P10</f>
        <v>153.70000000000002</v>
      </c>
      <c r="R10" s="171">
        <f>((VLOOKUP(N10,Cabos!$B$13:$F$46,3,0)/O10*K10))*(1+A10)</f>
        <v>1.5601857163699595</v>
      </c>
      <c r="S10" s="171">
        <f>(VLOOKUP(N10,Cabos!$B$13:$F$46,4,0)/O10*K10)*B10/60</f>
        <v>0.56418837016206613</v>
      </c>
      <c r="T10" s="171">
        <f>1/(VLOOKUP(N10,Cabos!$B$13:$F$46,5,0)*60/B10) * O10 * K10</f>
        <v>1.6534073000581904E-4</v>
      </c>
      <c r="U10" s="155" t="str">
        <f t="shared" si="58"/>
        <v>81,9953644820213-57,5409662461408i</v>
      </c>
      <c r="V10" s="155" t="str">
        <f t="shared" si="59"/>
        <v>0,00951386536437712+0,0135571734205506i</v>
      </c>
      <c r="W10" s="155" t="str">
        <f t="shared" si="60"/>
        <v>1,56013720274461+0,564246675872365i</v>
      </c>
      <c r="X10" s="155" t="str">
        <f t="shared" si="61"/>
        <v>1,77718603048411E-09+0,0000826710076101686i</v>
      </c>
      <c r="Y10" s="172">
        <f>F10/L10/SQRT(3)*1000</f>
        <v>100.408742467761</v>
      </c>
      <c r="Z10" s="173" t="str">
        <f t="shared" si="62"/>
        <v>14433,7567297406</v>
      </c>
      <c r="AA10" s="173" t="str">
        <f>COMPLEX(Y10*E10,-Y10*SQRT(1-E10*E10))</f>
        <v>92,3760430703401-39,3520295616861i</v>
      </c>
      <c r="AB10" s="173" t="str">
        <f t="shared" si="63"/>
        <v>165,650304166605-7,41003688721904i</v>
      </c>
      <c r="AC10" s="173" t="str">
        <f t="shared" si="64"/>
        <v>14599,4070339072-7,41003688721904i</v>
      </c>
      <c r="AD10" s="173" t="str">
        <f t="shared" si="65"/>
        <v>92,3767072628892-36,9518286724034i</v>
      </c>
      <c r="AE10" s="174">
        <f t="shared" si="66"/>
        <v>1.0114767200097385</v>
      </c>
      <c r="AF10" s="175">
        <f t="shared" si="67"/>
        <v>25.286918000243464</v>
      </c>
      <c r="AG10" s="174">
        <f t="shared" si="68"/>
        <v>0.6473206514194918</v>
      </c>
      <c r="AH10" s="175">
        <f t="shared" si="69"/>
        <v>99.493184123175894</v>
      </c>
      <c r="AI10" s="176">
        <f t="shared" si="70"/>
        <v>4.0467568925895598</v>
      </c>
      <c r="AJ10" s="174">
        <f t="shared" ref="AJ10:AJ11" si="71">IMABS(Z10)/L10/1000*SQRT(3)</f>
        <v>0.99999999999999678</v>
      </c>
      <c r="AK10" s="176">
        <f t="shared" si="21"/>
        <v>4.3576250376347359</v>
      </c>
      <c r="AL10" s="175">
        <f t="shared" si="22"/>
        <v>24.999999999999922</v>
      </c>
      <c r="AM10" s="174">
        <f t="shared" si="23"/>
        <v>0.65327743960807394</v>
      </c>
      <c r="AN10" s="175">
        <f t="shared" si="24"/>
        <v>100.40874246776097</v>
      </c>
      <c r="AO10" s="177">
        <f t="shared" si="25"/>
        <v>4</v>
      </c>
      <c r="AP10" s="174">
        <f t="shared" si="48"/>
        <v>1.168922314738996E-2</v>
      </c>
      <c r="AQ10" s="168">
        <f t="shared" si="26"/>
        <v>4.3576250376347465</v>
      </c>
      <c r="AR10" s="168">
        <f t="shared" ref="AR10:AR11" si="72">AL10*AN10*SQRT(3)/1000</f>
        <v>4.3478260869565064</v>
      </c>
      <c r="AS10" s="176">
        <f t="shared" si="28"/>
        <v>1.6163708178818459</v>
      </c>
      <c r="AT10" s="196">
        <f>VLOOKUP(N10,Cabos!$B$9:$I$46,6,0)*K10*O10</f>
        <v>936.02317689256483</v>
      </c>
      <c r="AU10" s="300">
        <f>VLOOKUP(N10,Cabos!$B$9:$I$46,7,0)*K10</f>
        <v>84.511635581874188</v>
      </c>
      <c r="AV10" s="301">
        <f t="shared" si="49"/>
        <v>2</v>
      </c>
      <c r="AW10" s="301">
        <f t="shared" si="29"/>
        <v>0</v>
      </c>
      <c r="AX10">
        <f t="shared" si="50"/>
        <v>0</v>
      </c>
      <c r="AY10">
        <f t="shared" si="51"/>
        <v>1</v>
      </c>
      <c r="AZ10">
        <f t="shared" si="52"/>
        <v>1</v>
      </c>
      <c r="BA10" s="301">
        <f t="shared" si="30"/>
        <v>4</v>
      </c>
      <c r="BB10" s="299">
        <f t="shared" si="53"/>
        <v>1100000</v>
      </c>
    </row>
    <row r="11" spans="1:54" x14ac:dyDescent="0.25">
      <c r="A11" s="153">
        <f>IF($B$1="não",0,1-60/$B11)</f>
        <v>0</v>
      </c>
      <c r="B11">
        <v>60</v>
      </c>
      <c r="C11" s="133">
        <v>1</v>
      </c>
      <c r="D11" s="107">
        <v>20</v>
      </c>
      <c r="E11" s="194">
        <f>(SUM(AI4:AI10))/(SUM(AK4:AK10))</f>
        <v>0.92571744841203951</v>
      </c>
      <c r="F11" s="168">
        <f>D11/(E11*C11)</f>
        <v>21.604864458704618</v>
      </c>
      <c r="G11" s="157">
        <v>0</v>
      </c>
      <c r="H11" s="157">
        <v>4.5</v>
      </c>
      <c r="I11" s="195">
        <v>29.033350144358597</v>
      </c>
      <c r="J11" s="195">
        <v>3.0000001245658106</v>
      </c>
      <c r="K11" s="192">
        <v>20</v>
      </c>
      <c r="L11" s="107">
        <v>20</v>
      </c>
      <c r="M11" s="180">
        <v>1</v>
      </c>
      <c r="N11" s="156" t="s">
        <v>180</v>
      </c>
      <c r="O11" s="159">
        <v>2</v>
      </c>
      <c r="P11" s="159">
        <f t="shared" si="57"/>
        <v>0.9</v>
      </c>
      <c r="Q11" s="181">
        <f>VLOOKUP(N11,Cabos!$B$13:$F$46,2,0)*O11*P11</f>
        <v>783</v>
      </c>
      <c r="R11" s="182">
        <f>((VLOOKUP(N11,Cabos!$B$13:$F$46,3,0)/O11*K11))*(1+A11)</f>
        <v>0.53031000000000006</v>
      </c>
      <c r="S11" s="182">
        <f>(VLOOKUP(N11,Cabos!$B$13:$F$46,4,0)/O11*K11)*B11/60</f>
        <v>1.29</v>
      </c>
      <c r="T11" s="182">
        <f>1/(VLOOKUP(N11,Cabos!$B$13:$F$46,5,0)*60/B11) * O11 * K11</f>
        <v>4.0489928130377573E-3</v>
      </c>
      <c r="U11" s="178" t="str">
        <f t="shared" si="58"/>
        <v>18,2080508514222-3,59657695704892i</v>
      </c>
      <c r="V11" s="178" t="str">
        <f t="shared" si="59"/>
        <v>0,0145625142506283+0,0737242670368344i</v>
      </c>
      <c r="W11" s="178" t="str">
        <f t="shared" si="60"/>
        <v>0,529387036077742+1,28906693859341i</v>
      </c>
      <c r="X11" s="178" t="str">
        <f t="shared" si="61"/>
        <v>3,62632205087074E-07+0,00202537798504642i</v>
      </c>
      <c r="Y11" s="183">
        <f>F11/L11/SQRT(3)*1000</f>
        <v>623.6787155519246</v>
      </c>
      <c r="Z11" s="184" t="str">
        <f t="shared" si="62"/>
        <v>11547,0053837925</v>
      </c>
      <c r="AA11" s="173" t="str">
        <f>COMPLEX(Y11*E11,-Y11*SQRT(1-E11*E11))</f>
        <v>577,350269189626-235,885156165379i</v>
      </c>
      <c r="AB11" s="184" t="str">
        <f t="shared" si="63"/>
        <v>579,568247025935+631,754799399373i</v>
      </c>
      <c r="AC11" s="184" t="str">
        <f t="shared" si="64"/>
        <v>12126,5736308184+631,754799399373i</v>
      </c>
      <c r="AD11" s="184" t="str">
        <f t="shared" si="65"/>
        <v>576,079311729136-187,936981307293i</v>
      </c>
      <c r="AE11" s="302">
        <f t="shared" si="66"/>
        <v>1.0516162637229811</v>
      </c>
      <c r="AF11" s="186">
        <f t="shared" si="67"/>
        <v>21.032325274459623</v>
      </c>
      <c r="AG11" s="185">
        <f t="shared" si="68"/>
        <v>0.77389544398059229</v>
      </c>
      <c r="AH11" s="186">
        <f t="shared" si="69"/>
        <v>302.9800663184019</v>
      </c>
      <c r="AI11" s="187">
        <f t="shared" si="70"/>
        <v>20.601414302847118</v>
      </c>
      <c r="AJ11" s="185">
        <f t="shared" si="71"/>
        <v>0.99999999999999878</v>
      </c>
      <c r="AK11" s="176">
        <f t="shared" si="21"/>
        <v>22.074555591462008</v>
      </c>
      <c r="AL11" s="186">
        <f t="shared" si="22"/>
        <v>19.999999999999975</v>
      </c>
      <c r="AM11" s="185">
        <f t="shared" si="23"/>
        <v>0.79652454093476999</v>
      </c>
      <c r="AN11" s="186">
        <f t="shared" si="24"/>
        <v>692.97635061324991</v>
      </c>
      <c r="AO11" s="188">
        <f t="shared" si="25"/>
        <v>20</v>
      </c>
      <c r="AP11" s="185">
        <f t="shared" si="48"/>
        <v>3.007071514235591E-2</v>
      </c>
      <c r="AQ11" s="179">
        <f t="shared" si="26"/>
        <v>22.074555591462012</v>
      </c>
      <c r="AR11" s="179">
        <f t="shared" si="72"/>
        <v>24.005404954116226</v>
      </c>
      <c r="AS11" s="176">
        <f t="shared" si="28"/>
        <v>7.9289175353886003</v>
      </c>
      <c r="AT11" s="196">
        <f>VLOOKUP(N11,Cabos!$B$9:$I$46,6,0)*K11*O11</f>
        <v>24479.840000000004</v>
      </c>
      <c r="AU11" s="300">
        <f>VLOOKUP(N11,Cabos!$B$9:$I$46,7,0)*K11</f>
        <v>845.50799999999992</v>
      </c>
      <c r="AV11" s="301">
        <f t="shared" si="49"/>
        <v>2</v>
      </c>
      <c r="AW11" s="301">
        <f>ROUNDDOWN(AU11/$AU$2,0)*O11</f>
        <v>4</v>
      </c>
      <c r="AX11">
        <f t="shared" si="50"/>
        <v>6</v>
      </c>
      <c r="AY11">
        <f t="shared" si="51"/>
        <v>3</v>
      </c>
      <c r="AZ11">
        <f t="shared" si="52"/>
        <v>5</v>
      </c>
      <c r="BA11" s="301">
        <f t="shared" si="30"/>
        <v>16</v>
      </c>
      <c r="BB11" s="299">
        <f t="shared" si="53"/>
        <v>4400000</v>
      </c>
    </row>
    <row r="12" spans="1:54" x14ac:dyDescent="0.25">
      <c r="Q12" s="84"/>
      <c r="R12" s="81"/>
      <c r="S12" s="81"/>
      <c r="T12" s="81"/>
      <c r="Z12" s="81"/>
      <c r="AA12" s="81"/>
      <c r="AB12" s="81"/>
      <c r="AC12" s="81"/>
      <c r="AD12" s="81"/>
      <c r="AE12" s="81"/>
      <c r="AF12" s="81"/>
      <c r="AG12" s="81"/>
      <c r="AH12" s="81"/>
      <c r="AI12" s="193"/>
      <c r="AJ12" s="193"/>
      <c r="AK12" s="193"/>
      <c r="AL12" s="81"/>
      <c r="AM12" s="81"/>
      <c r="AN12" s="81"/>
      <c r="AO12" s="81"/>
      <c r="AP12" s="81"/>
      <c r="AS12" s="193"/>
      <c r="AT12" s="197">
        <f>SUM(AT4:AT11)</f>
        <v>28784.389840436157</v>
      </c>
      <c r="BB12" s="299">
        <f>SUM(BB4:BB11)</f>
        <v>12100000</v>
      </c>
    </row>
    <row r="13" spans="1:54" x14ac:dyDescent="0.25">
      <c r="Q13" s="84"/>
      <c r="R13" s="81"/>
      <c r="S13" s="81"/>
      <c r="T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S13" s="81"/>
    </row>
    <row r="14" spans="1:54" x14ac:dyDescent="0.25">
      <c r="Q14" s="84"/>
      <c r="R14" s="81"/>
      <c r="S14" s="81"/>
      <c r="T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S14" s="81"/>
    </row>
    <row r="15" spans="1:54" x14ac:dyDescent="0.25">
      <c r="Q15" s="84"/>
      <c r="R15" s="81"/>
      <c r="S15" s="81"/>
      <c r="T15" s="81"/>
      <c r="Z15" s="81"/>
      <c r="AA15" s="81"/>
      <c r="AB15" s="81"/>
      <c r="AC15" s="81"/>
      <c r="AD15" s="81"/>
      <c r="AE15" s="81"/>
      <c r="AF15" s="81"/>
      <c r="AG15" s="81"/>
      <c r="AH15" s="81"/>
      <c r="AJ15" s="81"/>
      <c r="AK15" s="81"/>
      <c r="AL15" s="81"/>
      <c r="AM15" s="81"/>
      <c r="AN15" s="81"/>
      <c r="AO15" s="81"/>
      <c r="AP15" s="81"/>
      <c r="AS15" s="81"/>
    </row>
    <row r="16" spans="1:54" x14ac:dyDescent="0.25">
      <c r="Q16" s="84"/>
      <c r="R16" s="81"/>
      <c r="S16" s="81"/>
      <c r="T16" s="81"/>
      <c r="Z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S16" s="81"/>
    </row>
    <row r="17" spans="2:45" x14ac:dyDescent="0.25">
      <c r="Q17" s="84"/>
      <c r="R17" s="81"/>
      <c r="S17" s="81"/>
      <c r="T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S17" s="81"/>
    </row>
    <row r="18" spans="2:45" x14ac:dyDescent="0.25">
      <c r="Q18" s="84"/>
      <c r="R18" s="81"/>
      <c r="S18" s="81"/>
      <c r="T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S18" s="81"/>
    </row>
    <row r="19" spans="2:45" x14ac:dyDescent="0.25">
      <c r="Q19" s="84"/>
      <c r="R19" s="81"/>
      <c r="S19" s="81"/>
      <c r="T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S19" s="81"/>
    </row>
    <row r="20" spans="2:45" x14ac:dyDescent="0.25">
      <c r="Q20" s="84"/>
      <c r="R20" s="81"/>
      <c r="S20" s="81"/>
      <c r="T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S20" s="81"/>
    </row>
    <row r="21" spans="2:45" x14ac:dyDescent="0.25">
      <c r="Q21" s="84"/>
      <c r="R21" s="81"/>
      <c r="S21" s="81"/>
      <c r="T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S21" s="81"/>
    </row>
    <row r="22" spans="2:45" x14ac:dyDescent="0.25">
      <c r="Q22" s="84"/>
      <c r="R22" s="81"/>
      <c r="S22" s="81"/>
      <c r="T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S22" s="81"/>
    </row>
    <row r="23" spans="2:45" x14ac:dyDescent="0.25">
      <c r="Q23" s="84"/>
      <c r="R23" s="81"/>
      <c r="S23" s="81"/>
      <c r="T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S23" s="81"/>
    </row>
    <row r="24" spans="2:45" x14ac:dyDescent="0.25">
      <c r="Q24" s="84"/>
      <c r="R24" s="81"/>
      <c r="S24" s="81"/>
      <c r="T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S24" s="81"/>
    </row>
    <row r="25" spans="2:45" x14ac:dyDescent="0.25">
      <c r="Q25" s="84"/>
      <c r="R25" s="81"/>
      <c r="S25" s="81"/>
      <c r="T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S25" s="81"/>
    </row>
    <row r="26" spans="2:45" x14ac:dyDescent="0.25">
      <c r="Q26" s="84"/>
      <c r="R26" s="81"/>
      <c r="S26" s="81"/>
      <c r="T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S26" s="81"/>
    </row>
    <row r="27" spans="2:45" x14ac:dyDescent="0.25">
      <c r="Q27" s="84"/>
      <c r="R27" s="81"/>
      <c r="S27" s="81"/>
      <c r="T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S27" s="81"/>
    </row>
    <row r="28" spans="2:45" x14ac:dyDescent="0.25">
      <c r="Q28" s="84"/>
      <c r="R28" s="81"/>
      <c r="S28" s="81"/>
      <c r="T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S28" s="81"/>
    </row>
    <row r="29" spans="2:45" x14ac:dyDescent="0.25">
      <c r="Q29" s="84"/>
      <c r="R29" s="81"/>
      <c r="S29" s="81"/>
      <c r="T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S29" s="81"/>
    </row>
    <row r="30" spans="2:45" x14ac:dyDescent="0.25">
      <c r="B30" t="s">
        <v>154</v>
      </c>
      <c r="Q30" s="84"/>
      <c r="R30" s="81"/>
      <c r="S30" s="81"/>
      <c r="T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S30" s="81"/>
    </row>
    <row r="31" spans="2:45" x14ac:dyDescent="0.25">
      <c r="B31" t="s">
        <v>153</v>
      </c>
      <c r="Q31" s="84"/>
      <c r="R31" s="81"/>
      <c r="S31" s="81"/>
      <c r="T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S31" s="81"/>
    </row>
    <row r="32" spans="2:45" x14ac:dyDescent="0.25">
      <c r="Q32" s="84"/>
      <c r="R32" s="81"/>
      <c r="S32" s="81"/>
      <c r="T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S32" s="81"/>
    </row>
    <row r="33" spans="17:45" x14ac:dyDescent="0.25">
      <c r="Q33" s="84"/>
      <c r="R33" s="81"/>
      <c r="S33" s="81"/>
      <c r="T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S33" s="81"/>
    </row>
    <row r="34" spans="17:45" x14ac:dyDescent="0.25">
      <c r="Q34" s="84"/>
      <c r="R34" s="81"/>
      <c r="S34" s="81"/>
      <c r="T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S34" s="81"/>
    </row>
    <row r="35" spans="17:45" x14ac:dyDescent="0.25">
      <c r="Q35" s="84"/>
      <c r="R35" s="81"/>
      <c r="S35" s="81"/>
      <c r="T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S35" s="81"/>
    </row>
    <row r="36" spans="17:45" x14ac:dyDescent="0.25">
      <c r="Q36" s="84"/>
      <c r="R36" s="81"/>
      <c r="S36" s="81"/>
      <c r="T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S36" s="81"/>
    </row>
    <row r="37" spans="17:45" x14ac:dyDescent="0.25">
      <c r="Q37" s="84"/>
      <c r="R37" s="81"/>
      <c r="S37" s="81"/>
      <c r="T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S37" s="81"/>
    </row>
    <row r="38" spans="17:45" x14ac:dyDescent="0.25">
      <c r="Q38" s="84"/>
      <c r="R38" s="81"/>
      <c r="S38" s="81"/>
      <c r="T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S38" s="81"/>
    </row>
    <row r="39" spans="17:45" x14ac:dyDescent="0.25">
      <c r="Q39" s="84"/>
      <c r="R39" s="81"/>
      <c r="S39" s="81"/>
      <c r="T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S39" s="81"/>
    </row>
    <row r="40" spans="17:45" x14ac:dyDescent="0.25">
      <c r="Q40" s="84"/>
      <c r="R40" s="81"/>
      <c r="S40" s="81"/>
      <c r="T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S40" s="81"/>
    </row>
    <row r="41" spans="17:45" x14ac:dyDescent="0.25">
      <c r="Q41" s="84"/>
      <c r="R41" s="81"/>
      <c r="S41" s="81"/>
      <c r="T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S41" s="81"/>
    </row>
    <row r="42" spans="17:45" x14ac:dyDescent="0.25">
      <c r="Q42" s="84"/>
      <c r="R42" s="81"/>
      <c r="S42" s="81"/>
      <c r="T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S42" s="81"/>
    </row>
    <row r="43" spans="17:45" x14ac:dyDescent="0.25">
      <c r="Q43" s="84"/>
      <c r="R43" s="81"/>
      <c r="S43" s="81"/>
      <c r="T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S43" s="81"/>
    </row>
    <row r="44" spans="17:45" x14ac:dyDescent="0.25">
      <c r="Q44" s="84"/>
      <c r="R44" s="81"/>
      <c r="S44" s="81"/>
      <c r="T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S44" s="81"/>
    </row>
    <row r="45" spans="17:45" x14ac:dyDescent="0.25">
      <c r="Q45" s="84"/>
      <c r="R45" s="81"/>
      <c r="S45" s="81"/>
      <c r="T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S45" s="81"/>
    </row>
    <row r="46" spans="17:45" x14ac:dyDescent="0.25">
      <c r="Q46" s="84"/>
      <c r="R46" s="81"/>
      <c r="S46" s="81"/>
      <c r="T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S46" s="81"/>
    </row>
    <row r="47" spans="17:45" x14ac:dyDescent="0.25">
      <c r="Q47" s="84"/>
      <c r="R47" s="81"/>
      <c r="S47" s="81"/>
      <c r="T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S47" s="81"/>
    </row>
    <row r="48" spans="17:45" x14ac:dyDescent="0.25">
      <c r="Q48" s="84"/>
      <c r="R48" s="81"/>
      <c r="S48" s="81"/>
      <c r="T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S48" s="81"/>
    </row>
    <row r="49" spans="17:45" x14ac:dyDescent="0.25">
      <c r="Q49" s="84"/>
      <c r="R49" s="81"/>
      <c r="S49" s="81"/>
      <c r="T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S49" s="81"/>
    </row>
    <row r="50" spans="17:45" x14ac:dyDescent="0.25">
      <c r="Q50" s="84"/>
      <c r="R50" s="81"/>
      <c r="S50" s="81"/>
      <c r="T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S50" s="81"/>
    </row>
    <row r="51" spans="17:45" x14ac:dyDescent="0.25">
      <c r="Q51" s="84"/>
      <c r="R51" s="81"/>
      <c r="S51" s="81"/>
      <c r="T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S51" s="81"/>
    </row>
    <row r="52" spans="17:45" x14ac:dyDescent="0.25">
      <c r="Q52" s="84"/>
      <c r="R52" s="81"/>
      <c r="S52" s="81"/>
      <c r="T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S52" s="81"/>
    </row>
    <row r="53" spans="17:45" x14ac:dyDescent="0.25">
      <c r="Q53" s="84"/>
      <c r="R53" s="81"/>
      <c r="S53" s="81"/>
      <c r="T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S53" s="81"/>
    </row>
    <row r="54" spans="17:45" x14ac:dyDescent="0.25">
      <c r="Q54" s="84"/>
      <c r="R54" s="81"/>
      <c r="S54" s="81"/>
      <c r="T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S54" s="81"/>
    </row>
    <row r="55" spans="17:45" x14ac:dyDescent="0.25">
      <c r="Q55" s="84"/>
      <c r="R55" s="81"/>
      <c r="S55" s="81"/>
      <c r="T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S55" s="81"/>
    </row>
    <row r="56" spans="17:45" x14ac:dyDescent="0.25">
      <c r="Q56" s="84"/>
      <c r="R56" s="81"/>
      <c r="S56" s="81"/>
      <c r="T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S56" s="81"/>
    </row>
    <row r="57" spans="17:45" x14ac:dyDescent="0.25">
      <c r="Q57" s="84"/>
      <c r="R57" s="81"/>
      <c r="S57" s="81"/>
      <c r="T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S57" s="81"/>
    </row>
    <row r="58" spans="17:45" x14ac:dyDescent="0.25">
      <c r="Q58" s="84"/>
      <c r="R58" s="81"/>
      <c r="S58" s="81"/>
      <c r="T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S58" s="81"/>
    </row>
    <row r="59" spans="17:45" x14ac:dyDescent="0.25">
      <c r="Q59" s="84"/>
      <c r="R59" s="81"/>
      <c r="S59" s="81"/>
      <c r="T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S59" s="81"/>
    </row>
    <row r="60" spans="17:45" x14ac:dyDescent="0.25">
      <c r="Q60" s="84"/>
      <c r="R60" s="81"/>
      <c r="S60" s="81"/>
      <c r="T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S60" s="81"/>
    </row>
    <row r="61" spans="17:45" x14ac:dyDescent="0.25">
      <c r="Q61" s="84"/>
      <c r="R61" s="81"/>
      <c r="S61" s="81"/>
      <c r="T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S61" s="81"/>
    </row>
    <row r="62" spans="17:45" x14ac:dyDescent="0.25">
      <c r="Q62" s="84"/>
      <c r="R62" s="81"/>
      <c r="S62" s="81"/>
      <c r="T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S62" s="81"/>
    </row>
    <row r="63" spans="17:45" x14ac:dyDescent="0.25">
      <c r="Q63" s="84"/>
      <c r="R63" s="81"/>
      <c r="S63" s="81"/>
      <c r="T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S63" s="81"/>
    </row>
    <row r="64" spans="17:45" x14ac:dyDescent="0.25">
      <c r="Q64" s="84"/>
      <c r="R64" s="81"/>
      <c r="S64" s="81"/>
      <c r="T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S64" s="81"/>
    </row>
    <row r="65" spans="17:45" x14ac:dyDescent="0.25">
      <c r="Q65" s="84"/>
      <c r="R65" s="81"/>
      <c r="S65" s="81"/>
      <c r="T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S65" s="81"/>
    </row>
    <row r="66" spans="17:45" x14ac:dyDescent="0.25">
      <c r="Q66" s="84"/>
      <c r="R66" s="81"/>
      <c r="S66" s="81"/>
      <c r="T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S66" s="81"/>
    </row>
    <row r="67" spans="17:45" x14ac:dyDescent="0.25">
      <c r="Q67" s="84"/>
      <c r="R67" s="81"/>
      <c r="S67" s="81"/>
      <c r="T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S67" s="81"/>
    </row>
    <row r="68" spans="17:45" x14ac:dyDescent="0.25">
      <c r="Q68" s="84"/>
      <c r="R68" s="81"/>
      <c r="S68" s="81"/>
      <c r="T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S68" s="81"/>
    </row>
    <row r="69" spans="17:45" x14ac:dyDescent="0.25">
      <c r="Q69" s="84"/>
      <c r="R69" s="81"/>
      <c r="S69" s="81"/>
      <c r="T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S69" s="81"/>
    </row>
    <row r="70" spans="17:45" x14ac:dyDescent="0.25">
      <c r="Q70" s="84"/>
      <c r="R70" s="81"/>
      <c r="S70" s="81"/>
      <c r="T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S70" s="81"/>
    </row>
    <row r="71" spans="17:45" x14ac:dyDescent="0.25">
      <c r="Q71" s="84"/>
      <c r="R71" s="81"/>
      <c r="S71" s="81"/>
      <c r="T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S71" s="81"/>
    </row>
    <row r="72" spans="17:45" x14ac:dyDescent="0.25">
      <c r="Q72" s="84"/>
      <c r="R72" s="81"/>
      <c r="S72" s="81"/>
      <c r="T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S72" s="81"/>
    </row>
    <row r="73" spans="17:45" x14ac:dyDescent="0.25">
      <c r="Q73" s="84"/>
      <c r="R73" s="81"/>
      <c r="S73" s="81"/>
      <c r="T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S73" s="81"/>
    </row>
    <row r="74" spans="17:45" x14ac:dyDescent="0.25">
      <c r="Q74" s="84"/>
      <c r="R74" s="81"/>
      <c r="S74" s="81"/>
      <c r="T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S74" s="81"/>
    </row>
    <row r="75" spans="17:45" x14ac:dyDescent="0.25">
      <c r="Q75" s="84"/>
      <c r="R75" s="81"/>
      <c r="S75" s="81"/>
      <c r="T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S75" s="81"/>
    </row>
    <row r="76" spans="17:45" x14ac:dyDescent="0.25">
      <c r="Q76" s="84"/>
      <c r="R76" s="81"/>
      <c r="S76" s="81"/>
      <c r="T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S76" s="81"/>
    </row>
    <row r="77" spans="17:45" x14ac:dyDescent="0.25">
      <c r="Q77" s="84"/>
      <c r="R77" s="81"/>
      <c r="S77" s="81"/>
      <c r="T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S77" s="81"/>
    </row>
    <row r="78" spans="17:45" x14ac:dyDescent="0.25">
      <c r="Q78" s="84"/>
      <c r="R78" s="81"/>
      <c r="S78" s="81"/>
      <c r="T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S78" s="81"/>
    </row>
    <row r="79" spans="17:45" x14ac:dyDescent="0.25">
      <c r="Q79" s="84"/>
      <c r="R79" s="81"/>
      <c r="S79" s="81"/>
      <c r="T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S79" s="81"/>
    </row>
    <row r="80" spans="17:45" x14ac:dyDescent="0.25">
      <c r="Q80" s="84"/>
      <c r="R80" s="81"/>
      <c r="S80" s="81"/>
      <c r="T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S80" s="81"/>
    </row>
    <row r="81" spans="17:45" x14ac:dyDescent="0.25">
      <c r="Q81" s="84"/>
      <c r="R81" s="81"/>
      <c r="S81" s="81"/>
      <c r="T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S81" s="81"/>
    </row>
    <row r="82" spans="17:45" x14ac:dyDescent="0.25">
      <c r="Q82" s="84"/>
      <c r="R82" s="81"/>
      <c r="S82" s="81"/>
      <c r="T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S82" s="81"/>
    </row>
    <row r="83" spans="17:45" x14ac:dyDescent="0.25">
      <c r="Q83" s="84"/>
      <c r="R83" s="81"/>
      <c r="S83" s="81"/>
      <c r="T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S83" s="81"/>
    </row>
    <row r="84" spans="17:45" x14ac:dyDescent="0.25">
      <c r="Q84" s="84"/>
      <c r="R84" s="81"/>
      <c r="S84" s="81"/>
      <c r="T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S84" s="81"/>
    </row>
    <row r="85" spans="17:45" x14ac:dyDescent="0.25">
      <c r="Q85" s="84"/>
      <c r="R85" s="81"/>
      <c r="S85" s="81"/>
      <c r="T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S85" s="81"/>
    </row>
    <row r="86" spans="17:45" x14ac:dyDescent="0.25">
      <c r="Q86" s="84"/>
      <c r="R86" s="81"/>
      <c r="S86" s="81"/>
      <c r="T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S86" s="81"/>
    </row>
    <row r="87" spans="17:45" x14ac:dyDescent="0.25">
      <c r="Q87" s="84"/>
      <c r="R87" s="81"/>
      <c r="S87" s="81"/>
      <c r="T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S87" s="81"/>
    </row>
    <row r="88" spans="17:45" x14ac:dyDescent="0.25">
      <c r="Q88" s="84"/>
      <c r="R88" s="81"/>
      <c r="S88" s="81"/>
      <c r="T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S88" s="81"/>
    </row>
    <row r="89" spans="17:45" x14ac:dyDescent="0.25">
      <c r="Q89" s="84"/>
      <c r="R89" s="81"/>
      <c r="S89" s="81"/>
      <c r="T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S89" s="81"/>
    </row>
    <row r="90" spans="17:45" x14ac:dyDescent="0.25">
      <c r="Q90" s="84"/>
      <c r="R90" s="81"/>
      <c r="S90" s="81"/>
      <c r="T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S90" s="81"/>
    </row>
    <row r="91" spans="17:45" x14ac:dyDescent="0.25">
      <c r="Q91" s="84"/>
      <c r="R91" s="81"/>
      <c r="S91" s="81"/>
      <c r="T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S91" s="81"/>
    </row>
    <row r="92" spans="17:45" x14ac:dyDescent="0.25">
      <c r="Q92" s="84"/>
      <c r="R92" s="81"/>
      <c r="S92" s="81"/>
      <c r="T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S92" s="81"/>
    </row>
    <row r="93" spans="17:45" x14ac:dyDescent="0.25">
      <c r="Q93" s="84"/>
      <c r="R93" s="81"/>
      <c r="S93" s="81"/>
      <c r="T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S93" s="81"/>
    </row>
    <row r="94" spans="17:45" x14ac:dyDescent="0.25">
      <c r="Q94" s="84"/>
      <c r="R94" s="81"/>
      <c r="S94" s="81"/>
      <c r="T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S94" s="81"/>
    </row>
    <row r="95" spans="17:45" x14ac:dyDescent="0.25">
      <c r="Q95" s="84"/>
      <c r="R95" s="81"/>
      <c r="S95" s="81"/>
      <c r="T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S95" s="81"/>
    </row>
    <row r="96" spans="17:45" x14ac:dyDescent="0.25">
      <c r="Q96" s="84"/>
      <c r="R96" s="81"/>
      <c r="S96" s="81"/>
      <c r="T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S96" s="81"/>
    </row>
    <row r="97" spans="17:45" x14ac:dyDescent="0.25">
      <c r="Q97" s="84"/>
      <c r="R97" s="81"/>
      <c r="S97" s="81"/>
      <c r="T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S97" s="81"/>
    </row>
    <row r="98" spans="17:45" x14ac:dyDescent="0.25">
      <c r="Q98" s="84"/>
      <c r="R98" s="81"/>
      <c r="S98" s="81"/>
      <c r="T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S98" s="81"/>
    </row>
    <row r="99" spans="17:45" x14ac:dyDescent="0.25">
      <c r="Q99" s="84"/>
      <c r="R99" s="81"/>
      <c r="S99" s="81"/>
      <c r="T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S99" s="81"/>
    </row>
    <row r="100" spans="17:45" x14ac:dyDescent="0.25">
      <c r="Q100" s="84"/>
      <c r="R100" s="81"/>
      <c r="S100" s="81"/>
      <c r="T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S100" s="81"/>
    </row>
    <row r="101" spans="17:45" x14ac:dyDescent="0.25">
      <c r="Q101" s="84"/>
      <c r="R101" s="81"/>
      <c r="S101" s="81"/>
      <c r="T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S101" s="81"/>
    </row>
    <row r="102" spans="17:45" x14ac:dyDescent="0.25">
      <c r="Q102" s="84"/>
      <c r="R102" s="81"/>
      <c r="S102" s="81"/>
      <c r="T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S102" s="81"/>
    </row>
    <row r="103" spans="17:45" x14ac:dyDescent="0.25">
      <c r="Q103" s="84"/>
      <c r="R103" s="81"/>
      <c r="S103" s="81"/>
      <c r="T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S103" s="81"/>
    </row>
    <row r="104" spans="17:45" x14ac:dyDescent="0.25">
      <c r="Q104" s="84"/>
      <c r="R104" s="81"/>
      <c r="S104" s="81"/>
      <c r="T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S104" s="81"/>
    </row>
    <row r="105" spans="17:45" x14ac:dyDescent="0.25">
      <c r="Q105" s="84"/>
      <c r="R105" s="81"/>
      <c r="S105" s="81"/>
      <c r="T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S105" s="81"/>
    </row>
    <row r="106" spans="17:45" x14ac:dyDescent="0.25">
      <c r="Q106" s="84"/>
      <c r="R106" s="81"/>
      <c r="S106" s="81"/>
      <c r="T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S106" s="81"/>
    </row>
    <row r="107" spans="17:45" x14ac:dyDescent="0.25">
      <c r="Q107" s="84"/>
      <c r="R107" s="81"/>
      <c r="S107" s="81"/>
      <c r="T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S107" s="81"/>
    </row>
    <row r="108" spans="17:45" x14ac:dyDescent="0.25">
      <c r="Q108" s="84"/>
      <c r="R108" s="81"/>
      <c r="S108" s="81"/>
      <c r="T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S108" s="81"/>
    </row>
    <row r="109" spans="17:45" x14ac:dyDescent="0.25">
      <c r="Q109" s="84"/>
      <c r="R109" s="81"/>
      <c r="S109" s="81"/>
      <c r="T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S109" s="81"/>
    </row>
    <row r="110" spans="17:45" x14ac:dyDescent="0.25">
      <c r="Q110" s="84"/>
      <c r="R110" s="81"/>
      <c r="S110" s="81"/>
      <c r="T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S110" s="81"/>
    </row>
    <row r="111" spans="17:45" x14ac:dyDescent="0.25">
      <c r="Q111" s="84"/>
      <c r="R111" s="81"/>
      <c r="S111" s="81"/>
      <c r="T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S111" s="81"/>
    </row>
    <row r="112" spans="17:45" x14ac:dyDescent="0.25">
      <c r="Q112" s="84"/>
      <c r="R112" s="81"/>
      <c r="S112" s="81"/>
      <c r="T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S112" s="81"/>
    </row>
    <row r="113" spans="17:45" x14ac:dyDescent="0.25">
      <c r="Q113" s="84"/>
      <c r="R113" s="81"/>
      <c r="S113" s="81"/>
      <c r="T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S113" s="81"/>
    </row>
    <row r="114" spans="17:45" x14ac:dyDescent="0.25">
      <c r="Q114" s="84"/>
      <c r="R114" s="81"/>
      <c r="S114" s="81"/>
      <c r="T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S114" s="81"/>
    </row>
    <row r="115" spans="17:45" x14ac:dyDescent="0.25">
      <c r="Q115" s="84"/>
      <c r="R115" s="81"/>
      <c r="S115" s="81"/>
      <c r="T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S115" s="81"/>
    </row>
    <row r="116" spans="17:45" x14ac:dyDescent="0.25">
      <c r="Q116" s="84"/>
      <c r="R116" s="81"/>
      <c r="S116" s="81"/>
      <c r="T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S116" s="81"/>
    </row>
    <row r="117" spans="17:45" x14ac:dyDescent="0.25">
      <c r="Q117" s="84"/>
      <c r="R117" s="81"/>
      <c r="S117" s="81"/>
      <c r="T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S117" s="81"/>
    </row>
    <row r="118" spans="17:45" x14ac:dyDescent="0.25">
      <c r="Q118" s="84"/>
      <c r="R118" s="81"/>
      <c r="S118" s="81"/>
      <c r="T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S118" s="81"/>
    </row>
    <row r="119" spans="17:45" x14ac:dyDescent="0.25">
      <c r="Q119" s="84"/>
      <c r="R119" s="81"/>
      <c r="S119" s="81"/>
      <c r="T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S119" s="81"/>
    </row>
    <row r="120" spans="17:45" x14ac:dyDescent="0.25">
      <c r="Q120" s="84"/>
      <c r="R120" s="81"/>
      <c r="S120" s="81"/>
      <c r="T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S120" s="81"/>
    </row>
    <row r="121" spans="17:45" x14ac:dyDescent="0.25">
      <c r="Q121" s="84"/>
      <c r="R121" s="81"/>
      <c r="S121" s="81"/>
      <c r="T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S121" s="81"/>
    </row>
    <row r="122" spans="17:45" x14ac:dyDescent="0.25">
      <c r="Q122" s="84"/>
      <c r="R122" s="81"/>
      <c r="S122" s="81"/>
      <c r="T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S122" s="81"/>
    </row>
    <row r="123" spans="17:45" x14ac:dyDescent="0.25">
      <c r="Q123" s="84"/>
      <c r="R123" s="81"/>
      <c r="S123" s="81"/>
      <c r="T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S123" s="81"/>
    </row>
    <row r="124" spans="17:45" x14ac:dyDescent="0.25">
      <c r="Q124" s="84"/>
      <c r="R124" s="81"/>
      <c r="S124" s="81"/>
      <c r="T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S124" s="81"/>
    </row>
    <row r="125" spans="17:45" x14ac:dyDescent="0.25">
      <c r="Q125" s="84"/>
      <c r="R125" s="81"/>
      <c r="S125" s="81"/>
      <c r="T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S125" s="81"/>
    </row>
    <row r="126" spans="17:45" x14ac:dyDescent="0.25">
      <c r="Q126" s="84"/>
      <c r="R126" s="81"/>
      <c r="S126" s="81"/>
      <c r="T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S126" s="81"/>
    </row>
    <row r="127" spans="17:45" x14ac:dyDescent="0.25">
      <c r="Q127" s="84"/>
      <c r="R127" s="81"/>
      <c r="S127" s="81"/>
      <c r="T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S127" s="81"/>
    </row>
    <row r="128" spans="17:45" x14ac:dyDescent="0.25">
      <c r="Q128" s="84"/>
      <c r="R128" s="81"/>
      <c r="S128" s="81"/>
      <c r="T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S128" s="81"/>
    </row>
    <row r="129" spans="17:45" x14ac:dyDescent="0.25">
      <c r="Q129" s="84"/>
      <c r="R129" s="81"/>
      <c r="S129" s="81"/>
      <c r="T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S129" s="81"/>
    </row>
    <row r="130" spans="17:45" x14ac:dyDescent="0.25">
      <c r="Q130" s="84"/>
      <c r="R130" s="81"/>
      <c r="S130" s="81"/>
      <c r="T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S130" s="81"/>
    </row>
    <row r="131" spans="17:45" x14ac:dyDescent="0.25">
      <c r="Q131" s="84"/>
      <c r="R131" s="81"/>
      <c r="S131" s="81"/>
      <c r="T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S131" s="81"/>
    </row>
    <row r="132" spans="17:45" x14ac:dyDescent="0.25">
      <c r="Q132" s="84"/>
      <c r="R132" s="81"/>
      <c r="S132" s="81"/>
      <c r="T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S132" s="81"/>
    </row>
    <row r="133" spans="17:45" x14ac:dyDescent="0.25">
      <c r="Q133" s="84"/>
      <c r="R133" s="81"/>
      <c r="S133" s="81"/>
      <c r="T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S133" s="81"/>
    </row>
    <row r="134" spans="17:45" x14ac:dyDescent="0.25">
      <c r="Q134" s="84"/>
      <c r="R134" s="81"/>
      <c r="S134" s="81"/>
      <c r="T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S134" s="81"/>
    </row>
    <row r="135" spans="17:45" x14ac:dyDescent="0.25">
      <c r="Q135" s="84"/>
      <c r="R135" s="81"/>
      <c r="S135" s="81"/>
      <c r="T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S135" s="81"/>
    </row>
    <row r="136" spans="17:45" x14ac:dyDescent="0.25">
      <c r="Q136" s="84"/>
      <c r="R136" s="81"/>
      <c r="S136" s="81"/>
      <c r="T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S136" s="81"/>
    </row>
    <row r="137" spans="17:45" x14ac:dyDescent="0.25">
      <c r="Q137" s="84"/>
      <c r="R137" s="81"/>
      <c r="S137" s="81"/>
      <c r="T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S137" s="81"/>
    </row>
    <row r="138" spans="17:45" x14ac:dyDescent="0.25">
      <c r="Q138" s="84"/>
      <c r="R138" s="81"/>
      <c r="S138" s="81"/>
      <c r="T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S138" s="81"/>
    </row>
    <row r="139" spans="17:45" x14ac:dyDescent="0.25">
      <c r="Q139" s="84"/>
      <c r="R139" s="81"/>
      <c r="S139" s="81"/>
      <c r="T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S139" s="81"/>
    </row>
    <row r="140" spans="17:45" x14ac:dyDescent="0.25">
      <c r="Q140" s="84"/>
      <c r="R140" s="81"/>
      <c r="S140" s="81"/>
      <c r="T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S140" s="81"/>
    </row>
    <row r="141" spans="17:45" x14ac:dyDescent="0.25">
      <c r="Q141" s="84"/>
      <c r="R141" s="81"/>
      <c r="S141" s="81"/>
      <c r="T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S141" s="81"/>
    </row>
    <row r="142" spans="17:45" x14ac:dyDescent="0.25">
      <c r="Q142" s="84"/>
      <c r="R142" s="81"/>
      <c r="S142" s="81"/>
      <c r="T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S142" s="81"/>
    </row>
    <row r="143" spans="17:45" x14ac:dyDescent="0.25">
      <c r="Q143" s="84"/>
      <c r="R143" s="81"/>
      <c r="S143" s="81"/>
      <c r="T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S143" s="81"/>
    </row>
    <row r="144" spans="17:45" x14ac:dyDescent="0.25">
      <c r="Q144" s="84"/>
      <c r="R144" s="81"/>
      <c r="S144" s="81"/>
      <c r="T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S144" s="81"/>
    </row>
    <row r="145" spans="17:45" x14ac:dyDescent="0.25">
      <c r="Q145" s="84"/>
      <c r="R145" s="81"/>
      <c r="S145" s="81"/>
      <c r="T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S145" s="81"/>
    </row>
    <row r="146" spans="17:45" x14ac:dyDescent="0.25">
      <c r="Q146" s="84"/>
      <c r="R146" s="81"/>
      <c r="S146" s="81"/>
      <c r="T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S146" s="81"/>
    </row>
    <row r="147" spans="17:45" x14ac:dyDescent="0.25">
      <c r="Q147" s="84"/>
      <c r="R147" s="81"/>
      <c r="S147" s="81"/>
      <c r="T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S147" s="81"/>
    </row>
    <row r="148" spans="17:45" x14ac:dyDescent="0.25">
      <c r="Q148" s="84"/>
      <c r="R148" s="81"/>
      <c r="S148" s="81"/>
      <c r="T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S148" s="81"/>
    </row>
    <row r="149" spans="17:45" x14ac:dyDescent="0.25">
      <c r="Q149" s="84"/>
      <c r="R149" s="81"/>
      <c r="S149" s="81"/>
      <c r="T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S149" s="81"/>
    </row>
    <row r="150" spans="17:45" x14ac:dyDescent="0.25">
      <c r="Q150" s="84"/>
      <c r="R150" s="81"/>
      <c r="S150" s="81"/>
      <c r="T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S150" s="81"/>
    </row>
    <row r="151" spans="17:45" x14ac:dyDescent="0.25">
      <c r="Q151" s="84"/>
      <c r="R151" s="81"/>
      <c r="S151" s="81"/>
      <c r="T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S151" s="81"/>
    </row>
    <row r="152" spans="17:45" x14ac:dyDescent="0.25">
      <c r="Q152" s="84"/>
      <c r="R152" s="81"/>
      <c r="S152" s="81"/>
      <c r="T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S152" s="81"/>
    </row>
    <row r="153" spans="17:45" x14ac:dyDescent="0.25">
      <c r="Q153" s="84"/>
      <c r="R153" s="81"/>
      <c r="S153" s="81"/>
      <c r="T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S153" s="81"/>
    </row>
    <row r="154" spans="17:45" x14ac:dyDescent="0.25">
      <c r="Q154" s="84"/>
      <c r="R154" s="81"/>
      <c r="S154" s="81"/>
      <c r="T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S154" s="81"/>
    </row>
    <row r="155" spans="17:45" x14ac:dyDescent="0.25">
      <c r="Q155" s="84"/>
      <c r="R155" s="81"/>
      <c r="S155" s="81"/>
      <c r="T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S155" s="81"/>
    </row>
    <row r="156" spans="17:45" x14ac:dyDescent="0.25">
      <c r="Q156" s="84"/>
      <c r="R156" s="81"/>
      <c r="S156" s="81"/>
      <c r="T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S156" s="81"/>
    </row>
    <row r="157" spans="17:45" x14ac:dyDescent="0.25">
      <c r="Q157" s="84"/>
      <c r="R157" s="81"/>
      <c r="S157" s="81"/>
      <c r="T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S157" s="81"/>
    </row>
    <row r="158" spans="17:45" x14ac:dyDescent="0.25">
      <c r="Q158" s="84"/>
      <c r="R158" s="81"/>
      <c r="S158" s="81"/>
      <c r="T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S158" s="81"/>
    </row>
    <row r="159" spans="17:45" x14ac:dyDescent="0.25">
      <c r="Q159" s="84"/>
      <c r="R159" s="81"/>
      <c r="S159" s="81"/>
      <c r="T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S159" s="81"/>
    </row>
    <row r="160" spans="17:45" x14ac:dyDescent="0.25">
      <c r="Q160" s="84"/>
      <c r="R160" s="81"/>
      <c r="S160" s="81"/>
      <c r="T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S160" s="81"/>
    </row>
    <row r="161" spans="17:45" x14ac:dyDescent="0.25">
      <c r="Q161" s="84"/>
      <c r="R161" s="81"/>
      <c r="S161" s="81"/>
      <c r="T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S161" s="81"/>
    </row>
    <row r="162" spans="17:45" x14ac:dyDescent="0.25">
      <c r="Q162" s="84"/>
      <c r="R162" s="81"/>
      <c r="S162" s="81"/>
      <c r="T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S162" s="81"/>
    </row>
    <row r="163" spans="17:45" x14ac:dyDescent="0.25">
      <c r="Q163" s="84"/>
      <c r="R163" s="81"/>
      <c r="S163" s="81"/>
      <c r="T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S163" s="81"/>
    </row>
    <row r="164" spans="17:45" x14ac:dyDescent="0.25">
      <c r="Q164" s="84"/>
      <c r="R164" s="81"/>
      <c r="S164" s="81"/>
      <c r="T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S164" s="81"/>
    </row>
    <row r="165" spans="17:45" x14ac:dyDescent="0.25">
      <c r="Q165" s="84"/>
      <c r="R165" s="81"/>
      <c r="S165" s="81"/>
      <c r="T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S165" s="81"/>
    </row>
    <row r="166" spans="17:45" x14ac:dyDescent="0.25">
      <c r="Q166" s="84"/>
      <c r="R166" s="81"/>
      <c r="S166" s="81"/>
      <c r="T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S166" s="81"/>
    </row>
    <row r="167" spans="17:45" x14ac:dyDescent="0.25">
      <c r="Q167" s="84"/>
      <c r="R167" s="81"/>
      <c r="S167" s="81"/>
      <c r="T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S167" s="81"/>
    </row>
    <row r="168" spans="17:45" x14ac:dyDescent="0.25">
      <c r="Q168" s="84"/>
      <c r="R168" s="81"/>
      <c r="S168" s="81"/>
      <c r="T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S168" s="81"/>
    </row>
    <row r="169" spans="17:45" x14ac:dyDescent="0.25">
      <c r="Q169" s="84"/>
      <c r="R169" s="81"/>
      <c r="S169" s="81"/>
      <c r="T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S169" s="81"/>
    </row>
    <row r="170" spans="17:45" x14ac:dyDescent="0.25">
      <c r="Q170" s="84"/>
      <c r="R170" s="81"/>
      <c r="S170" s="81"/>
      <c r="T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S170" s="81"/>
    </row>
    <row r="171" spans="17:45" x14ac:dyDescent="0.25">
      <c r="Q171" s="84"/>
      <c r="R171" s="81"/>
      <c r="S171" s="81"/>
      <c r="T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S171" s="81"/>
    </row>
    <row r="172" spans="17:45" x14ac:dyDescent="0.25">
      <c r="Q172" s="84"/>
      <c r="R172" s="81"/>
      <c r="S172" s="81"/>
      <c r="T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S172" s="81"/>
    </row>
    <row r="173" spans="17:45" x14ac:dyDescent="0.25">
      <c r="Q173" s="84"/>
      <c r="R173" s="81"/>
      <c r="S173" s="81"/>
      <c r="T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S173" s="81"/>
    </row>
    <row r="174" spans="17:45" x14ac:dyDescent="0.25">
      <c r="Q174" s="84"/>
      <c r="R174" s="81"/>
      <c r="S174" s="81"/>
      <c r="T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S174" s="81"/>
    </row>
    <row r="175" spans="17:45" x14ac:dyDescent="0.25">
      <c r="Q175" s="84"/>
      <c r="R175" s="81"/>
      <c r="S175" s="81"/>
      <c r="T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S175" s="81"/>
    </row>
    <row r="176" spans="17:45" x14ac:dyDescent="0.25">
      <c r="Q176" s="84"/>
      <c r="R176" s="81"/>
      <c r="S176" s="81"/>
      <c r="T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S176" s="81"/>
    </row>
    <row r="177" spans="17:45" x14ac:dyDescent="0.25">
      <c r="Q177" s="84"/>
      <c r="R177" s="81"/>
      <c r="S177" s="81"/>
      <c r="T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S177" s="81"/>
    </row>
    <row r="178" spans="17:45" x14ac:dyDescent="0.25">
      <c r="Q178" s="84"/>
      <c r="R178" s="81"/>
      <c r="S178" s="81"/>
      <c r="T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S178" s="81"/>
    </row>
    <row r="179" spans="17:45" x14ac:dyDescent="0.25">
      <c r="Q179" s="84"/>
      <c r="R179" s="81"/>
      <c r="S179" s="81"/>
      <c r="T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S179" s="81"/>
    </row>
    <row r="180" spans="17:45" x14ac:dyDescent="0.25">
      <c r="Q180" s="84"/>
      <c r="R180" s="81"/>
      <c r="S180" s="81"/>
      <c r="T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S180" s="81"/>
    </row>
    <row r="181" spans="17:45" x14ac:dyDescent="0.25">
      <c r="Q181" s="84"/>
      <c r="R181" s="81"/>
      <c r="S181" s="81"/>
      <c r="T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S181" s="81"/>
    </row>
    <row r="182" spans="17:45" x14ac:dyDescent="0.25">
      <c r="Q182" s="84"/>
      <c r="R182" s="81"/>
      <c r="S182" s="81"/>
      <c r="T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S182" s="81"/>
    </row>
    <row r="183" spans="17:45" x14ac:dyDescent="0.25">
      <c r="Q183" s="84"/>
      <c r="R183" s="81"/>
      <c r="S183" s="81"/>
      <c r="T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S183" s="81"/>
    </row>
    <row r="184" spans="17:45" x14ac:dyDescent="0.25">
      <c r="Q184" s="84"/>
      <c r="R184" s="81"/>
      <c r="S184" s="81"/>
      <c r="T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S184" s="81"/>
    </row>
    <row r="185" spans="17:45" x14ac:dyDescent="0.25">
      <c r="Q185" s="84"/>
      <c r="R185" s="81"/>
      <c r="S185" s="81"/>
      <c r="T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S185" s="81"/>
    </row>
    <row r="186" spans="17:45" x14ac:dyDescent="0.25">
      <c r="Q186" s="84"/>
      <c r="R186" s="81"/>
      <c r="S186" s="81"/>
      <c r="T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S186" s="81"/>
    </row>
    <row r="187" spans="17:45" x14ac:dyDescent="0.25">
      <c r="Q187" s="84"/>
      <c r="R187" s="81"/>
      <c r="S187" s="81"/>
      <c r="T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S187" s="81"/>
    </row>
    <row r="188" spans="17:45" x14ac:dyDescent="0.25">
      <c r="Q188" s="84"/>
      <c r="R188" s="81"/>
      <c r="S188" s="81"/>
      <c r="T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S188" s="81"/>
    </row>
    <row r="189" spans="17:45" x14ac:dyDescent="0.25">
      <c r="Q189" s="84"/>
      <c r="R189" s="81"/>
      <c r="S189" s="81"/>
      <c r="T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S189" s="81"/>
    </row>
    <row r="190" spans="17:45" x14ac:dyDescent="0.25">
      <c r="Q190" s="84"/>
      <c r="R190" s="81"/>
      <c r="S190" s="81"/>
      <c r="T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S190" s="81"/>
    </row>
    <row r="191" spans="17:45" x14ac:dyDescent="0.25">
      <c r="Q191" s="84"/>
      <c r="R191" s="81"/>
      <c r="S191" s="81"/>
      <c r="T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S191" s="81"/>
    </row>
    <row r="192" spans="17:45" x14ac:dyDescent="0.25">
      <c r="Q192" s="84"/>
      <c r="R192" s="81"/>
      <c r="S192" s="81"/>
      <c r="T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S192" s="81"/>
    </row>
    <row r="193" spans="17:45" x14ac:dyDescent="0.25">
      <c r="Q193" s="84"/>
      <c r="R193" s="81"/>
      <c r="S193" s="81"/>
      <c r="T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S193" s="81"/>
    </row>
    <row r="194" spans="17:45" x14ac:dyDescent="0.25">
      <c r="Q194" s="84"/>
      <c r="R194" s="81"/>
      <c r="S194" s="81"/>
      <c r="T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S194" s="81"/>
    </row>
    <row r="195" spans="17:45" x14ac:dyDescent="0.25">
      <c r="Q195" s="84"/>
      <c r="R195" s="81"/>
      <c r="S195" s="81"/>
      <c r="T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S195" s="81"/>
    </row>
    <row r="196" spans="17:45" x14ac:dyDescent="0.25">
      <c r="Q196" s="84"/>
      <c r="R196" s="81"/>
      <c r="S196" s="81"/>
      <c r="T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S196" s="81"/>
    </row>
    <row r="197" spans="17:45" x14ac:dyDescent="0.25">
      <c r="Q197" s="84"/>
      <c r="R197" s="81"/>
      <c r="S197" s="81"/>
      <c r="T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S197" s="81"/>
    </row>
    <row r="198" spans="17:45" x14ac:dyDescent="0.25">
      <c r="Q198" s="84"/>
      <c r="R198" s="81"/>
      <c r="S198" s="81"/>
      <c r="T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S198" s="81"/>
    </row>
    <row r="199" spans="17:45" x14ac:dyDescent="0.25">
      <c r="Q199" s="84"/>
      <c r="R199" s="81"/>
      <c r="S199" s="81"/>
      <c r="T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S199" s="81"/>
    </row>
    <row r="200" spans="17:45" x14ac:dyDescent="0.25">
      <c r="Q200" s="84"/>
      <c r="R200" s="81"/>
      <c r="S200" s="81"/>
      <c r="T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S200" s="81"/>
    </row>
    <row r="201" spans="17:45" x14ac:dyDescent="0.25">
      <c r="Q201" s="84"/>
      <c r="R201" s="81"/>
      <c r="S201" s="81"/>
      <c r="T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S201" s="81"/>
    </row>
    <row r="202" spans="17:45" x14ac:dyDescent="0.25">
      <c r="Q202" s="84"/>
      <c r="R202" s="81"/>
      <c r="S202" s="81"/>
      <c r="T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S202" s="81"/>
    </row>
    <row r="203" spans="17:45" x14ac:dyDescent="0.25">
      <c r="Q203" s="84"/>
      <c r="R203" s="81"/>
      <c r="S203" s="81"/>
      <c r="T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S203" s="81"/>
    </row>
    <row r="204" spans="17:45" x14ac:dyDescent="0.25">
      <c r="Q204" s="84"/>
      <c r="R204" s="81"/>
      <c r="S204" s="81"/>
      <c r="T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S204" s="81"/>
    </row>
    <row r="205" spans="17:45" x14ac:dyDescent="0.25">
      <c r="Q205" s="84"/>
      <c r="R205" s="81"/>
      <c r="S205" s="81"/>
      <c r="T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S205" s="81"/>
    </row>
    <row r="206" spans="17:45" x14ac:dyDescent="0.25">
      <c r="Q206" s="84"/>
      <c r="R206" s="81"/>
      <c r="S206" s="81"/>
      <c r="T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S206" s="81"/>
    </row>
    <row r="207" spans="17:45" x14ac:dyDescent="0.25">
      <c r="Q207" s="84"/>
      <c r="R207" s="81"/>
      <c r="S207" s="81"/>
      <c r="T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S207" s="81"/>
    </row>
    <row r="208" spans="17:45" x14ac:dyDescent="0.25">
      <c r="Q208" s="84"/>
      <c r="R208" s="81"/>
      <c r="S208" s="81"/>
      <c r="T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S208" s="81"/>
    </row>
    <row r="209" spans="17:45" x14ac:dyDescent="0.25">
      <c r="Q209" s="84"/>
      <c r="R209" s="81"/>
      <c r="S209" s="81"/>
      <c r="T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S209" s="81"/>
    </row>
    <row r="210" spans="17:45" x14ac:dyDescent="0.25">
      <c r="Q210" s="84"/>
      <c r="R210" s="81"/>
      <c r="S210" s="81"/>
      <c r="T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S210" s="81"/>
    </row>
    <row r="211" spans="17:45" x14ac:dyDescent="0.25">
      <c r="Q211" s="84"/>
      <c r="R211" s="81"/>
      <c r="S211" s="81"/>
      <c r="T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S211" s="81"/>
    </row>
    <row r="212" spans="17:45" x14ac:dyDescent="0.25">
      <c r="Q212" s="84"/>
      <c r="R212" s="81"/>
      <c r="S212" s="81"/>
      <c r="T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S212" s="81"/>
    </row>
    <row r="213" spans="17:45" x14ac:dyDescent="0.25">
      <c r="Q213" s="84"/>
      <c r="R213" s="81"/>
      <c r="S213" s="81"/>
      <c r="T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S213" s="81"/>
    </row>
    <row r="214" spans="17:45" x14ac:dyDescent="0.25">
      <c r="Q214" s="84"/>
      <c r="R214" s="81"/>
      <c r="S214" s="81"/>
      <c r="T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S214" s="81"/>
    </row>
    <row r="215" spans="17:45" x14ac:dyDescent="0.25">
      <c r="Q215" s="84"/>
      <c r="R215" s="81"/>
      <c r="S215" s="81"/>
      <c r="T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S215" s="81"/>
    </row>
    <row r="216" spans="17:45" x14ac:dyDescent="0.25">
      <c r="Q216" s="84"/>
      <c r="R216" s="81"/>
      <c r="S216" s="81"/>
      <c r="T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S216" s="81"/>
    </row>
    <row r="217" spans="17:45" x14ac:dyDescent="0.25">
      <c r="Q217" s="84"/>
      <c r="R217" s="81"/>
      <c r="S217" s="81"/>
      <c r="T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S217" s="81"/>
    </row>
    <row r="218" spans="17:45" x14ac:dyDescent="0.25">
      <c r="Q218" s="84"/>
      <c r="R218" s="81"/>
      <c r="S218" s="81"/>
      <c r="T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S218" s="81"/>
    </row>
    <row r="219" spans="17:45" x14ac:dyDescent="0.25">
      <c r="Q219" s="84"/>
      <c r="R219" s="81"/>
      <c r="S219" s="81"/>
      <c r="T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S219" s="81"/>
    </row>
    <row r="220" spans="17:45" x14ac:dyDescent="0.25">
      <c r="Q220" s="84"/>
      <c r="R220" s="81"/>
      <c r="S220" s="81"/>
      <c r="T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S220" s="81"/>
    </row>
    <row r="221" spans="17:45" x14ac:dyDescent="0.25">
      <c r="Q221" s="84"/>
      <c r="R221" s="81"/>
      <c r="S221" s="81"/>
      <c r="T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S221" s="81"/>
    </row>
    <row r="222" spans="17:45" x14ac:dyDescent="0.25">
      <c r="Q222" s="84"/>
      <c r="R222" s="81"/>
      <c r="S222" s="81"/>
      <c r="T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S222" s="81"/>
    </row>
    <row r="223" spans="17:45" x14ac:dyDescent="0.25">
      <c r="Q223" s="84"/>
      <c r="R223" s="81"/>
      <c r="S223" s="81"/>
      <c r="T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S223" s="81"/>
    </row>
    <row r="224" spans="17:45" x14ac:dyDescent="0.25">
      <c r="Q224" s="84"/>
      <c r="R224" s="81"/>
      <c r="S224" s="81"/>
      <c r="T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S224" s="81"/>
    </row>
    <row r="225" spans="17:45" x14ac:dyDescent="0.25">
      <c r="Q225" s="84"/>
      <c r="R225" s="81"/>
      <c r="S225" s="81"/>
      <c r="T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S225" s="81"/>
    </row>
    <row r="226" spans="17:45" x14ac:dyDescent="0.25">
      <c r="Q226" s="84"/>
      <c r="R226" s="81"/>
      <c r="S226" s="81"/>
      <c r="T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S226" s="81"/>
    </row>
    <row r="227" spans="17:45" x14ac:dyDescent="0.25">
      <c r="Q227" s="84"/>
      <c r="R227" s="81"/>
      <c r="S227" s="81"/>
      <c r="T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S227" s="81"/>
    </row>
    <row r="228" spans="17:45" x14ac:dyDescent="0.25">
      <c r="Q228" s="84"/>
      <c r="R228" s="81"/>
      <c r="S228" s="81"/>
      <c r="T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S228" s="81"/>
    </row>
    <row r="229" spans="17:45" x14ac:dyDescent="0.25">
      <c r="Q229" s="84"/>
      <c r="R229" s="81"/>
      <c r="S229" s="81"/>
      <c r="T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S229" s="81"/>
    </row>
    <row r="230" spans="17:45" x14ac:dyDescent="0.25">
      <c r="Q230" s="84"/>
      <c r="R230" s="81"/>
      <c r="S230" s="81"/>
      <c r="T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S230" s="81"/>
    </row>
    <row r="231" spans="17:45" x14ac:dyDescent="0.25">
      <c r="Q231" s="84"/>
      <c r="R231" s="81"/>
      <c r="S231" s="81"/>
      <c r="T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S231" s="81"/>
    </row>
    <row r="232" spans="17:45" x14ac:dyDescent="0.25">
      <c r="Q232" s="84"/>
      <c r="R232" s="81"/>
      <c r="S232" s="81"/>
      <c r="T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S232" s="81"/>
    </row>
    <row r="233" spans="17:45" x14ac:dyDescent="0.25">
      <c r="Q233" s="84"/>
      <c r="R233" s="81"/>
      <c r="S233" s="81"/>
      <c r="T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S233" s="81"/>
    </row>
    <row r="234" spans="17:45" x14ac:dyDescent="0.25">
      <c r="Q234" s="84"/>
      <c r="R234" s="81"/>
      <c r="S234" s="81"/>
      <c r="T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S234" s="81"/>
    </row>
    <row r="235" spans="17:45" x14ac:dyDescent="0.25">
      <c r="Q235" s="84"/>
      <c r="R235" s="81"/>
      <c r="S235" s="81"/>
      <c r="T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S235" s="81"/>
    </row>
    <row r="236" spans="17:45" x14ac:dyDescent="0.25">
      <c r="Q236" s="84"/>
      <c r="R236" s="81"/>
      <c r="S236" s="81"/>
      <c r="T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S236" s="81"/>
    </row>
    <row r="237" spans="17:45" x14ac:dyDescent="0.25">
      <c r="Q237" s="84"/>
      <c r="R237" s="81"/>
      <c r="S237" s="81"/>
      <c r="T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S237" s="81"/>
    </row>
    <row r="238" spans="17:45" x14ac:dyDescent="0.25">
      <c r="Q238" s="84"/>
      <c r="R238" s="81"/>
      <c r="S238" s="81"/>
      <c r="T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S238" s="81"/>
    </row>
    <row r="239" spans="17:45" x14ac:dyDescent="0.25">
      <c r="Q239" s="84"/>
      <c r="R239" s="81"/>
      <c r="S239" s="81"/>
      <c r="T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S239" s="81"/>
    </row>
    <row r="240" spans="17:45" x14ac:dyDescent="0.25">
      <c r="Q240" s="84"/>
      <c r="R240" s="81"/>
      <c r="S240" s="81"/>
      <c r="T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S240" s="81"/>
    </row>
    <row r="241" spans="17:45" x14ac:dyDescent="0.25">
      <c r="Q241" s="84"/>
      <c r="R241" s="81"/>
      <c r="S241" s="81"/>
      <c r="T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S241" s="81"/>
    </row>
    <row r="242" spans="17:45" x14ac:dyDescent="0.25">
      <c r="Q242" s="84"/>
      <c r="R242" s="81"/>
      <c r="S242" s="81"/>
      <c r="T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S242" s="81"/>
    </row>
    <row r="243" spans="17:45" x14ac:dyDescent="0.25">
      <c r="Q243" s="84"/>
      <c r="R243" s="81"/>
      <c r="S243" s="81"/>
      <c r="T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S243" s="81"/>
    </row>
    <row r="244" spans="17:45" x14ac:dyDescent="0.25">
      <c r="Q244" s="84"/>
      <c r="R244" s="81"/>
      <c r="S244" s="81"/>
      <c r="T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S244" s="81"/>
    </row>
    <row r="245" spans="17:45" x14ac:dyDescent="0.25">
      <c r="Q245" s="84"/>
      <c r="R245" s="81"/>
      <c r="S245" s="81"/>
      <c r="T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S245" s="81"/>
    </row>
    <row r="246" spans="17:45" x14ac:dyDescent="0.25">
      <c r="Q246" s="84"/>
      <c r="R246" s="81"/>
      <c r="S246" s="81"/>
      <c r="T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S246" s="81"/>
    </row>
    <row r="247" spans="17:45" x14ac:dyDescent="0.25">
      <c r="Q247" s="84"/>
      <c r="R247" s="81"/>
      <c r="S247" s="81"/>
      <c r="T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S247" s="81"/>
    </row>
    <row r="248" spans="17:45" x14ac:dyDescent="0.25">
      <c r="Q248" s="84"/>
      <c r="R248" s="81"/>
      <c r="S248" s="81"/>
      <c r="T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S248" s="81"/>
    </row>
    <row r="249" spans="17:45" x14ac:dyDescent="0.25">
      <c r="Q249" s="84"/>
      <c r="R249" s="81"/>
      <c r="S249" s="81"/>
      <c r="T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S249" s="81"/>
    </row>
    <row r="250" spans="17:45" x14ac:dyDescent="0.25">
      <c r="Q250" s="84"/>
      <c r="R250" s="81"/>
      <c r="S250" s="81"/>
      <c r="T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S250" s="81"/>
    </row>
    <row r="251" spans="17:45" x14ac:dyDescent="0.25">
      <c r="Q251" s="84"/>
      <c r="R251" s="81"/>
      <c r="S251" s="81"/>
      <c r="T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S251" s="81"/>
    </row>
    <row r="252" spans="17:45" x14ac:dyDescent="0.25">
      <c r="Q252" s="84"/>
      <c r="R252" s="81"/>
      <c r="S252" s="81"/>
      <c r="T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S252" s="81"/>
    </row>
    <row r="253" spans="17:45" x14ac:dyDescent="0.25">
      <c r="Q253" s="84"/>
      <c r="R253" s="81"/>
      <c r="S253" s="81"/>
      <c r="T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S253" s="81"/>
    </row>
    <row r="254" spans="17:45" x14ac:dyDescent="0.25">
      <c r="Q254" s="84"/>
      <c r="R254" s="81"/>
      <c r="S254" s="81"/>
      <c r="T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S254" s="81"/>
    </row>
    <row r="255" spans="17:45" x14ac:dyDescent="0.25">
      <c r="Q255" s="84"/>
      <c r="R255" s="81"/>
      <c r="S255" s="81"/>
      <c r="T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S255" s="81"/>
    </row>
    <row r="256" spans="17:45" x14ac:dyDescent="0.25">
      <c r="Q256" s="84"/>
      <c r="R256" s="81"/>
      <c r="S256" s="81"/>
      <c r="T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S256" s="81"/>
    </row>
    <row r="257" spans="17:45" x14ac:dyDescent="0.25">
      <c r="Q257" s="84"/>
      <c r="R257" s="81"/>
      <c r="S257" s="81"/>
      <c r="T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S257" s="81"/>
    </row>
    <row r="258" spans="17:45" x14ac:dyDescent="0.25">
      <c r="Q258" s="84"/>
      <c r="R258" s="81"/>
      <c r="S258" s="81"/>
      <c r="T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S258" s="81"/>
    </row>
    <row r="259" spans="17:45" x14ac:dyDescent="0.25">
      <c r="Q259" s="84"/>
      <c r="R259" s="81"/>
      <c r="S259" s="81"/>
      <c r="T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S259" s="81"/>
    </row>
    <row r="260" spans="17:45" x14ac:dyDescent="0.25">
      <c r="Q260" s="84"/>
      <c r="R260" s="81"/>
      <c r="S260" s="81"/>
      <c r="T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S260" s="81"/>
    </row>
    <row r="261" spans="17:45" x14ac:dyDescent="0.25">
      <c r="Q261" s="84"/>
      <c r="R261" s="81"/>
      <c r="S261" s="81"/>
      <c r="T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S261" s="81"/>
    </row>
    <row r="262" spans="17:45" x14ac:dyDescent="0.25">
      <c r="Q262" s="84"/>
      <c r="R262" s="81"/>
      <c r="S262" s="81"/>
      <c r="T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S262" s="81"/>
    </row>
    <row r="263" spans="17:45" x14ac:dyDescent="0.25">
      <c r="Q263" s="84"/>
      <c r="R263" s="81"/>
      <c r="S263" s="81"/>
      <c r="T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S263" s="81"/>
    </row>
    <row r="264" spans="17:45" x14ac:dyDescent="0.25">
      <c r="Q264" s="84"/>
      <c r="R264" s="81"/>
      <c r="S264" s="81"/>
      <c r="T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S264" s="81"/>
    </row>
    <row r="265" spans="17:45" x14ac:dyDescent="0.25">
      <c r="Q265" s="84"/>
      <c r="R265" s="81"/>
      <c r="S265" s="81"/>
      <c r="T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  <c r="AS265" s="81"/>
    </row>
    <row r="266" spans="17:45" x14ac:dyDescent="0.25">
      <c r="Q266" s="84"/>
      <c r="R266" s="81"/>
      <c r="S266" s="81"/>
      <c r="T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S266" s="81"/>
    </row>
    <row r="267" spans="17:45" x14ac:dyDescent="0.25">
      <c r="Q267" s="84"/>
      <c r="R267" s="81"/>
      <c r="S267" s="81"/>
      <c r="T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S267" s="81"/>
    </row>
    <row r="268" spans="17:45" x14ac:dyDescent="0.25">
      <c r="Q268" s="84"/>
      <c r="R268" s="81"/>
      <c r="S268" s="81"/>
      <c r="T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S268" s="81"/>
    </row>
    <row r="269" spans="17:45" x14ac:dyDescent="0.25">
      <c r="Q269" s="84"/>
      <c r="R269" s="81"/>
      <c r="S269" s="81"/>
      <c r="T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S269" s="81"/>
    </row>
    <row r="270" spans="17:45" x14ac:dyDescent="0.25">
      <c r="Q270" s="84"/>
      <c r="R270" s="81"/>
      <c r="S270" s="81"/>
      <c r="T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S270" s="81"/>
    </row>
    <row r="271" spans="17:45" x14ac:dyDescent="0.25">
      <c r="Q271" s="84"/>
      <c r="R271" s="81"/>
      <c r="S271" s="81"/>
      <c r="T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81"/>
      <c r="AS271" s="81"/>
    </row>
    <row r="272" spans="17:45" x14ac:dyDescent="0.25">
      <c r="Q272" s="84"/>
      <c r="R272" s="81"/>
      <c r="S272" s="81"/>
      <c r="T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S272" s="81"/>
    </row>
    <row r="273" spans="17:45" x14ac:dyDescent="0.25">
      <c r="Q273" s="84"/>
      <c r="R273" s="81"/>
      <c r="S273" s="81"/>
      <c r="T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S273" s="81"/>
    </row>
    <row r="274" spans="17:45" x14ac:dyDescent="0.25">
      <c r="Q274" s="84"/>
      <c r="R274" s="81"/>
      <c r="S274" s="81"/>
      <c r="T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S274" s="81"/>
    </row>
    <row r="275" spans="17:45" x14ac:dyDescent="0.25">
      <c r="Q275" s="84"/>
      <c r="R275" s="81"/>
      <c r="S275" s="81"/>
      <c r="T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  <c r="AS275" s="81"/>
    </row>
    <row r="276" spans="17:45" x14ac:dyDescent="0.25">
      <c r="Q276" s="84"/>
      <c r="R276" s="81"/>
      <c r="S276" s="81"/>
      <c r="T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S276" s="81"/>
    </row>
    <row r="277" spans="17:45" x14ac:dyDescent="0.25">
      <c r="Q277" s="84"/>
      <c r="R277" s="81"/>
      <c r="S277" s="81"/>
      <c r="T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  <c r="AS277" s="81"/>
    </row>
    <row r="278" spans="17:45" x14ac:dyDescent="0.25">
      <c r="Q278" s="84"/>
      <c r="R278" s="81"/>
      <c r="S278" s="81"/>
      <c r="T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  <c r="AS278" s="81"/>
    </row>
    <row r="279" spans="17:45" x14ac:dyDescent="0.25">
      <c r="Q279" s="84"/>
      <c r="R279" s="81"/>
      <c r="S279" s="81"/>
      <c r="T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S279" s="81"/>
    </row>
    <row r="280" spans="17:45" x14ac:dyDescent="0.25">
      <c r="Q280" s="84"/>
      <c r="R280" s="81"/>
      <c r="S280" s="81"/>
      <c r="T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S280" s="81"/>
    </row>
    <row r="281" spans="17:45" x14ac:dyDescent="0.25">
      <c r="Q281" s="84"/>
      <c r="R281" s="81"/>
      <c r="S281" s="81"/>
      <c r="T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S281" s="81"/>
    </row>
    <row r="282" spans="17:45" x14ac:dyDescent="0.25">
      <c r="Q282" s="84"/>
      <c r="R282" s="81"/>
      <c r="S282" s="81"/>
      <c r="T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S282" s="81"/>
    </row>
    <row r="283" spans="17:45" x14ac:dyDescent="0.25">
      <c r="Q283" s="84"/>
      <c r="R283" s="81"/>
      <c r="S283" s="81"/>
      <c r="T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S283" s="81"/>
    </row>
    <row r="284" spans="17:45" x14ac:dyDescent="0.25">
      <c r="Q284" s="84"/>
      <c r="R284" s="81"/>
      <c r="S284" s="81"/>
      <c r="T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S284" s="81"/>
    </row>
    <row r="285" spans="17:45" x14ac:dyDescent="0.25">
      <c r="Q285" s="84"/>
      <c r="R285" s="81"/>
      <c r="S285" s="81"/>
      <c r="T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S285" s="81"/>
    </row>
    <row r="286" spans="17:45" x14ac:dyDescent="0.25">
      <c r="Q286" s="84"/>
      <c r="R286" s="81"/>
      <c r="S286" s="81"/>
      <c r="T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S286" s="81"/>
    </row>
    <row r="287" spans="17:45" x14ac:dyDescent="0.25">
      <c r="Q287" s="84"/>
      <c r="R287" s="81"/>
      <c r="S287" s="81"/>
      <c r="T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S287" s="81"/>
    </row>
    <row r="288" spans="17:45" x14ac:dyDescent="0.25">
      <c r="Q288" s="84"/>
      <c r="R288" s="81"/>
      <c r="S288" s="81"/>
      <c r="T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S288" s="81"/>
    </row>
    <row r="289" spans="17:45" x14ac:dyDescent="0.25">
      <c r="Q289" s="84"/>
      <c r="R289" s="81"/>
      <c r="S289" s="81"/>
      <c r="T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S289" s="81"/>
    </row>
    <row r="290" spans="17:45" x14ac:dyDescent="0.25">
      <c r="Q290" s="84"/>
      <c r="R290" s="81"/>
      <c r="S290" s="81"/>
      <c r="T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S290" s="81"/>
    </row>
    <row r="291" spans="17:45" x14ac:dyDescent="0.25">
      <c r="Q291" s="84"/>
      <c r="R291" s="81"/>
      <c r="S291" s="81"/>
      <c r="T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S291" s="81"/>
    </row>
    <row r="292" spans="17:45" x14ac:dyDescent="0.25">
      <c r="Q292" s="84"/>
      <c r="R292" s="81"/>
      <c r="S292" s="81"/>
      <c r="T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S292" s="81"/>
    </row>
    <row r="293" spans="17:45" x14ac:dyDescent="0.25">
      <c r="Q293" s="84"/>
      <c r="R293" s="81"/>
      <c r="S293" s="81"/>
      <c r="T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S293" s="81"/>
    </row>
    <row r="294" spans="17:45" x14ac:dyDescent="0.25">
      <c r="Q294" s="84"/>
      <c r="R294" s="81"/>
      <c r="S294" s="81"/>
      <c r="T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S294" s="81"/>
    </row>
    <row r="295" spans="17:45" x14ac:dyDescent="0.25">
      <c r="Q295" s="84"/>
      <c r="R295" s="81"/>
      <c r="S295" s="81"/>
      <c r="T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S295" s="81"/>
    </row>
    <row r="296" spans="17:45" x14ac:dyDescent="0.25">
      <c r="Q296" s="84"/>
      <c r="R296" s="81"/>
      <c r="S296" s="81"/>
      <c r="T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S296" s="81"/>
    </row>
    <row r="297" spans="17:45" x14ac:dyDescent="0.25">
      <c r="Q297" s="84"/>
      <c r="R297" s="81"/>
      <c r="S297" s="81"/>
      <c r="T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S297" s="81"/>
    </row>
    <row r="298" spans="17:45" x14ac:dyDescent="0.25">
      <c r="Q298" s="84"/>
      <c r="R298" s="81"/>
      <c r="S298" s="81"/>
      <c r="T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S298" s="81"/>
    </row>
    <row r="299" spans="17:45" x14ac:dyDescent="0.25">
      <c r="Q299" s="84"/>
      <c r="R299" s="81"/>
      <c r="S299" s="81"/>
      <c r="T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S299" s="81"/>
    </row>
    <row r="300" spans="17:45" x14ac:dyDescent="0.25">
      <c r="Q300" s="84"/>
      <c r="R300" s="81"/>
      <c r="S300" s="81"/>
      <c r="T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S300" s="81"/>
    </row>
    <row r="301" spans="17:45" x14ac:dyDescent="0.25">
      <c r="Q301" s="84"/>
      <c r="R301" s="81"/>
      <c r="S301" s="81"/>
      <c r="T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S301" s="81"/>
    </row>
    <row r="302" spans="17:45" x14ac:dyDescent="0.25">
      <c r="Q302" s="84"/>
      <c r="R302" s="81"/>
      <c r="S302" s="81"/>
      <c r="T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S302" s="81"/>
    </row>
    <row r="303" spans="17:45" x14ac:dyDescent="0.25">
      <c r="Q303" s="84"/>
      <c r="R303" s="81"/>
      <c r="S303" s="81"/>
      <c r="T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S303" s="81"/>
    </row>
    <row r="304" spans="17:45" x14ac:dyDescent="0.25">
      <c r="Q304" s="84"/>
      <c r="R304" s="81"/>
      <c r="S304" s="81"/>
      <c r="T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S304" s="81"/>
    </row>
    <row r="305" spans="17:45" x14ac:dyDescent="0.25">
      <c r="Q305" s="84"/>
      <c r="R305" s="81"/>
      <c r="S305" s="81"/>
      <c r="T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S305" s="81"/>
    </row>
    <row r="306" spans="17:45" x14ac:dyDescent="0.25">
      <c r="Q306" s="84"/>
      <c r="R306" s="81"/>
      <c r="S306" s="81"/>
      <c r="T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  <c r="AP306" s="81"/>
      <c r="AS306" s="81"/>
    </row>
    <row r="307" spans="17:45" x14ac:dyDescent="0.25">
      <c r="Q307" s="84"/>
      <c r="R307" s="81"/>
      <c r="S307" s="81"/>
      <c r="T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S307" s="81"/>
    </row>
    <row r="308" spans="17:45" x14ac:dyDescent="0.25">
      <c r="Q308" s="84"/>
      <c r="R308" s="81"/>
      <c r="S308" s="81"/>
      <c r="T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81"/>
      <c r="AN308" s="81"/>
      <c r="AO308" s="81"/>
      <c r="AP308" s="81"/>
      <c r="AS308" s="81"/>
    </row>
    <row r="309" spans="17:45" x14ac:dyDescent="0.25">
      <c r="Q309" s="84"/>
      <c r="R309" s="81"/>
      <c r="S309" s="81"/>
      <c r="T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S309" s="81"/>
    </row>
    <row r="310" spans="17:45" x14ac:dyDescent="0.25">
      <c r="Q310" s="84"/>
      <c r="R310" s="81"/>
      <c r="S310" s="81"/>
      <c r="T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S310" s="81"/>
    </row>
    <row r="311" spans="17:45" x14ac:dyDescent="0.25">
      <c r="Q311" s="84"/>
      <c r="R311" s="81"/>
      <c r="S311" s="81"/>
      <c r="T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81"/>
      <c r="AS311" s="81"/>
    </row>
    <row r="312" spans="17:45" x14ac:dyDescent="0.25">
      <c r="Q312" s="84"/>
      <c r="R312" s="81"/>
      <c r="S312" s="81"/>
      <c r="T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  <c r="AJ312" s="81"/>
      <c r="AK312" s="81"/>
      <c r="AL312" s="81"/>
      <c r="AM312" s="81"/>
      <c r="AN312" s="81"/>
      <c r="AO312" s="81"/>
      <c r="AP312" s="81"/>
      <c r="AS312" s="81"/>
    </row>
  </sheetData>
  <mergeCells count="2">
    <mergeCell ref="D1:E1"/>
    <mergeCell ref="N1:Q1"/>
  </mergeCells>
  <conditionalFormatting sqref="AF4 AJ4 AL4">
    <cfRule type="cellIs" dxfId="57" priority="286" operator="greaterThan">
      <formula>1.08</formula>
    </cfRule>
  </conditionalFormatting>
  <conditionalFormatting sqref="AM4:AN4 AG4:AH4">
    <cfRule type="cellIs" dxfId="56" priority="267" operator="greaterThan">
      <formula>1</formula>
    </cfRule>
  </conditionalFormatting>
  <conditionalFormatting sqref="AE4">
    <cfRule type="cellIs" dxfId="55" priority="255" operator="greaterThan">
      <formula>1.1</formula>
    </cfRule>
  </conditionalFormatting>
  <conditionalFormatting sqref="AP4">
    <cfRule type="cellIs" dxfId="54" priority="250" operator="greaterThan">
      <formula>7%</formula>
    </cfRule>
  </conditionalFormatting>
  <conditionalFormatting sqref="AE4">
    <cfRule type="cellIs" dxfId="53" priority="215" operator="greaterThan">
      <formula>1.1</formula>
    </cfRule>
  </conditionalFormatting>
  <conditionalFormatting sqref="AP4">
    <cfRule type="cellIs" dxfId="52" priority="213" operator="greaterThan">
      <formula>7%</formula>
    </cfRule>
  </conditionalFormatting>
  <conditionalFormatting sqref="AF5:AF7">
    <cfRule type="cellIs" dxfId="51" priority="198" operator="greaterThan">
      <formula>1.08</formula>
    </cfRule>
  </conditionalFormatting>
  <conditionalFormatting sqref="AJ5:AJ7 AL5:AL7">
    <cfRule type="cellIs" dxfId="50" priority="196" operator="greaterThan">
      <formula>1.08</formula>
    </cfRule>
  </conditionalFormatting>
  <conditionalFormatting sqref="AM5:AN7">
    <cfRule type="cellIs" dxfId="49" priority="194" operator="greaterThan">
      <formula>1</formula>
    </cfRule>
  </conditionalFormatting>
  <conditionalFormatting sqref="AE5">
    <cfRule type="cellIs" dxfId="48" priority="197" operator="greaterThan">
      <formula>1.1</formula>
    </cfRule>
  </conditionalFormatting>
  <conditionalFormatting sqref="AG5:AH7">
    <cfRule type="cellIs" dxfId="47" priority="195" operator="greaterThan">
      <formula>1</formula>
    </cfRule>
  </conditionalFormatting>
  <conditionalFormatting sqref="AE6:AE7">
    <cfRule type="cellIs" dxfId="46" priority="193" operator="greaterThan">
      <formula>1.1</formula>
    </cfRule>
  </conditionalFormatting>
  <conditionalFormatting sqref="AP5">
    <cfRule type="cellIs" dxfId="45" priority="192" operator="greaterThan">
      <formula>7%</formula>
    </cfRule>
  </conditionalFormatting>
  <conditionalFormatting sqref="AP6:AP7">
    <cfRule type="cellIs" dxfId="44" priority="191" operator="greaterThan">
      <formula>7%</formula>
    </cfRule>
  </conditionalFormatting>
  <conditionalFormatting sqref="AF7:AF8">
    <cfRule type="cellIs" dxfId="43" priority="190" operator="greaterThan">
      <formula>1.08</formula>
    </cfRule>
  </conditionalFormatting>
  <conditionalFormatting sqref="AJ7:AJ8 AL7:AL8">
    <cfRule type="cellIs" dxfId="42" priority="188" operator="greaterThan">
      <formula>1.08</formula>
    </cfRule>
  </conditionalFormatting>
  <conditionalFormatting sqref="AM7:AN8">
    <cfRule type="cellIs" dxfId="41" priority="186" operator="greaterThan">
      <formula>1</formula>
    </cfRule>
  </conditionalFormatting>
  <conditionalFormatting sqref="AE8">
    <cfRule type="cellIs" dxfId="40" priority="189" operator="greaterThan">
      <formula>1.1</formula>
    </cfRule>
  </conditionalFormatting>
  <conditionalFormatting sqref="AG7:AH8">
    <cfRule type="cellIs" dxfId="39" priority="187" operator="greaterThan">
      <formula>1</formula>
    </cfRule>
  </conditionalFormatting>
  <conditionalFormatting sqref="AP8">
    <cfRule type="cellIs" dxfId="38" priority="185" operator="greaterThan">
      <formula>7%</formula>
    </cfRule>
  </conditionalFormatting>
  <conditionalFormatting sqref="AE7">
    <cfRule type="cellIs" dxfId="37" priority="184" operator="greaterThan">
      <formula>1.1</formula>
    </cfRule>
  </conditionalFormatting>
  <conditionalFormatting sqref="AE8">
    <cfRule type="cellIs" dxfId="36" priority="183" operator="greaterThan">
      <formula>1.1</formula>
    </cfRule>
  </conditionalFormatting>
  <conditionalFormatting sqref="AP7">
    <cfRule type="cellIs" dxfId="35" priority="182" operator="greaterThan">
      <formula>7%</formula>
    </cfRule>
  </conditionalFormatting>
  <conditionalFormatting sqref="AP8">
    <cfRule type="cellIs" dxfId="34" priority="181" operator="greaterThan">
      <formula>7%</formula>
    </cfRule>
  </conditionalFormatting>
  <conditionalFormatting sqref="AF9:AF11">
    <cfRule type="cellIs" dxfId="33" priority="180" operator="greaterThan">
      <formula>1.08</formula>
    </cfRule>
  </conditionalFormatting>
  <conditionalFormatting sqref="AJ9:AJ11 AL9:AL11">
    <cfRule type="cellIs" dxfId="32" priority="178" operator="greaterThan">
      <formula>1.08</formula>
    </cfRule>
  </conditionalFormatting>
  <conditionalFormatting sqref="AM9:AN11">
    <cfRule type="cellIs" dxfId="31" priority="176" operator="greaterThan">
      <formula>1</formula>
    </cfRule>
  </conditionalFormatting>
  <conditionalFormatting sqref="AE9">
    <cfRule type="cellIs" dxfId="30" priority="179" operator="greaterThan">
      <formula>1.1</formula>
    </cfRule>
  </conditionalFormatting>
  <conditionalFormatting sqref="AG9:AH11">
    <cfRule type="cellIs" dxfId="29" priority="177" operator="greaterThan">
      <formula>1</formula>
    </cfRule>
  </conditionalFormatting>
  <conditionalFormatting sqref="AE10:AE11">
    <cfRule type="cellIs" dxfId="28" priority="175" operator="greaterThan">
      <formula>1.1</formula>
    </cfRule>
  </conditionalFormatting>
  <conditionalFormatting sqref="AP9">
    <cfRule type="cellIs" dxfId="27" priority="174" operator="greaterThan">
      <formula>7%</formula>
    </cfRule>
  </conditionalFormatting>
  <conditionalFormatting sqref="AP10:AP11">
    <cfRule type="cellIs" dxfId="26" priority="173" operator="greaterThan">
      <formula>7%</formula>
    </cfRule>
  </conditionalFormatting>
  <conditionalFormatting sqref="AF11">
    <cfRule type="cellIs" dxfId="25" priority="172" operator="greaterThan">
      <formula>1.08</formula>
    </cfRule>
  </conditionalFormatting>
  <conditionalFormatting sqref="AJ11 AL11">
    <cfRule type="cellIs" dxfId="24" priority="170" operator="greaterThan">
      <formula>1.08</formula>
    </cfRule>
  </conditionalFormatting>
  <conditionalFormatting sqref="AM11:AN11">
    <cfRule type="cellIs" dxfId="23" priority="168" operator="greaterThan">
      <formula>1</formula>
    </cfRule>
  </conditionalFormatting>
  <conditionalFormatting sqref="AG11:AH11">
    <cfRule type="cellIs" dxfId="22" priority="169" operator="greaterThan">
      <formula>1</formula>
    </cfRule>
  </conditionalFormatting>
  <conditionalFormatting sqref="AE11">
    <cfRule type="cellIs" dxfId="21" priority="166" operator="greaterThan">
      <formula>1.1</formula>
    </cfRule>
  </conditionalFormatting>
  <conditionalFormatting sqref="AP11">
    <cfRule type="cellIs" dxfId="20" priority="164" operator="greaterThan">
      <formula>7%</formula>
    </cfRule>
  </conditionalFormatting>
  <dataValidations count="1">
    <dataValidation type="list" allowBlank="1" showInputMessage="1" showErrorMessage="1" sqref="B1:B2" xr:uid="{975747E3-D8C8-43BC-98AA-ECC22C89DE52}">
      <formula1>$B$30:$B$31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3BDE63-ECB0-44B5-88E1-15F5A5E728A9}">
          <x14:formula1>
            <xm:f>Cabos!$B$13:$B$207</xm:f>
          </x14:formula1>
          <xm:sqref>N4:N11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79"/>
  <sheetViews>
    <sheetView topLeftCell="B1" workbookViewId="0">
      <selection activeCell="J35" sqref="J35"/>
    </sheetView>
  </sheetViews>
  <sheetFormatPr defaultRowHeight="15" x14ac:dyDescent="0.25"/>
  <cols>
    <col min="1" max="1" width="12" bestFit="1" customWidth="1"/>
    <col min="2" max="2" width="4.5703125" bestFit="1" customWidth="1"/>
    <col min="3" max="3" width="6" bestFit="1" customWidth="1"/>
    <col min="4" max="4" width="7.5703125" customWidth="1"/>
    <col min="6" max="6" width="6.5703125" customWidth="1"/>
    <col min="7" max="7" width="9" style="1" customWidth="1"/>
    <col min="8" max="9" width="9" customWidth="1"/>
    <col min="10" max="10" width="24.28515625" customWidth="1"/>
    <col min="11" max="11" width="7.85546875" style="79" customWidth="1"/>
    <col min="12" max="12" width="7.28515625" style="79" customWidth="1"/>
    <col min="13" max="13" width="6.7109375" style="79" customWidth="1"/>
    <col min="14" max="15" width="7.7109375" hidden="1" customWidth="1"/>
    <col min="16" max="16" width="6.7109375" hidden="1" customWidth="1"/>
    <col min="17" max="17" width="34.42578125" hidden="1" customWidth="1"/>
    <col min="18" max="18" width="34.28515625" hidden="1" customWidth="1"/>
    <col min="19" max="19" width="33.85546875" hidden="1" customWidth="1"/>
    <col min="20" max="20" width="37" hidden="1" customWidth="1"/>
    <col min="21" max="21" width="8.7109375" style="81" customWidth="1"/>
    <col min="22" max="22" width="17.140625" hidden="1" customWidth="1"/>
    <col min="23" max="23" width="35.42578125" hidden="1" customWidth="1"/>
    <col min="24" max="24" width="29.5703125" hidden="1" customWidth="1"/>
    <col min="25" max="25" width="34.28515625" hidden="1" customWidth="1"/>
    <col min="26" max="26" width="34.5703125" hidden="1" customWidth="1"/>
    <col min="27" max="28" width="6.7109375" customWidth="1"/>
    <col min="29" max="29" width="7.5703125" bestFit="1" customWidth="1"/>
    <col min="30" max="30" width="7.5703125" customWidth="1"/>
    <col min="31" max="31" width="9.5703125" bestFit="1" customWidth="1"/>
    <col min="32" max="32" width="6.7109375" customWidth="1"/>
    <col min="33" max="33" width="7.5703125" bestFit="1" customWidth="1"/>
    <col min="34" max="35" width="9.140625" customWidth="1"/>
  </cols>
  <sheetData>
    <row r="1" spans="1:35" x14ac:dyDescent="0.25">
      <c r="D1" s="199" t="s">
        <v>123</v>
      </c>
      <c r="E1" s="199"/>
      <c r="F1" s="99"/>
      <c r="G1" s="87" t="s">
        <v>3</v>
      </c>
      <c r="H1" s="87" t="s">
        <v>18</v>
      </c>
      <c r="I1" s="90" t="s">
        <v>117</v>
      </c>
      <c r="J1" s="199" t="s">
        <v>6</v>
      </c>
      <c r="K1" s="199"/>
      <c r="L1" s="199"/>
      <c r="M1" s="199"/>
      <c r="N1" s="90"/>
      <c r="O1" s="90"/>
      <c r="P1" s="90"/>
      <c r="Q1" s="90"/>
      <c r="R1" s="90"/>
      <c r="S1" s="90"/>
      <c r="T1" s="90"/>
      <c r="U1" s="87" t="s">
        <v>19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</row>
    <row r="2" spans="1:35" ht="15.75" x14ac:dyDescent="0.25">
      <c r="A2" t="s">
        <v>133</v>
      </c>
      <c r="C2" t="s">
        <v>128</v>
      </c>
      <c r="D2" s="90" t="s">
        <v>0</v>
      </c>
      <c r="E2" s="90" t="s">
        <v>1</v>
      </c>
      <c r="F2" s="90" t="s">
        <v>129</v>
      </c>
      <c r="G2" s="87" t="s">
        <v>2</v>
      </c>
      <c r="H2" s="87" t="s">
        <v>4</v>
      </c>
      <c r="I2" s="87" t="s">
        <v>118</v>
      </c>
      <c r="J2" s="87" t="s">
        <v>7</v>
      </c>
      <c r="K2" s="91" t="s">
        <v>8</v>
      </c>
      <c r="L2" s="91" t="s">
        <v>109</v>
      </c>
      <c r="M2" s="91" t="s">
        <v>108</v>
      </c>
      <c r="N2" s="87" t="s">
        <v>93</v>
      </c>
      <c r="O2" s="87" t="s">
        <v>94</v>
      </c>
      <c r="P2" s="87" t="s">
        <v>95</v>
      </c>
      <c r="Q2" s="87" t="s">
        <v>96</v>
      </c>
      <c r="R2" s="92" t="s">
        <v>125</v>
      </c>
      <c r="S2" s="87" t="s">
        <v>97</v>
      </c>
      <c r="T2" s="87" t="s">
        <v>101</v>
      </c>
      <c r="U2" s="87" t="s">
        <v>20</v>
      </c>
      <c r="V2" s="87" t="s">
        <v>98</v>
      </c>
      <c r="W2" s="87" t="s">
        <v>99</v>
      </c>
      <c r="X2" s="86" t="s">
        <v>103</v>
      </c>
      <c r="Y2" s="87" t="s">
        <v>100</v>
      </c>
      <c r="Z2" s="87" t="s">
        <v>102</v>
      </c>
      <c r="AA2" s="87" t="s">
        <v>106</v>
      </c>
      <c r="AB2" s="99"/>
      <c r="AC2" s="87" t="s">
        <v>107</v>
      </c>
      <c r="AD2" s="101"/>
      <c r="AE2" s="87" t="s">
        <v>122</v>
      </c>
      <c r="AF2" s="87" t="s">
        <v>104</v>
      </c>
      <c r="AG2" s="87" t="s">
        <v>105</v>
      </c>
      <c r="AH2" s="87" t="s">
        <v>126</v>
      </c>
      <c r="AI2" s="87" t="s">
        <v>124</v>
      </c>
    </row>
    <row r="3" spans="1:35" x14ac:dyDescent="0.25">
      <c r="A3">
        <v>1542.7730989781744</v>
      </c>
      <c r="B3" s="107">
        <f>A3*745.7/1000000</f>
        <v>1.1504458999080249</v>
      </c>
      <c r="C3">
        <v>0.68500000000000005</v>
      </c>
      <c r="D3">
        <f>B3/C3</f>
        <v>1.6794830655591604</v>
      </c>
      <c r="E3">
        <v>0.86</v>
      </c>
      <c r="F3" s="107">
        <f>D3/E3</f>
        <v>1.9528872855339074</v>
      </c>
      <c r="G3" s="78">
        <v>10.72</v>
      </c>
      <c r="H3">
        <v>6.15</v>
      </c>
      <c r="I3" s="82">
        <v>1</v>
      </c>
      <c r="J3" t="s">
        <v>120</v>
      </c>
      <c r="K3" s="79">
        <v>1</v>
      </c>
      <c r="L3" s="79">
        <v>1</v>
      </c>
      <c r="M3" s="84">
        <f>VLOOKUP(J3,Cabos!$B$13:$F$46,2,0)*K3*L3</f>
        <v>362.5</v>
      </c>
      <c r="N3" s="85">
        <f>VLOOKUP(J3,Cabos!$B$13:$F$46,3,0)/K3*G3</f>
        <v>0.86135200000000012</v>
      </c>
      <c r="O3" s="85">
        <f>VLOOKUP(J3,Cabos!$B$13:$F$46,4,0)/K3*G3</f>
        <v>1.34</v>
      </c>
      <c r="P3" s="85">
        <f>1/VLOOKUP(J3,Cabos!$B$13:$F$46,5,0) * K3 * G3</f>
        <v>1.7143770989924837E-3</v>
      </c>
      <c r="Q3" t="str">
        <f>IMSQRT(IMDIV(COMPLEX(N3,O3),COMPLEX(0,P3)))</f>
        <v>29,2472492645112-8,58932998204467i</v>
      </c>
      <c r="R3" t="str">
        <f>IMSQRT(IMPRODUCT(COMPLEX(N3,O3),COMPLEX(0,P3)))</f>
        <v>0,0147253506169069+0,0501408143476027i</v>
      </c>
      <c r="S3" t="str">
        <f>IMPRODUCT(Q3,_xlfn.IMSINH(R3))</f>
        <v>0,860692513295555+1,33969892048543i</v>
      </c>
      <c r="T3" t="str">
        <f>IMDIV(IMSUB(_xlfn.IMCOSH(R3),COMPLEX(1,0)),IMPRODUCT(Q3,_xlfn.IMSINH(R3)))</f>
        <v>1,05531397658571E-07+0,000857352670742429i</v>
      </c>
      <c r="U3" s="80">
        <f t="shared" ref="U3" si="0">D3/E3/H3/SQRT(3)*1000</f>
        <v>183.33333333333317</v>
      </c>
      <c r="V3" s="81" t="str">
        <f t="shared" ref="V3" si="1">COMPLEX(H3*1000/SQRT(3)*I3,0)</f>
        <v>3550,7041555162</v>
      </c>
      <c r="W3" s="81" t="str">
        <f t="shared" ref="W3" si="2">COMPLEX(U3*E3,-U3*SQRT(1-E3*E3))</f>
        <v>157,666666666667-93,5539060292691i</v>
      </c>
      <c r="X3" s="81" t="str">
        <f t="shared" ref="X3" si="3">IMPRODUCT(S3,IMSUM(W3,IMPRODUCT(T3,V3)))</f>
        <v>256,958589943999+133,325343667497i</v>
      </c>
      <c r="Y3" s="81" t="str">
        <f>IMSUM(V3,X3)</f>
        <v>3807,6627454602+133,325343667497i</v>
      </c>
      <c r="Z3" s="81" t="str">
        <f t="shared" ref="Z3" si="4">IMSUM(IMPRODUCT(Y3,T3),IMDIV(X3,S3))</f>
        <v>157,553136365939-87,2451764444048i</v>
      </c>
      <c r="AA3" s="83">
        <f>IMABS(Y3)/H3/1000*SQRT(3)</f>
        <v>1.0730255345393755</v>
      </c>
      <c r="AB3" s="106">
        <f>H3*AA3</f>
        <v>6.5991070374171601</v>
      </c>
      <c r="AC3" s="83">
        <f>IMABS(Z3)/M3</f>
        <v>0.49681764214184043</v>
      </c>
      <c r="AD3" s="83"/>
      <c r="AE3" s="88">
        <f>IMREAL(IMPRODUCT(Y3,IMCONJUGATE(Z3)))*3/1000000</f>
        <v>1.764831643914645</v>
      </c>
      <c r="AF3" s="83">
        <f t="shared" ref="AF3" si="5">IMABS(V3)/H3/1000*SQRT(3)</f>
        <v>1.0000000000000004</v>
      </c>
      <c r="AG3" s="83">
        <f>IMABS(W3)/M3</f>
        <v>0.50574712643678221</v>
      </c>
      <c r="AH3" s="88">
        <f t="shared" ref="AH3:AH18" si="6">D3</f>
        <v>1.6794830655591604</v>
      </c>
      <c r="AI3" s="89">
        <f t="shared" ref="AI3:AI18" si="7">IF(AH3&gt;0, (AE3-AH3)/AH3,0)</f>
        <v>5.0818361974414417E-2</v>
      </c>
    </row>
    <row r="4" spans="1:35" x14ac:dyDescent="0.25">
      <c r="A4">
        <v>1605.487452595177</v>
      </c>
      <c r="B4" s="107">
        <f>A4*745.7/1000000</f>
        <v>1.1972119934002237</v>
      </c>
      <c r="C4">
        <v>0.87</v>
      </c>
      <c r="D4">
        <v>6</v>
      </c>
      <c r="E4">
        <v>0.86</v>
      </c>
      <c r="F4" s="107">
        <f>D4/(E4*C4)</f>
        <v>8.019246190858059</v>
      </c>
      <c r="G4" s="100">
        <v>6</v>
      </c>
      <c r="H4">
        <v>6.6</v>
      </c>
      <c r="I4" s="82">
        <v>1</v>
      </c>
      <c r="J4" t="s">
        <v>121</v>
      </c>
      <c r="K4" s="79">
        <v>2</v>
      </c>
      <c r="L4" s="79">
        <v>1</v>
      </c>
      <c r="M4" s="84">
        <f>VLOOKUP(J4,Cabos!$B$13:$F$46,2,0)*K4*L4</f>
        <v>790.25</v>
      </c>
      <c r="N4" s="85">
        <f>VLOOKUP(J4,Cabos!$B$13:$F$46,3,0)/K4*G4</f>
        <v>0.19525049999999999</v>
      </c>
      <c r="O4" s="85">
        <f>VLOOKUP(J4,Cabos!$B$13:$F$46,4,0)/K4*G4</f>
        <v>0.36299999999999999</v>
      </c>
      <c r="P4" s="85">
        <f>1/VLOOKUP(J4,Cabos!$B$13:$F$46,5,0) * K4 * G4</f>
        <v>2.0884093282283328E-3</v>
      </c>
      <c r="Q4" t="str">
        <f>IMSQRT(IMDIV(COMPLEX(N4,O4),COMPLEX(0,P4)))</f>
        <v>13,6231728669933-3,43137566640284i</v>
      </c>
      <c r="R4" t="str">
        <f>IMSQRT(IMPRODUCT(COMPLEX(N4,O4),COMPLEX(0,P4)))</f>
        <v>0,00716611695037139+0,0284507612954958i</v>
      </c>
      <c r="S4" t="str">
        <f>IMPRODUCT(Q4,_xlfn.IMSINH(R4))</f>
        <v>0,195201163215868+0,362967404948617i</v>
      </c>
      <c r="T4" t="str">
        <f>IMDIV(IMSUB(_xlfn.IMCOSH(R4),COMPLEX(1,0)),IMPRODUCT(Q4,_xlfn.IMSINH(R4)))</f>
        <v>3,5487712988332E-08+0,0010442706346526i</v>
      </c>
      <c r="U4" s="80">
        <f>F4/H4/SQRT(3)*1000</f>
        <v>701.50211318027004</v>
      </c>
      <c r="V4" s="81" t="str">
        <f>COMPLEX(H4*1000/SQRT(3)*I4,0)</f>
        <v>3810,51177665153</v>
      </c>
      <c r="W4" s="81" t="str">
        <f>COMPLEX(U4*E4,-U4*SQRT(1-E4*E4))</f>
        <v>603,291817335032-357,972342413459i</v>
      </c>
      <c r="X4" s="81" t="str">
        <f>IMPRODUCT(S4,IMSUM(W4,IMPRODUCT(T4,V4)))</f>
        <v>246,251261155212+149,875442361672i</v>
      </c>
      <c r="Y4" s="81" t="str">
        <f>IMSUM(V4,X4)</f>
        <v>4056,76303780674+149,875442361672i</v>
      </c>
      <c r="Z4" s="81" t="str">
        <f>IMSUM(IMPRODUCT(Y4,T4),IMDIV(X4,S4))</f>
        <v>603,135586003309-349,756773031241i</v>
      </c>
      <c r="AA4" s="83">
        <f>IMABS(Y4)/H4/1000*SQRT(3)</f>
        <v>1.0653505027653067</v>
      </c>
      <c r="AB4" s="106">
        <f>H4*AA4</f>
        <v>7.0313133182510237</v>
      </c>
      <c r="AC4" s="83">
        <f>IMABS(Z4)/M4</f>
        <v>0.88226560626445638</v>
      </c>
      <c r="AD4" s="106">
        <f>AC4*M4/K4</f>
        <v>348.60519767524335</v>
      </c>
      <c r="AE4" s="88">
        <f>IMREAL(IMPRODUCT(Y4,IMCONJUGATE(Z4)))*3/1000000</f>
        <v>7.1830746030212396</v>
      </c>
      <c r="AF4" s="83">
        <f t="shared" ref="AF4" si="8">IMABS(V4)/H4/1000*SQRT(3)</f>
        <v>1</v>
      </c>
      <c r="AG4" s="83">
        <f t="shared" ref="AG4" si="9">IMABS(W4)/M4</f>
        <v>0.88769644186051255</v>
      </c>
      <c r="AH4" s="88">
        <f t="shared" si="6"/>
        <v>6</v>
      </c>
      <c r="AI4" s="89">
        <f t="shared" si="7"/>
        <v>0.19717910050353993</v>
      </c>
    </row>
    <row r="5" spans="1:35" hidden="1" x14ac:dyDescent="0.25">
      <c r="D5">
        <v>2</v>
      </c>
      <c r="E5">
        <v>0.86</v>
      </c>
      <c r="F5">
        <f t="shared" ref="F5:F23" si="10">D5/E5</f>
        <v>2.3255813953488373</v>
      </c>
      <c r="G5" s="78">
        <v>20</v>
      </c>
      <c r="H5">
        <v>13.8</v>
      </c>
      <c r="I5" s="82">
        <v>1</v>
      </c>
      <c r="J5" t="s">
        <v>121</v>
      </c>
      <c r="K5" s="79">
        <v>1</v>
      </c>
      <c r="L5" s="79">
        <v>1</v>
      </c>
      <c r="M5" s="84">
        <f>VLOOKUP(J5,Cabos!$B$13:$F$46,2,0)*K5*L5</f>
        <v>395.125</v>
      </c>
      <c r="N5" s="85">
        <f>VLOOKUP(J5,Cabos!$B$13:$F$46,3,0)/K5*G5</f>
        <v>1.3016700000000001</v>
      </c>
      <c r="O5" s="85">
        <f>VLOOKUP(J5,Cabos!$B$13:$F$46,4,0)/K5*G5</f>
        <v>2.42</v>
      </c>
      <c r="P5" s="85">
        <f>1/VLOOKUP(J5,Cabos!$B$13:$F$46,5,0) * K5 * G5</f>
        <v>3.4806822137138883E-3</v>
      </c>
      <c r="Q5" t="str">
        <f t="shared" ref="Q5:Q20" si="11">IMSQRT(IMDIV(COMPLEX(N5,O5),COMPLEX(0,P5)))</f>
        <v>27,2463457339865-6,86275133280567i</v>
      </c>
      <c r="R5" t="str">
        <f t="shared" ref="R5:R20" si="12">IMSQRT(IMPRODUCT(COMPLEX(N5,O5),COMPLEX(0,P5)))</f>
        <v>0,023887056501238+0,0948358709849862i</v>
      </c>
      <c r="S5" t="str">
        <f t="shared" ref="S5:S20" si="13">IMPRODUCT(Q5,_xlfn.IMSINH(R5))</f>
        <v>1,29801732141416+2,41758572387984i</v>
      </c>
      <c r="T5" t="str">
        <f t="shared" ref="T5:T20" si="14">IMDIV(IMSUB(_xlfn.IMCOSH(R5),COMPLEX(1,0)),IMPRODUCT(Q5,_xlfn.IMSINH(R5)))</f>
        <v>6,58188462383797E-07+0,0017415634490871i</v>
      </c>
      <c r="U5" s="80">
        <f t="shared" ref="U5:U20" si="15">D5/E5/H5/SQRT(3)*1000</f>
        <v>97.295293088915699</v>
      </c>
      <c r="V5" s="81" t="str">
        <f t="shared" ref="V5:V20" si="16">COMPLEX(H5*1000/SQRT(3)*I5,0)</f>
        <v>7967,43371481684</v>
      </c>
      <c r="W5" s="81" t="str">
        <f t="shared" ref="W5:W20" si="17">COMPLEX(U5*E5,-U5*SQRT(1-E5*E5))</f>
        <v>83,6739520564675-49,649207491258i</v>
      </c>
      <c r="X5" s="81" t="str">
        <f t="shared" ref="X5:X20" si="18">IMPRODUCT(S5,IMSUM(W5,IMPRODUCT(T5,V5)))</f>
        <v>195,102346197874+155,867116138694i</v>
      </c>
      <c r="Y5" s="81" t="str">
        <f t="shared" ref="Y5:Y20" si="19">IMSUM(V5,X5)</f>
        <v>8162,53606101471+155,867116138694i</v>
      </c>
      <c r="Z5" s="81" t="str">
        <f t="shared" ref="Z5:Z20" si="20">IMSUM(IMPRODUCT(Y5,T5),IMDIV(X5,S5))</f>
        <v>83,413116144091-21,5577391048527i</v>
      </c>
      <c r="AA5" s="83">
        <f t="shared" ref="AA5:AA20" si="21">IMABS(Y5)/H5/1000*SQRT(3)</f>
        <v>1.0246742416959309</v>
      </c>
      <c r="AB5" s="83"/>
      <c r="AC5" s="83">
        <f t="shared" ref="AC5:AC20" si="22">IMABS(Z5)/M5</f>
        <v>0.21804198544160272</v>
      </c>
      <c r="AD5" s="83"/>
      <c r="AE5" s="88">
        <f t="shared" ref="AE5:AE20" si="23">IMREAL(IMPRODUCT(Y5,IMCONJUGATE(Z5)))*3/1000000</f>
        <v>2.0325072775890209</v>
      </c>
      <c r="AF5" s="83">
        <f t="shared" ref="AF5:AF20" si="24">IMABS(V5)/H5/1000*SQRT(3)</f>
        <v>1.0000000000000004</v>
      </c>
      <c r="AG5" s="83">
        <f t="shared" ref="AG5:AG20" si="25">IMABS(W5)/M5</f>
        <v>0.24623927387261177</v>
      </c>
      <c r="AH5" s="88">
        <f t="shared" si="6"/>
        <v>2</v>
      </c>
      <c r="AI5" s="89">
        <f t="shared" si="7"/>
        <v>1.6253638794510472E-2</v>
      </c>
    </row>
    <row r="6" spans="1:35" hidden="1" x14ac:dyDescent="0.25">
      <c r="C6">
        <f>D3/E3</f>
        <v>1.9528872855339074</v>
      </c>
      <c r="D6">
        <v>5</v>
      </c>
      <c r="E6">
        <v>0.86</v>
      </c>
      <c r="F6">
        <f t="shared" si="10"/>
        <v>5.8139534883720927</v>
      </c>
      <c r="G6" s="78">
        <v>20</v>
      </c>
      <c r="H6">
        <v>13.8</v>
      </c>
      <c r="I6" s="82">
        <v>1</v>
      </c>
      <c r="J6" t="s">
        <v>121</v>
      </c>
      <c r="K6" s="79">
        <v>1</v>
      </c>
      <c r="L6" s="79">
        <v>1</v>
      </c>
      <c r="M6" s="84">
        <f>VLOOKUP(J6,Cabos!$B$13:$F$46,2,0)*K6*L6</f>
        <v>395.125</v>
      </c>
      <c r="N6" s="85">
        <f>VLOOKUP(J6,Cabos!$B$13:$F$46,3,0)/K6*G6</f>
        <v>1.3016700000000001</v>
      </c>
      <c r="O6" s="85">
        <f>VLOOKUP(J6,Cabos!$B$13:$F$46,4,0)/K6*G6</f>
        <v>2.42</v>
      </c>
      <c r="P6" s="85">
        <f>1/VLOOKUP(J6,Cabos!$B$13:$F$46,5,0) * K6 * G6</f>
        <v>3.4806822137138883E-3</v>
      </c>
      <c r="Q6" t="str">
        <f t="shared" si="11"/>
        <v>27,2463457339865-6,86275133280567i</v>
      </c>
      <c r="R6" t="str">
        <f t="shared" si="12"/>
        <v>0,023887056501238+0,0948358709849862i</v>
      </c>
      <c r="S6" t="str">
        <f t="shared" si="13"/>
        <v>1,29801732141416+2,41758572387984i</v>
      </c>
      <c r="T6" t="str">
        <f t="shared" si="14"/>
        <v>6,58188462383797E-07+0,0017415634490871i</v>
      </c>
      <c r="U6" s="80">
        <f t="shared" si="15"/>
        <v>243.23823272228924</v>
      </c>
      <c r="V6" s="81" t="str">
        <f t="shared" si="16"/>
        <v>7967,43371481684</v>
      </c>
      <c r="W6" s="81" t="str">
        <f t="shared" si="17"/>
        <v>209,184880141169-124,123018728145i</v>
      </c>
      <c r="X6" s="81" t="str">
        <f t="shared" si="18"/>
        <v>538,064527727804+362,632247089969i</v>
      </c>
      <c r="Y6" s="81" t="str">
        <f t="shared" si="19"/>
        <v>8505,49824254464+362,632247089969i</v>
      </c>
      <c r="Z6" s="81" t="str">
        <f t="shared" si="20"/>
        <v>208,564175367933-95,4341238515446i</v>
      </c>
      <c r="AA6" s="83">
        <f t="shared" si="21"/>
        <v>1.0685027899093666</v>
      </c>
      <c r="AB6" s="83"/>
      <c r="AC6" s="83">
        <f t="shared" si="22"/>
        <v>0.58047827204326763</v>
      </c>
      <c r="AD6" s="83"/>
      <c r="AE6" s="88">
        <f t="shared" si="23"/>
        <v>5.2180042088051399</v>
      </c>
      <c r="AF6" s="83">
        <f t="shared" si="24"/>
        <v>1.0000000000000004</v>
      </c>
      <c r="AG6" s="83">
        <f t="shared" si="25"/>
        <v>0.61559818468152994</v>
      </c>
      <c r="AH6" s="88">
        <f t="shared" si="6"/>
        <v>5</v>
      </c>
      <c r="AI6" s="89">
        <f t="shared" si="7"/>
        <v>4.3600841761027985E-2</v>
      </c>
    </row>
    <row r="7" spans="1:35" hidden="1" x14ac:dyDescent="0.25">
      <c r="C7">
        <f>D4/E4</f>
        <v>6.9767441860465116</v>
      </c>
      <c r="D7">
        <v>20</v>
      </c>
      <c r="E7">
        <v>0.86</v>
      </c>
      <c r="F7">
        <f t="shared" si="10"/>
        <v>23.255813953488371</v>
      </c>
      <c r="G7" s="1">
        <v>20</v>
      </c>
      <c r="H7">
        <v>13.8</v>
      </c>
      <c r="I7" s="82">
        <v>1</v>
      </c>
      <c r="J7" t="s">
        <v>120</v>
      </c>
      <c r="K7" s="79">
        <v>1</v>
      </c>
      <c r="L7" s="79">
        <v>1</v>
      </c>
      <c r="M7" s="84">
        <f>VLOOKUP(J7,Cabos!$B$13:$F$46,2,0)*K7*L7</f>
        <v>362.5</v>
      </c>
      <c r="N7" s="85">
        <f>VLOOKUP(J7,Cabos!$B$13:$F$46,3,0)/K7*G7</f>
        <v>1.6070000000000002</v>
      </c>
      <c r="O7" s="85">
        <f>VLOOKUP(J7,Cabos!$B$13:$F$46,4,0)/K7*G7</f>
        <v>2.5</v>
      </c>
      <c r="P7" s="85">
        <f>1/VLOOKUP(J7,Cabos!$B$13:$F$46,5,0) * K7 * G7</f>
        <v>3.1984647369262755E-3</v>
      </c>
      <c r="Q7" t="str">
        <f t="shared" si="11"/>
        <v>29,2472492645112-8,58932998204466i</v>
      </c>
      <c r="R7" t="str">
        <f t="shared" si="12"/>
        <v>0,0274726690613935+0,0935462954246321i</v>
      </c>
      <c r="S7" t="str">
        <f t="shared" si="13"/>
        <v>1,60271893719738+2,49804459244677i</v>
      </c>
      <c r="T7" t="str">
        <f t="shared" si="14"/>
        <v>6,86092194111777E-07+0,00160029851172335i</v>
      </c>
      <c r="U7" s="80">
        <f t="shared" si="15"/>
        <v>972.95293088915696</v>
      </c>
      <c r="V7" s="81" t="str">
        <f t="shared" si="16"/>
        <v>7967,43371481684</v>
      </c>
      <c r="W7" s="81" t="str">
        <f t="shared" si="17"/>
        <v>836,739520564675-496,49207491258i</v>
      </c>
      <c r="X7" s="81" t="str">
        <f t="shared" si="18"/>
        <v>2549,47563032042+1314,92414219385i</v>
      </c>
      <c r="Y7" s="81" t="str">
        <f t="shared" si="19"/>
        <v>10516,9093451373+1314,92414219385i</v>
      </c>
      <c r="Z7" s="81" t="str">
        <f t="shared" si="20"/>
        <v>834,647931380381-466,910706064361i</v>
      </c>
      <c r="AA7" s="83">
        <f t="shared" si="21"/>
        <v>1.3302643141331776</v>
      </c>
      <c r="AB7" s="83"/>
      <c r="AC7" s="83">
        <f t="shared" si="22"/>
        <v>2.638260915025882</v>
      </c>
      <c r="AD7" s="83"/>
      <c r="AE7" s="88">
        <f t="shared" si="23"/>
        <v>24.49189340934312</v>
      </c>
      <c r="AF7" s="83">
        <f t="shared" si="24"/>
        <v>1.0000000000000004</v>
      </c>
      <c r="AG7" s="83">
        <f t="shared" si="25"/>
        <v>2.6840080852114681</v>
      </c>
      <c r="AH7" s="88">
        <f t="shared" si="6"/>
        <v>20</v>
      </c>
      <c r="AI7" s="89">
        <f t="shared" si="7"/>
        <v>0.22459467046715603</v>
      </c>
    </row>
    <row r="8" spans="1:35" hidden="1" x14ac:dyDescent="0.25">
      <c r="D8">
        <v>10</v>
      </c>
      <c r="E8">
        <v>0.86</v>
      </c>
      <c r="F8">
        <f t="shared" si="10"/>
        <v>11.627906976744185</v>
      </c>
      <c r="G8" s="78">
        <v>20</v>
      </c>
      <c r="H8">
        <v>13.8</v>
      </c>
      <c r="I8" s="82">
        <v>1</v>
      </c>
      <c r="J8" t="s">
        <v>120</v>
      </c>
      <c r="K8" s="79">
        <v>1</v>
      </c>
      <c r="L8" s="79">
        <v>1</v>
      </c>
      <c r="M8" s="84">
        <f>VLOOKUP(J8,Cabos!$B$13:$F$46,2,0)*K8*L8</f>
        <v>362.5</v>
      </c>
      <c r="N8" s="85">
        <f>VLOOKUP(J8,Cabos!$B$13:$F$46,3,0)/K8*G8</f>
        <v>1.6070000000000002</v>
      </c>
      <c r="O8" s="85">
        <f>VLOOKUP(J8,Cabos!$B$13:$F$46,4,0)/K8*G8</f>
        <v>2.5</v>
      </c>
      <c r="P8" s="85">
        <f>1/VLOOKUP(J8,Cabos!$B$13:$F$46,5,0) * K8 * G8</f>
        <v>3.1984647369262755E-3</v>
      </c>
      <c r="Q8" t="str">
        <f t="shared" si="11"/>
        <v>29,2472492645112-8,58932998204466i</v>
      </c>
      <c r="R8" t="str">
        <f t="shared" si="12"/>
        <v>0,0274726690613935+0,0935462954246321i</v>
      </c>
      <c r="S8" t="str">
        <f t="shared" si="13"/>
        <v>1,60271893719738+2,49804459244677i</v>
      </c>
      <c r="T8" t="str">
        <f t="shared" si="14"/>
        <v>6,86092194111777E-07+0,00160029851172335i</v>
      </c>
      <c r="U8" s="80">
        <f t="shared" si="15"/>
        <v>486.47646544457848</v>
      </c>
      <c r="V8" s="81" t="str">
        <f t="shared" si="16"/>
        <v>7967,43371481684</v>
      </c>
      <c r="W8" s="81" t="str">
        <f t="shared" si="17"/>
        <v>418,369760282337-248,24603745629i</v>
      </c>
      <c r="X8" s="81" t="str">
        <f t="shared" si="18"/>
        <v>1258,81682130116+667,686450192705i</v>
      </c>
      <c r="Y8" s="81" t="str">
        <f t="shared" si="19"/>
        <v>9226,250536118+667,686450192705i</v>
      </c>
      <c r="Z8" s="81" t="str">
        <f t="shared" si="20"/>
        <v>417,313059102348-220,730552044015i</v>
      </c>
      <c r="AA8" s="83">
        <f t="shared" si="21"/>
        <v>1.1610236025943523</v>
      </c>
      <c r="AB8" s="83"/>
      <c r="AC8" s="83">
        <f t="shared" si="22"/>
        <v>1.3023265844006795</v>
      </c>
      <c r="AD8" s="83"/>
      <c r="AE8" s="88">
        <f t="shared" si="23"/>
        <v>11.108568109586221</v>
      </c>
      <c r="AF8" s="83">
        <f t="shared" si="24"/>
        <v>1.0000000000000004</v>
      </c>
      <c r="AG8" s="83">
        <f t="shared" si="25"/>
        <v>1.3420040426057327</v>
      </c>
      <c r="AH8" s="88">
        <f t="shared" si="6"/>
        <v>10</v>
      </c>
      <c r="AI8" s="89">
        <f t="shared" si="7"/>
        <v>0.1108568109586221</v>
      </c>
    </row>
    <row r="9" spans="1:35" hidden="1" x14ac:dyDescent="0.25">
      <c r="D9">
        <v>5</v>
      </c>
      <c r="E9">
        <v>0.86</v>
      </c>
      <c r="F9">
        <f t="shared" si="10"/>
        <v>5.8139534883720927</v>
      </c>
      <c r="G9" s="78">
        <v>20</v>
      </c>
      <c r="H9">
        <v>13.8</v>
      </c>
      <c r="I9" s="82">
        <v>1</v>
      </c>
      <c r="J9" t="s">
        <v>120</v>
      </c>
      <c r="K9" s="79">
        <v>1</v>
      </c>
      <c r="L9" s="79">
        <v>1</v>
      </c>
      <c r="M9" s="84">
        <f>VLOOKUP(J9,Cabos!$B$13:$F$46,2,0)*K9*L9</f>
        <v>362.5</v>
      </c>
      <c r="N9" s="85">
        <f>VLOOKUP(J9,Cabos!$B$13:$F$46,3,0)/K9*G9</f>
        <v>1.6070000000000002</v>
      </c>
      <c r="O9" s="85">
        <f>VLOOKUP(J9,Cabos!$B$13:$F$46,4,0)/K9*G9</f>
        <v>2.5</v>
      </c>
      <c r="P9" s="85">
        <f>1/VLOOKUP(J9,Cabos!$B$13:$F$46,5,0) * K9 * G9</f>
        <v>3.1984647369262755E-3</v>
      </c>
      <c r="Q9" t="str">
        <f t="shared" si="11"/>
        <v>29,2472492645112-8,58932998204466i</v>
      </c>
      <c r="R9" t="str">
        <f t="shared" si="12"/>
        <v>0,0274726690613935+0,0935462954246321i</v>
      </c>
      <c r="S9" t="str">
        <f t="shared" si="13"/>
        <v>1,60271893719738+2,49804459244677i</v>
      </c>
      <c r="T9" t="str">
        <f t="shared" si="14"/>
        <v>6,86092194111777E-07+0,00160029851172335i</v>
      </c>
      <c r="U9" s="80">
        <f t="shared" si="15"/>
        <v>243.23823272228924</v>
      </c>
      <c r="V9" s="81" t="str">
        <f t="shared" si="16"/>
        <v>7967,43371481684</v>
      </c>
      <c r="W9" s="81" t="str">
        <f t="shared" si="17"/>
        <v>209,184880141169-124,123018728145i</v>
      </c>
      <c r="X9" s="81" t="str">
        <f t="shared" si="18"/>
        <v>613,487416791539+344,067604192138i</v>
      </c>
      <c r="Y9" s="81" t="str">
        <f t="shared" si="19"/>
        <v>8580,92113160838+344,067604192138i</v>
      </c>
      <c r="Z9" s="81" t="str">
        <f t="shared" si="20"/>
        <v>208,645622963334-97,6404750338432i</v>
      </c>
      <c r="AA9" s="83">
        <f t="shared" si="21"/>
        <v>1.0778648026611011</v>
      </c>
      <c r="AB9" s="83"/>
      <c r="AC9" s="83">
        <f t="shared" si="22"/>
        <v>0.63548142303518118</v>
      </c>
      <c r="AD9" s="83"/>
      <c r="AE9" s="88">
        <f t="shared" si="23"/>
        <v>5.2703301323597689</v>
      </c>
      <c r="AF9" s="83">
        <f t="shared" si="24"/>
        <v>1.0000000000000004</v>
      </c>
      <c r="AG9" s="83">
        <f t="shared" si="25"/>
        <v>0.67100202130286757</v>
      </c>
      <c r="AH9" s="88">
        <f t="shared" si="6"/>
        <v>5</v>
      </c>
      <c r="AI9" s="89">
        <f t="shared" si="7"/>
        <v>5.4066026471953778E-2</v>
      </c>
    </row>
    <row r="10" spans="1:35" hidden="1" x14ac:dyDescent="0.25">
      <c r="D10">
        <v>20</v>
      </c>
      <c r="E10">
        <v>0.86</v>
      </c>
      <c r="F10">
        <f t="shared" si="10"/>
        <v>23.255813953488371</v>
      </c>
      <c r="G10" s="78">
        <v>10</v>
      </c>
      <c r="H10">
        <v>13.8</v>
      </c>
      <c r="I10" s="82">
        <v>1</v>
      </c>
      <c r="J10" t="s">
        <v>119</v>
      </c>
      <c r="K10" s="79">
        <v>3</v>
      </c>
      <c r="L10" s="79">
        <v>1</v>
      </c>
      <c r="M10" s="84">
        <f>VLOOKUP(J10,Cabos!$B$13:$F$46,2,0)*K10*L10</f>
        <v>835.19999999999993</v>
      </c>
      <c r="N10" s="85">
        <f>VLOOKUP(J10,Cabos!$B$13:$F$46,3,0)/K10*G10</f>
        <v>0.4312116666666666</v>
      </c>
      <c r="O10" s="85">
        <f>VLOOKUP(J10,Cabos!$B$13:$F$46,4,0)/K10*G10</f>
        <v>0.45000000000000007</v>
      </c>
      <c r="P10" s="85">
        <f>1/VLOOKUP(J10,Cabos!$B$13:$F$46,5,0) * K10 * G10</f>
        <v>4.4098191974129061E-3</v>
      </c>
      <c r="Q10" t="str">
        <f t="shared" si="11"/>
        <v>11,0312705447808-4,43214731616036i</v>
      </c>
      <c r="R10" t="str">
        <f t="shared" si="12"/>
        <v>0,019544968320566+0,0486459086202297i</v>
      </c>
      <c r="S10" t="str">
        <f t="shared" si="13"/>
        <v>0,430926461301803+0,449987805562788i</v>
      </c>
      <c r="T10" t="str">
        <f t="shared" si="14"/>
        <v>3,49537032215009E-07+0,00220527422657218i</v>
      </c>
      <c r="U10" s="80">
        <f t="shared" si="15"/>
        <v>972.95293088915696</v>
      </c>
      <c r="V10" s="81" t="str">
        <f t="shared" si="16"/>
        <v>7967,43371481684</v>
      </c>
      <c r="W10" s="81" t="str">
        <f t="shared" si="17"/>
        <v>836,739520564675-496,49207491258i</v>
      </c>
      <c r="X10" s="81" t="str">
        <f t="shared" si="18"/>
        <v>576,083324950698+170,143801006648i</v>
      </c>
      <c r="Y10" s="81" t="str">
        <f t="shared" si="19"/>
        <v>8543,51703976754+170,143801006648i</v>
      </c>
      <c r="Z10" s="81" t="str">
        <f t="shared" si="20"/>
        <v>836,37007801423-460,080841285733i</v>
      </c>
      <c r="AA10" s="83">
        <f t="shared" si="21"/>
        <v>1.0725173727434312</v>
      </c>
      <c r="AB10" s="83"/>
      <c r="AC10" s="83">
        <f t="shared" si="22"/>
        <v>1.1429146960328069</v>
      </c>
      <c r="AD10" s="83"/>
      <c r="AE10" s="88">
        <f t="shared" si="23"/>
        <v>21.201786329878768</v>
      </c>
      <c r="AF10" s="83">
        <f t="shared" si="24"/>
        <v>1.0000000000000004</v>
      </c>
      <c r="AG10" s="83">
        <f t="shared" si="25"/>
        <v>1.164934064761922</v>
      </c>
      <c r="AH10" s="88">
        <f t="shared" si="6"/>
        <v>20</v>
      </c>
      <c r="AI10" s="89">
        <f t="shared" si="7"/>
        <v>6.0089316493938408E-2</v>
      </c>
    </row>
    <row r="11" spans="1:35" hidden="1" x14ac:dyDescent="0.25">
      <c r="D11">
        <v>10</v>
      </c>
      <c r="E11">
        <v>0.86</v>
      </c>
      <c r="F11">
        <f t="shared" si="10"/>
        <v>11.627906976744185</v>
      </c>
      <c r="G11" s="78">
        <v>10</v>
      </c>
      <c r="H11">
        <v>13.8</v>
      </c>
      <c r="I11" s="82">
        <v>1</v>
      </c>
      <c r="J11" t="s">
        <v>119</v>
      </c>
      <c r="K11" s="79">
        <v>3</v>
      </c>
      <c r="L11" s="79">
        <v>1</v>
      </c>
      <c r="M11" s="84">
        <f>VLOOKUP(J11,Cabos!$B$13:$F$46,2,0)*K11*L11</f>
        <v>835.19999999999993</v>
      </c>
      <c r="N11" s="85">
        <f>VLOOKUP(J11,Cabos!$B$13:$F$46,3,0)/K11*G11</f>
        <v>0.4312116666666666</v>
      </c>
      <c r="O11" s="85">
        <f>VLOOKUP(J11,Cabos!$B$13:$F$46,4,0)/K11*G11</f>
        <v>0.45000000000000007</v>
      </c>
      <c r="P11" s="85">
        <f>1/VLOOKUP(J11,Cabos!$B$13:$F$46,5,0) * K11 * G11</f>
        <v>4.4098191974129061E-3</v>
      </c>
      <c r="Q11" t="str">
        <f t="shared" si="11"/>
        <v>11,0312705447808-4,43214731616036i</v>
      </c>
      <c r="R11" t="str">
        <f t="shared" si="12"/>
        <v>0,019544968320566+0,0486459086202297i</v>
      </c>
      <c r="S11" t="str">
        <f t="shared" si="13"/>
        <v>0,430926461301803+0,449987805562788i</v>
      </c>
      <c r="T11" t="str">
        <f t="shared" si="14"/>
        <v>3,49537032215009E-07+0,00220527422657218i</v>
      </c>
      <c r="U11" s="80">
        <f t="shared" si="15"/>
        <v>486.47646544457848</v>
      </c>
      <c r="V11" s="81" t="str">
        <f t="shared" si="16"/>
        <v>7967,43371481684</v>
      </c>
      <c r="W11" s="81" t="str">
        <f t="shared" si="17"/>
        <v>418,369760282337-248,24603745629i</v>
      </c>
      <c r="X11" s="81" t="str">
        <f t="shared" si="18"/>
        <v>284,089035001933+88,8582971166033i</v>
      </c>
      <c r="Y11" s="81" t="str">
        <f t="shared" si="19"/>
        <v>8251,52274981877+88,8582971166033i</v>
      </c>
      <c r="Z11" s="81" t="str">
        <f t="shared" si="20"/>
        <v>418,179472495797-212,478759723667i</v>
      </c>
      <c r="AA11" s="83">
        <f t="shared" si="21"/>
        <v>1.035716326756879</v>
      </c>
      <c r="AB11" s="83"/>
      <c r="AC11" s="83">
        <f t="shared" si="22"/>
        <v>0.56161910380776603</v>
      </c>
      <c r="AD11" s="83"/>
      <c r="AE11" s="88">
        <f t="shared" si="23"/>
        <v>10.295210790131369</v>
      </c>
      <c r="AF11" s="83">
        <f t="shared" si="24"/>
        <v>1.0000000000000004</v>
      </c>
      <c r="AG11" s="83">
        <f t="shared" si="25"/>
        <v>0.58246703238096043</v>
      </c>
      <c r="AH11" s="88">
        <f t="shared" si="6"/>
        <v>10</v>
      </c>
      <c r="AI11" s="89">
        <f t="shared" si="7"/>
        <v>2.9521079013136921E-2</v>
      </c>
    </row>
    <row r="12" spans="1:35" hidden="1" x14ac:dyDescent="0.25">
      <c r="D12">
        <v>5</v>
      </c>
      <c r="E12">
        <v>0.86</v>
      </c>
      <c r="F12">
        <f t="shared" si="10"/>
        <v>5.8139534883720927</v>
      </c>
      <c r="G12" s="78">
        <v>10</v>
      </c>
      <c r="H12">
        <v>13.8</v>
      </c>
      <c r="I12" s="82">
        <v>1</v>
      </c>
      <c r="J12" t="s">
        <v>119</v>
      </c>
      <c r="K12" s="79">
        <v>3</v>
      </c>
      <c r="L12" s="79">
        <v>1</v>
      </c>
      <c r="M12" s="84">
        <f>VLOOKUP(J12,Cabos!$B$13:$F$46,2,0)*K12*L12</f>
        <v>835.19999999999993</v>
      </c>
      <c r="N12" s="85">
        <f>VLOOKUP(J12,Cabos!$B$13:$F$46,3,0)/K12*G12</f>
        <v>0.4312116666666666</v>
      </c>
      <c r="O12" s="85">
        <f>VLOOKUP(J12,Cabos!$B$13:$F$46,4,0)/K12*G12</f>
        <v>0.45000000000000007</v>
      </c>
      <c r="P12" s="85">
        <f>1/VLOOKUP(J12,Cabos!$B$13:$F$46,5,0) * K12 * G12</f>
        <v>4.4098191974129061E-3</v>
      </c>
      <c r="Q12" t="str">
        <f t="shared" si="11"/>
        <v>11,0312705447808-4,43214731616036i</v>
      </c>
      <c r="R12" t="str">
        <f t="shared" si="12"/>
        <v>0,019544968320566+0,0486459086202297i</v>
      </c>
      <c r="S12" t="str">
        <f t="shared" si="13"/>
        <v>0,430926461301803+0,449987805562788i</v>
      </c>
      <c r="T12" t="str">
        <f t="shared" si="14"/>
        <v>3,49537032215009E-07+0,00220527422657218i</v>
      </c>
      <c r="U12" s="80">
        <f t="shared" si="15"/>
        <v>243.23823272228924</v>
      </c>
      <c r="V12" s="81" t="str">
        <f t="shared" si="16"/>
        <v>7967,43371481684</v>
      </c>
      <c r="W12" s="81" t="str">
        <f t="shared" si="17"/>
        <v>209,184880141169-124,123018728145i</v>
      </c>
      <c r="X12" s="81" t="str">
        <f t="shared" si="18"/>
        <v>138,091890027551+48,2155451715812i</v>
      </c>
      <c r="Y12" s="81" t="str">
        <f t="shared" si="19"/>
        <v>8105,52560484439+48,2155451715812i</v>
      </c>
      <c r="Z12" s="81" t="str">
        <f t="shared" si="20"/>
        <v>209,084169736581-88,6777189426342i</v>
      </c>
      <c r="AA12" s="83">
        <f t="shared" si="21"/>
        <v>1.0173500399595383</v>
      </c>
      <c r="AB12" s="83"/>
      <c r="AC12" s="83">
        <f t="shared" si="22"/>
        <v>0.2719254648285987</v>
      </c>
      <c r="AD12" s="83"/>
      <c r="AE12" s="88">
        <f t="shared" si="23"/>
        <v>5.0713843404123002</v>
      </c>
      <c r="AF12" s="83">
        <f t="shared" si="24"/>
        <v>1.0000000000000004</v>
      </c>
      <c r="AG12" s="83">
        <f t="shared" si="25"/>
        <v>0.29123351619048077</v>
      </c>
      <c r="AH12" s="88">
        <f t="shared" si="6"/>
        <v>5</v>
      </c>
      <c r="AI12" s="89">
        <f t="shared" si="7"/>
        <v>1.4276868082460047E-2</v>
      </c>
    </row>
    <row r="13" spans="1:35" hidden="1" x14ac:dyDescent="0.25">
      <c r="D13">
        <v>20</v>
      </c>
      <c r="E13">
        <v>0.86</v>
      </c>
      <c r="F13">
        <f t="shared" si="10"/>
        <v>23.255813953488371</v>
      </c>
      <c r="G13" s="78">
        <v>5</v>
      </c>
      <c r="H13">
        <v>13.8</v>
      </c>
      <c r="I13" s="82">
        <v>1</v>
      </c>
      <c r="J13" t="s">
        <v>119</v>
      </c>
      <c r="K13" s="79">
        <v>3</v>
      </c>
      <c r="L13" s="79">
        <v>1</v>
      </c>
      <c r="M13" s="84">
        <f>VLOOKUP(J13,Cabos!$B$13:$F$46,2,0)*K13*L13</f>
        <v>835.19999999999993</v>
      </c>
      <c r="N13" s="85">
        <f>VLOOKUP(J13,Cabos!$B$13:$F$46,3,0)/K13*G13</f>
        <v>0.2156058333333333</v>
      </c>
      <c r="O13" s="85">
        <f>VLOOKUP(J13,Cabos!$B$13:$F$46,4,0)/K13*G13</f>
        <v>0.22500000000000003</v>
      </c>
      <c r="P13" s="85">
        <f>1/VLOOKUP(J13,Cabos!$B$13:$F$46,5,0) * K13 * G13</f>
        <v>2.204909598706453E-3</v>
      </c>
      <c r="Q13" t="str">
        <f t="shared" si="11"/>
        <v>11,0312705447808-4,43214731616036i</v>
      </c>
      <c r="R13" t="str">
        <f t="shared" si="12"/>
        <v>0,00977248416028301+0,0243229543101148i</v>
      </c>
      <c r="S13" t="str">
        <f t="shared" si="13"/>
        <v>0,215570179901042+0,224998478124323i</v>
      </c>
      <c r="T13" t="str">
        <f t="shared" si="14"/>
        <v>4,36791246508538E-08+0,00110250037728546i</v>
      </c>
      <c r="U13" s="80">
        <f t="shared" si="15"/>
        <v>972.95293088915696</v>
      </c>
      <c r="V13" s="81" t="str">
        <f t="shared" si="16"/>
        <v>7967,43371481684</v>
      </c>
      <c r="W13" s="81" t="str">
        <f t="shared" si="17"/>
        <v>836,739520564675-496,49207491258i</v>
      </c>
      <c r="X13" s="81" t="str">
        <f t="shared" si="18"/>
        <v>290,109716421324+83,129900839i</v>
      </c>
      <c r="Y13" s="81" t="str">
        <f t="shared" si="19"/>
        <v>8257,54343123816+83,129900839i</v>
      </c>
      <c r="Z13" s="81" t="str">
        <f t="shared" si="20"/>
        <v>836,648578510435-478,604027856565i</v>
      </c>
      <c r="AA13" s="83">
        <f t="shared" si="21"/>
        <v>1.0364644572733279</v>
      </c>
      <c r="AB13" s="83"/>
      <c r="AC13" s="83">
        <f t="shared" si="22"/>
        <v>1.1540572202098556</v>
      </c>
      <c r="AD13" s="83"/>
      <c r="AE13" s="88">
        <f t="shared" si="23"/>
        <v>20.606627005070163</v>
      </c>
      <c r="AF13" s="83">
        <f t="shared" si="24"/>
        <v>1.0000000000000004</v>
      </c>
      <c r="AG13" s="83">
        <f t="shared" si="25"/>
        <v>1.164934064761922</v>
      </c>
      <c r="AH13" s="88">
        <f t="shared" si="6"/>
        <v>20</v>
      </c>
      <c r="AI13" s="89">
        <f t="shared" si="7"/>
        <v>3.0331350253508128E-2</v>
      </c>
    </row>
    <row r="14" spans="1:35" hidden="1" x14ac:dyDescent="0.25">
      <c r="D14">
        <v>10</v>
      </c>
      <c r="E14">
        <v>0.86</v>
      </c>
      <c r="F14">
        <f t="shared" si="10"/>
        <v>11.627906976744185</v>
      </c>
      <c r="G14" s="78">
        <v>5</v>
      </c>
      <c r="H14">
        <v>13.8</v>
      </c>
      <c r="I14" s="82">
        <v>1</v>
      </c>
      <c r="J14" t="s">
        <v>119</v>
      </c>
      <c r="K14" s="79">
        <v>3</v>
      </c>
      <c r="L14" s="79">
        <v>1</v>
      </c>
      <c r="M14" s="84">
        <f>VLOOKUP(J14,Cabos!$B$13:$F$46,2,0)*K14*L14</f>
        <v>835.19999999999993</v>
      </c>
      <c r="N14" s="85">
        <f>VLOOKUP(J14,Cabos!$B$13:$F$46,3,0)/K14*G14</f>
        <v>0.2156058333333333</v>
      </c>
      <c r="O14" s="85">
        <f>VLOOKUP(J14,Cabos!$B$13:$F$46,4,0)/K14*G14</f>
        <v>0.22500000000000003</v>
      </c>
      <c r="P14" s="85">
        <f>1/VLOOKUP(J14,Cabos!$B$13:$F$46,5,0) * K14 * G14</f>
        <v>2.204909598706453E-3</v>
      </c>
      <c r="Q14" t="str">
        <f t="shared" si="11"/>
        <v>11,0312705447808-4,43214731616036i</v>
      </c>
      <c r="R14" t="str">
        <f t="shared" si="12"/>
        <v>0,00977248416028301+0,0243229543101148i</v>
      </c>
      <c r="S14" t="str">
        <f t="shared" si="13"/>
        <v>0,215570179901042+0,224998478124323i</v>
      </c>
      <c r="T14" t="str">
        <f t="shared" si="14"/>
        <v>4,36791246508538E-08+0,00110250037728546i</v>
      </c>
      <c r="U14" s="80">
        <f t="shared" si="15"/>
        <v>486.47646544457848</v>
      </c>
      <c r="V14" s="81" t="str">
        <f t="shared" si="16"/>
        <v>7967,43371481684</v>
      </c>
      <c r="W14" s="81" t="str">
        <f t="shared" si="17"/>
        <v>418,369760282337-248,24603745629i</v>
      </c>
      <c r="X14" s="81" t="str">
        <f t="shared" si="18"/>
        <v>144,066691304046+42,5117844364093i</v>
      </c>
      <c r="Y14" s="81" t="str">
        <f t="shared" si="19"/>
        <v>8111,50040612089+42,5117844364093i</v>
      </c>
      <c r="Z14" s="81" t="str">
        <f t="shared" si="20"/>
        <v>418,323593337724-230,519004664731i</v>
      </c>
      <c r="AA14" s="83">
        <f t="shared" si="21"/>
        <v>1.0180959260267368</v>
      </c>
      <c r="AB14" s="83"/>
      <c r="AC14" s="83">
        <f t="shared" si="22"/>
        <v>0.57187904012193491</v>
      </c>
      <c r="AD14" s="83"/>
      <c r="AE14" s="88">
        <f t="shared" si="23"/>
        <v>10.1502966690423</v>
      </c>
      <c r="AF14" s="83">
        <f t="shared" si="24"/>
        <v>1.0000000000000004</v>
      </c>
      <c r="AG14" s="83">
        <f t="shared" si="25"/>
        <v>0.58246703238096043</v>
      </c>
      <c r="AH14" s="88">
        <f t="shared" si="6"/>
        <v>10</v>
      </c>
      <c r="AI14" s="89">
        <f t="shared" si="7"/>
        <v>1.5029666904229976E-2</v>
      </c>
    </row>
    <row r="15" spans="1:35" hidden="1" x14ac:dyDescent="0.25">
      <c r="D15">
        <v>5</v>
      </c>
      <c r="E15">
        <v>0.86</v>
      </c>
      <c r="F15">
        <f t="shared" si="10"/>
        <v>5.8139534883720927</v>
      </c>
      <c r="G15" s="78">
        <v>5</v>
      </c>
      <c r="H15">
        <v>13.8</v>
      </c>
      <c r="I15" s="82">
        <v>1</v>
      </c>
      <c r="J15" t="s">
        <v>119</v>
      </c>
      <c r="K15" s="79">
        <v>3</v>
      </c>
      <c r="L15" s="79">
        <v>1</v>
      </c>
      <c r="M15" s="84">
        <f>VLOOKUP(J15,Cabos!$B$13:$F$46,2,0)*K15*L15</f>
        <v>835.19999999999993</v>
      </c>
      <c r="N15" s="85">
        <f>VLOOKUP(J15,Cabos!$B$13:$F$46,3,0)/K15*G15</f>
        <v>0.2156058333333333</v>
      </c>
      <c r="O15" s="85">
        <f>VLOOKUP(J15,Cabos!$B$13:$F$46,4,0)/K15*G15</f>
        <v>0.22500000000000003</v>
      </c>
      <c r="P15" s="85">
        <f>1/VLOOKUP(J15,Cabos!$B$13:$F$46,5,0) * K15 * G15</f>
        <v>2.204909598706453E-3</v>
      </c>
      <c r="Q15" t="str">
        <f t="shared" si="11"/>
        <v>11,0312705447808-4,43214731616036i</v>
      </c>
      <c r="R15" t="str">
        <f t="shared" si="12"/>
        <v>0,00977248416028301+0,0243229543101148i</v>
      </c>
      <c r="S15" t="str">
        <f t="shared" si="13"/>
        <v>0,215570179901042+0,224998478124323i</v>
      </c>
      <c r="T15" t="str">
        <f t="shared" si="14"/>
        <v>4,36791246508538E-08+0,00110250037728546i</v>
      </c>
      <c r="U15" s="80">
        <f t="shared" si="15"/>
        <v>243.23823272228924</v>
      </c>
      <c r="V15" s="81" t="str">
        <f t="shared" si="16"/>
        <v>7967,43371481684</v>
      </c>
      <c r="W15" s="81" t="str">
        <f t="shared" si="17"/>
        <v>209,184880141169-124,123018728145i</v>
      </c>
      <c r="X15" s="81" t="str">
        <f t="shared" si="18"/>
        <v>71,0451787454069+22,2027262351142i</v>
      </c>
      <c r="Y15" s="81" t="str">
        <f t="shared" si="19"/>
        <v>8038,47889356225+22,2027262351142i</v>
      </c>
      <c r="Z15" s="81" t="str">
        <f t="shared" si="20"/>
        <v>209,16110075137-106,476493068814i</v>
      </c>
      <c r="AA15" s="83">
        <f t="shared" si="21"/>
        <v>1.0089207948021879</v>
      </c>
      <c r="AB15" s="83"/>
      <c r="AC15" s="83">
        <f t="shared" si="22"/>
        <v>0.28101441258996268</v>
      </c>
      <c r="AD15" s="83"/>
      <c r="AE15" s="88">
        <f t="shared" si="23"/>
        <v>5.0369190759541507</v>
      </c>
      <c r="AF15" s="83">
        <f t="shared" si="24"/>
        <v>1.0000000000000004</v>
      </c>
      <c r="AG15" s="83">
        <f t="shared" si="25"/>
        <v>0.29123351619048077</v>
      </c>
      <c r="AH15" s="88">
        <f t="shared" si="6"/>
        <v>5</v>
      </c>
      <c r="AI15" s="89">
        <f t="shared" si="7"/>
        <v>7.383815190830134E-3</v>
      </c>
    </row>
    <row r="16" spans="1:35" hidden="1" x14ac:dyDescent="0.25">
      <c r="D16">
        <v>20</v>
      </c>
      <c r="E16">
        <v>0.86</v>
      </c>
      <c r="F16">
        <f t="shared" si="10"/>
        <v>23.255813953488371</v>
      </c>
      <c r="G16" s="78">
        <v>3</v>
      </c>
      <c r="H16">
        <v>13.8</v>
      </c>
      <c r="I16" s="82">
        <v>1</v>
      </c>
      <c r="J16" t="s">
        <v>119</v>
      </c>
      <c r="K16" s="79">
        <v>3</v>
      </c>
      <c r="L16" s="79">
        <v>1</v>
      </c>
      <c r="M16" s="84">
        <f>VLOOKUP(J16,Cabos!$B$13:$F$46,2,0)*K16*L16</f>
        <v>835.19999999999993</v>
      </c>
      <c r="N16" s="85">
        <f>VLOOKUP(J16,Cabos!$B$13:$F$46,3,0)/K16*G16</f>
        <v>0.12936349999999999</v>
      </c>
      <c r="O16" s="85">
        <f>VLOOKUP(J16,Cabos!$B$13:$F$46,4,0)/K16*G16</f>
        <v>0.13500000000000001</v>
      </c>
      <c r="P16" s="85">
        <f>1/VLOOKUP(J16,Cabos!$B$13:$F$46,5,0) * K16 * G16</f>
        <v>1.322945759223872E-3</v>
      </c>
      <c r="Q16" t="str">
        <f t="shared" si="11"/>
        <v>11,0312705447808-4,43214731616037i</v>
      </c>
      <c r="R16" t="str">
        <f t="shared" si="12"/>
        <v>0,00586349049616982+0,0145937725860689i</v>
      </c>
      <c r="S16" t="str">
        <f t="shared" si="13"/>
        <v>0,129355798731366+0,134999671386792i</v>
      </c>
      <c r="T16" t="str">
        <f t="shared" si="14"/>
        <v>9,43409259081217E-09+0,000661482724418981i</v>
      </c>
      <c r="U16" s="80">
        <f t="shared" si="15"/>
        <v>972.95293088915696</v>
      </c>
      <c r="V16" s="81" t="str">
        <f t="shared" si="16"/>
        <v>7967,43371481684</v>
      </c>
      <c r="W16" s="81" t="str">
        <f t="shared" si="17"/>
        <v>836,739520564675-496,49207491258i</v>
      </c>
      <c r="X16" s="81" t="str">
        <f t="shared" si="18"/>
        <v>174,551894259438+49,4171879679457i</v>
      </c>
      <c r="Y16" s="81" t="str">
        <f t="shared" si="19"/>
        <v>8141,98560907628+49,4171879679457i</v>
      </c>
      <c r="Z16" s="81" t="str">
        <f t="shared" si="20"/>
        <v>836,706983926297-485,835971863196i</v>
      </c>
      <c r="AA16" s="83">
        <f t="shared" si="21"/>
        <v>1.0219269925726497</v>
      </c>
      <c r="AB16" s="83"/>
      <c r="AC16" s="83">
        <f t="shared" si="22"/>
        <v>1.1584416287857489</v>
      </c>
      <c r="AD16" s="83"/>
      <c r="AE16" s="88">
        <f t="shared" si="23"/>
        <v>20.365342723795109</v>
      </c>
      <c r="AF16" s="83">
        <f t="shared" si="24"/>
        <v>1.0000000000000004</v>
      </c>
      <c r="AG16" s="83">
        <f t="shared" si="25"/>
        <v>1.164934064761922</v>
      </c>
      <c r="AH16" s="88">
        <f t="shared" si="6"/>
        <v>20</v>
      </c>
      <c r="AI16" s="89">
        <f t="shared" si="7"/>
        <v>1.8267136189755461E-2</v>
      </c>
    </row>
    <row r="17" spans="2:35" hidden="1" x14ac:dyDescent="0.25">
      <c r="D17">
        <v>10</v>
      </c>
      <c r="E17">
        <v>0.86</v>
      </c>
      <c r="F17">
        <f t="shared" si="10"/>
        <v>11.627906976744185</v>
      </c>
      <c r="G17" s="78">
        <v>3</v>
      </c>
      <c r="H17">
        <v>13.8</v>
      </c>
      <c r="I17" s="82">
        <v>1</v>
      </c>
      <c r="J17" t="s">
        <v>119</v>
      </c>
      <c r="K17" s="79">
        <v>3</v>
      </c>
      <c r="L17" s="79">
        <v>1</v>
      </c>
      <c r="M17" s="84">
        <f>VLOOKUP(J17,Cabos!$B$13:$F$46,2,0)*K17*L17</f>
        <v>835.19999999999993</v>
      </c>
      <c r="N17" s="85">
        <f>VLOOKUP(J17,Cabos!$B$13:$F$46,3,0)/K17*G17</f>
        <v>0.12936349999999999</v>
      </c>
      <c r="O17" s="85">
        <f>VLOOKUP(J17,Cabos!$B$13:$F$46,4,0)/K17*G17</f>
        <v>0.13500000000000001</v>
      </c>
      <c r="P17" s="85">
        <f>1/VLOOKUP(J17,Cabos!$B$13:$F$46,5,0) * K17 * G17</f>
        <v>1.322945759223872E-3</v>
      </c>
      <c r="Q17" t="str">
        <f t="shared" si="11"/>
        <v>11,0312705447808-4,43214731616037i</v>
      </c>
      <c r="R17" t="str">
        <f t="shared" si="12"/>
        <v>0,00586349049616982+0,0145937725860689i</v>
      </c>
      <c r="S17" t="str">
        <f t="shared" si="13"/>
        <v>0,129355798731366+0,134999671386792i</v>
      </c>
      <c r="T17" t="str">
        <f t="shared" si="14"/>
        <v>9,43409259081217E-09+0,000661482724418981i</v>
      </c>
      <c r="U17" s="80">
        <f t="shared" si="15"/>
        <v>486.47646544457848</v>
      </c>
      <c r="V17" s="81" t="str">
        <f t="shared" si="16"/>
        <v>7967,43371481684</v>
      </c>
      <c r="W17" s="81" t="str">
        <f t="shared" si="17"/>
        <v>418,369760282337-248,24603745629i</v>
      </c>
      <c r="X17" s="81" t="str">
        <f t="shared" si="18"/>
        <v>86,9202062733939+25,0494722687141i</v>
      </c>
      <c r="Y17" s="81" t="str">
        <f t="shared" si="19"/>
        <v>8054,35392109023+25,0494722687141i</v>
      </c>
      <c r="Z17" s="81" t="str">
        <f t="shared" si="20"/>
        <v>418,353341640203-237,647901484508i</v>
      </c>
      <c r="AA17" s="83">
        <f t="shared" si="21"/>
        <v>1.0109143247239036</v>
      </c>
      <c r="AB17" s="83"/>
      <c r="AC17" s="83">
        <f t="shared" si="22"/>
        <v>0.57607801415636684</v>
      </c>
      <c r="AD17" s="83"/>
      <c r="AE17" s="88">
        <f t="shared" si="23"/>
        <v>10.090838769369061</v>
      </c>
      <c r="AF17" s="83">
        <f t="shared" si="24"/>
        <v>1.0000000000000004</v>
      </c>
      <c r="AG17" s="83">
        <f t="shared" si="25"/>
        <v>0.58246703238096043</v>
      </c>
      <c r="AH17" s="88">
        <f t="shared" si="6"/>
        <v>10</v>
      </c>
      <c r="AI17" s="89">
        <f t="shared" si="7"/>
        <v>9.083876936906066E-3</v>
      </c>
    </row>
    <row r="18" spans="2:35" hidden="1" x14ac:dyDescent="0.25">
      <c r="D18">
        <v>0</v>
      </c>
      <c r="E18">
        <v>0.86</v>
      </c>
      <c r="F18">
        <f t="shared" si="10"/>
        <v>0</v>
      </c>
      <c r="G18" s="78">
        <v>3</v>
      </c>
      <c r="H18">
        <v>13.8</v>
      </c>
      <c r="I18" s="82">
        <v>1</v>
      </c>
      <c r="J18" t="s">
        <v>119</v>
      </c>
      <c r="K18" s="79">
        <v>3</v>
      </c>
      <c r="L18" s="79">
        <v>1</v>
      </c>
      <c r="M18" s="84">
        <f>VLOOKUP(J18,Cabos!$B$13:$F$46,2,0)*K18*L18</f>
        <v>835.19999999999993</v>
      </c>
      <c r="N18" s="85">
        <f>VLOOKUP(J18,Cabos!$B$13:$F$46,3,0)/K18*G18</f>
        <v>0.12936349999999999</v>
      </c>
      <c r="O18" s="85">
        <f>VLOOKUP(J18,Cabos!$B$13:$F$46,4,0)/K18*G18</f>
        <v>0.13500000000000001</v>
      </c>
      <c r="P18" s="85">
        <f>1/VLOOKUP(J18,Cabos!$B$13:$F$46,5,0) * K18 * G18</f>
        <v>1.322945759223872E-3</v>
      </c>
      <c r="Q18" t="str">
        <f t="shared" si="11"/>
        <v>11,0312705447808-4,43214731616037i</v>
      </c>
      <c r="R18" t="str">
        <f t="shared" si="12"/>
        <v>0,00586349049616982+0,0145937725860689i</v>
      </c>
      <c r="S18" t="str">
        <f t="shared" si="13"/>
        <v>0,129355798731366+0,134999671386792i</v>
      </c>
      <c r="T18" t="str">
        <f t="shared" si="14"/>
        <v>9,43409259081217E-09+0,000661482724418981i</v>
      </c>
      <c r="U18" s="80">
        <f t="shared" si="15"/>
        <v>0</v>
      </c>
      <c r="V18" s="81" t="str">
        <f t="shared" si="16"/>
        <v>7967,43371481684</v>
      </c>
      <c r="W18" s="81" t="str">
        <f t="shared" si="17"/>
        <v>0</v>
      </c>
      <c r="X18" s="81" t="str">
        <f t="shared" si="18"/>
        <v>-0,711481712650206+0,68175656948271i</v>
      </c>
      <c r="Y18" s="81" t="str">
        <f t="shared" si="19"/>
        <v>7966,72223310419+0,68175656948271i</v>
      </c>
      <c r="Z18" s="81" t="str">
        <f t="shared" si="20"/>
        <v>-0,000300645890403666+10,5401688941795i</v>
      </c>
      <c r="AA18" s="83">
        <f t="shared" si="21"/>
        <v>0.99991070493119005</v>
      </c>
      <c r="AB18" s="83"/>
      <c r="AC18" s="83">
        <f t="shared" si="22"/>
        <v>1.2619934025942631E-2</v>
      </c>
      <c r="AD18" s="83"/>
      <c r="AE18" s="88">
        <f t="shared" si="23"/>
        <v>1.4372001263081671E-5</v>
      </c>
      <c r="AF18" s="83">
        <f t="shared" si="24"/>
        <v>1.0000000000000004</v>
      </c>
      <c r="AG18" s="83">
        <f t="shared" si="25"/>
        <v>0</v>
      </c>
      <c r="AH18" s="88">
        <f t="shared" si="6"/>
        <v>0</v>
      </c>
      <c r="AI18" s="89">
        <f t="shared" si="7"/>
        <v>0</v>
      </c>
    </row>
    <row r="19" spans="2:35" hidden="1" x14ac:dyDescent="0.25">
      <c r="F19" t="e">
        <f t="shared" si="10"/>
        <v>#DIV/0!</v>
      </c>
      <c r="G19" s="97"/>
      <c r="I19" s="82"/>
      <c r="M19" s="84"/>
      <c r="N19" s="85"/>
      <c r="O19" s="85"/>
      <c r="P19" s="85"/>
      <c r="U19" s="80"/>
      <c r="V19" s="81"/>
      <c r="W19" s="81"/>
      <c r="X19" s="81"/>
      <c r="Y19" s="81"/>
      <c r="Z19" s="81"/>
      <c r="AA19" s="83"/>
      <c r="AB19" s="83"/>
      <c r="AC19" s="83"/>
      <c r="AD19" s="83"/>
      <c r="AE19" s="88"/>
      <c r="AF19" s="83"/>
      <c r="AG19" s="83"/>
      <c r="AH19" s="88"/>
      <c r="AI19" s="89"/>
    </row>
    <row r="20" spans="2:35" hidden="1" x14ac:dyDescent="0.25">
      <c r="D20">
        <v>80</v>
      </c>
      <c r="E20">
        <v>0.69</v>
      </c>
      <c r="F20">
        <f t="shared" si="10"/>
        <v>115.94202898550725</v>
      </c>
      <c r="G20" s="78">
        <v>98</v>
      </c>
      <c r="H20">
        <v>132</v>
      </c>
      <c r="I20" s="82">
        <v>1</v>
      </c>
      <c r="J20" t="s">
        <v>127</v>
      </c>
      <c r="K20" s="79">
        <v>1</v>
      </c>
      <c r="L20" s="79">
        <v>1</v>
      </c>
      <c r="M20" s="84">
        <f>VLOOKUP(J20,Cabos!$B$13:$F$46,2,0)*K20*L20</f>
        <v>395.125</v>
      </c>
      <c r="N20" s="85">
        <f>VLOOKUP(J20,Cabos!$B$13:$F$46,3,0)/K20*G20</f>
        <v>6.3781829999999999</v>
      </c>
      <c r="O20" s="98">
        <f>VLOOKUP(J20,Cabos!$B$13:$F$46,4,0)/K20*G20 * 50 / 60</f>
        <v>9.5550000000000015</v>
      </c>
      <c r="P20" s="98">
        <f>1/VLOOKUP(J20,Cabos!$B$13:$F$46,5,0) * K20 * G20 * 50 / 60 * 2.3 / 3</f>
        <v>9.4751904706655843E-3</v>
      </c>
      <c r="Q20" t="str">
        <f t="shared" si="11"/>
        <v>33,3232342106468-10,1002444652406i</v>
      </c>
      <c r="R20" t="str">
        <f t="shared" si="12"/>
        <v>0,0957017401084401+0,315743991244478i</v>
      </c>
      <c r="S20" t="str">
        <f t="shared" si="13"/>
        <v>6,1868099087941+9,47484829972159i</v>
      </c>
      <c r="T20" t="str">
        <f t="shared" si="14"/>
        <v>0,0000242966379770772+0,00477351696423625i</v>
      </c>
      <c r="U20" s="80">
        <f t="shared" si="15"/>
        <v>507.11486094828797</v>
      </c>
      <c r="V20" s="81" t="str">
        <f t="shared" si="16"/>
        <v>76210,2355330306</v>
      </c>
      <c r="W20" s="81" t="str">
        <f t="shared" si="17"/>
        <v>349,909254054319-367,054486584419i</v>
      </c>
      <c r="X20" s="81" t="str">
        <f t="shared" si="18"/>
        <v>2207,20030324088+3312,68974163963i</v>
      </c>
      <c r="Y20" s="81" t="str">
        <f t="shared" si="19"/>
        <v>78417,4358362715+3312,68974163963i</v>
      </c>
      <c r="Z20" s="81" t="str">
        <f t="shared" si="20"/>
        <v>337,853005927849+371,143813060676i</v>
      </c>
      <c r="AA20" s="83">
        <f t="shared" si="21"/>
        <v>1.0298797166637839</v>
      </c>
      <c r="AB20" s="83"/>
      <c r="AC20" s="83">
        <f t="shared" si="22"/>
        <v>1.2702026345130351</v>
      </c>
      <c r="AD20" s="83"/>
      <c r="AE20" s="88">
        <f t="shared" si="23"/>
        <v>83.169152149913103</v>
      </c>
      <c r="AF20" s="83">
        <f t="shared" si="24"/>
        <v>1</v>
      </c>
      <c r="AG20" s="83">
        <f t="shared" si="25"/>
        <v>1.2834289426087639</v>
      </c>
      <c r="AH20" s="88">
        <f>D20</f>
        <v>80</v>
      </c>
      <c r="AI20" s="89">
        <f>IF(AH20&gt;0, (AE20-AH20)/AH20,0)</f>
        <v>3.9614401873913782E-2</v>
      </c>
    </row>
    <row r="21" spans="2:35" hidden="1" x14ac:dyDescent="0.25">
      <c r="D21">
        <v>60</v>
      </c>
      <c r="E21">
        <v>0.65</v>
      </c>
      <c r="F21">
        <f t="shared" si="10"/>
        <v>92.307692307692307</v>
      </c>
      <c r="G21" s="97">
        <v>98</v>
      </c>
      <c r="H21">
        <v>132</v>
      </c>
      <c r="I21" s="82">
        <v>1</v>
      </c>
      <c r="J21" t="s">
        <v>127</v>
      </c>
      <c r="K21" s="79">
        <v>1</v>
      </c>
      <c r="L21" s="79">
        <v>1</v>
      </c>
      <c r="M21" s="84">
        <f>VLOOKUP(J21,Cabos!$B$13:$F$46,2,0)*K21*L21</f>
        <v>395.125</v>
      </c>
      <c r="N21" s="85">
        <f>VLOOKUP(J21,Cabos!$B$13:$F$46,3,0)/K21*G21</f>
        <v>6.3781829999999999</v>
      </c>
      <c r="O21" s="98">
        <f>VLOOKUP(J21,Cabos!$B$13:$F$46,4,0)/K21*G21 * 50 / 60</f>
        <v>9.5550000000000015</v>
      </c>
      <c r="P21" s="98">
        <f>1/VLOOKUP(J21,Cabos!$B$13:$F$46,5,0) * K21 * G21 * 50 / 60 * 2.3 / 3</f>
        <v>9.4751904706655843E-3</v>
      </c>
      <c r="Q21" t="str">
        <f t="shared" ref="Q21" si="26">IMSQRT(IMDIV(COMPLEX(N21,O21),COMPLEX(0,P21)))</f>
        <v>33,3232342106468-10,1002444652406i</v>
      </c>
      <c r="R21" t="str">
        <f t="shared" ref="R21" si="27">IMSQRT(IMPRODUCT(COMPLEX(N21,O21),COMPLEX(0,P21)))</f>
        <v>0,0957017401084401+0,315743991244478i</v>
      </c>
      <c r="S21" t="str">
        <f t="shared" ref="S21" si="28">IMPRODUCT(Q21,_xlfn.IMSINH(R21))</f>
        <v>6,1868099087941+9,47484829972159i</v>
      </c>
      <c r="T21" t="str">
        <f t="shared" ref="T21" si="29">IMDIV(IMSUB(_xlfn.IMCOSH(R21),COMPLEX(1,0)),IMPRODUCT(Q21,_xlfn.IMSINH(R21)))</f>
        <v>0,0000242966379770772+0,00477351696423625i</v>
      </c>
      <c r="U21" s="80">
        <f t="shared" ref="U21" si="30">D21/E21/H21/SQRT(3)*1000</f>
        <v>403.74144698575225</v>
      </c>
      <c r="V21" s="81" t="str">
        <f t="shared" ref="V21" si="31">COMPLEX(H21*1000/SQRT(3)*I21,0)</f>
        <v>76210,2355330306</v>
      </c>
      <c r="W21" s="81" t="str">
        <f t="shared" ref="W21" si="32">COMPLEX(U21*E21,-U21*SQRT(1-E21*E21))</f>
        <v>262,431940540739-306,816936622102i</v>
      </c>
      <c r="X21" s="81" t="str">
        <f t="shared" ref="X21" si="33">IMPRODUCT(S21,IMSUM(W21,IMPRODUCT(T21,V21)))</f>
        <v>1095,25314536052+2856,53373741962i</v>
      </c>
      <c r="Y21" s="81" t="str">
        <f t="shared" ref="Y21" si="34">IMSUM(V21,X21)</f>
        <v>77305,4886783911+2856,53373741962i</v>
      </c>
      <c r="Z21" s="81" t="str">
        <f t="shared" ref="Z21" si="35">IMSUM(IMPRODUCT(Y21,T21),IMDIV(X21,S21))</f>
        <v>252,526144261207+426,062381344221i</v>
      </c>
      <c r="AA21" s="83">
        <f t="shared" ref="AA21" si="36">IMABS(Y21)/H21/1000*SQRT(3)</f>
        <v>1.015063742654877</v>
      </c>
      <c r="AB21" s="83"/>
      <c r="AC21" s="83">
        <f t="shared" ref="AC21" si="37">IMABS(Z21)/M21</f>
        <v>1.2534673658300455</v>
      </c>
      <c r="AD21" s="83"/>
      <c r="AE21" s="88">
        <f t="shared" ref="AE21" si="38">IMREAL(IMPRODUCT(Y21,IMCONJUGATE(Z21)))*3/1000000</f>
        <v>62.216155658212806</v>
      </c>
      <c r="AF21" s="83">
        <f t="shared" ref="AF21" si="39">IMABS(V21)/H21/1000*SQRT(3)</f>
        <v>1</v>
      </c>
      <c r="AG21" s="83">
        <f t="shared" ref="AG21" si="40">IMABS(W21)/M21</f>
        <v>1.0218068889231311</v>
      </c>
      <c r="AH21" s="88">
        <f>D21</f>
        <v>60</v>
      </c>
      <c r="AI21" s="89">
        <f>IF(AH21&gt;0, (AE21-AH21)/AH21,0)</f>
        <v>3.6935927636880098E-2</v>
      </c>
    </row>
    <row r="22" spans="2:35" hidden="1" x14ac:dyDescent="0.25">
      <c r="D22">
        <v>40</v>
      </c>
      <c r="E22">
        <v>0.56999999999999995</v>
      </c>
      <c r="F22">
        <f t="shared" si="10"/>
        <v>70.175438596491233</v>
      </c>
      <c r="G22" s="97">
        <v>98</v>
      </c>
      <c r="H22">
        <v>132</v>
      </c>
      <c r="I22" s="82">
        <v>1</v>
      </c>
      <c r="J22" t="s">
        <v>127</v>
      </c>
      <c r="K22" s="79">
        <v>1</v>
      </c>
      <c r="L22" s="79">
        <v>1</v>
      </c>
      <c r="M22" s="84">
        <f>VLOOKUP(J22,Cabos!$B$13:$F$46,2,0)*K22*L22</f>
        <v>395.125</v>
      </c>
      <c r="N22" s="85">
        <f>VLOOKUP(J22,Cabos!$B$13:$F$46,3,0)/K22*G22</f>
        <v>6.3781829999999999</v>
      </c>
      <c r="O22" s="98">
        <f>VLOOKUP(J22,Cabos!$B$13:$F$46,4,0)/K22*G22 * 50 / 60</f>
        <v>9.5550000000000015</v>
      </c>
      <c r="P22" s="98">
        <f>1/VLOOKUP(J22,Cabos!$B$13:$F$46,5,0) * K22 * G22 * 50 / 60 * 2.3 / 3</f>
        <v>9.4751904706655843E-3</v>
      </c>
      <c r="Q22" t="str">
        <f t="shared" ref="Q22" si="41">IMSQRT(IMDIV(COMPLEX(N22,O22),COMPLEX(0,P22)))</f>
        <v>33,3232342106468-10,1002444652406i</v>
      </c>
      <c r="R22" t="str">
        <f t="shared" ref="R22" si="42">IMSQRT(IMPRODUCT(COMPLEX(N22,O22),COMPLEX(0,P22)))</f>
        <v>0,0957017401084401+0,315743991244478i</v>
      </c>
      <c r="S22" t="str">
        <f t="shared" ref="S22" si="43">IMPRODUCT(Q22,_xlfn.IMSINH(R22))</f>
        <v>6,1868099087941+9,47484829972159i</v>
      </c>
      <c r="T22" t="str">
        <f t="shared" ref="T22" si="44">IMDIV(IMSUB(_xlfn.IMCOSH(R22),COMPLEX(1,0)),IMPRODUCT(Q22,_xlfn.IMSINH(R22)))</f>
        <v>0,0000242966379770772+0,00477351696423625i</v>
      </c>
      <c r="U22" s="80">
        <f t="shared" ref="U22" si="45">D22/E22/H22/SQRT(3)*1000</f>
        <v>306.93794215291109</v>
      </c>
      <c r="V22" s="81" t="str">
        <f t="shared" ref="V22" si="46">COMPLEX(H22*1000/SQRT(3)*I22,0)</f>
        <v>76210,2355330306</v>
      </c>
      <c r="W22" s="81" t="str">
        <f t="shared" ref="W22" si="47">COMPLEX(U22*E22,-U22*SQRT(1-E22*E22))</f>
        <v>174,954627027159-252,193930963557i</v>
      </c>
      <c r="X22" s="81" t="str">
        <f t="shared" ref="X22" si="48">IMPRODUCT(S22,IMSUM(W22,IMPRODUCT(T22,V22)))</f>
        <v>36,5029430304648+2365,64161486766i</v>
      </c>
      <c r="Y22" s="81" t="str">
        <f t="shared" ref="Y22" si="49">IMSUM(V22,X22)</f>
        <v>76246,7384760611+2365,64161486766i</v>
      </c>
      <c r="Z22" s="81" t="str">
        <f t="shared" ref="Z22" si="50">IMSUM(IMPRODUCT(Y22,T22),IMDIV(X22,S22))</f>
        <v>167,366388551865+475,619497922867i</v>
      </c>
      <c r="AA22" s="83">
        <f t="shared" ref="AA22" si="51">IMABS(Y22)/H22/1000*SQRT(3)</f>
        <v>1.00096040214778</v>
      </c>
      <c r="AB22" s="83"/>
      <c r="AC22" s="83">
        <f t="shared" ref="AC22" si="52">IMABS(Z22)/M22</f>
        <v>1.276071395122728</v>
      </c>
      <c r="AD22" s="83"/>
      <c r="AE22" s="88">
        <f t="shared" ref="AE22" si="53">IMREAL(IMPRODUCT(Y22,IMCONJUGATE(Z22)))*3/1000000</f>
        <v>41.658859604177103</v>
      </c>
      <c r="AF22" s="83">
        <f t="shared" ref="AF22" si="54">IMABS(V22)/H22/1000*SQRT(3)</f>
        <v>1</v>
      </c>
      <c r="AG22" s="83">
        <f t="shared" ref="AG22" si="55">IMABS(W22)/M22</f>
        <v>0.77681225473688287</v>
      </c>
      <c r="AH22" s="88">
        <f>D22</f>
        <v>40</v>
      </c>
      <c r="AI22" s="89">
        <f>IF(AH22&gt;0, (AE22-AH22)/AH22,0)</f>
        <v>4.1471490104427564E-2</v>
      </c>
    </row>
    <row r="23" spans="2:35" hidden="1" x14ac:dyDescent="0.25">
      <c r="D23">
        <v>20</v>
      </c>
      <c r="E23">
        <v>0.3</v>
      </c>
      <c r="F23">
        <f t="shared" si="10"/>
        <v>66.666666666666671</v>
      </c>
      <c r="G23" s="97">
        <v>98</v>
      </c>
      <c r="H23">
        <v>132</v>
      </c>
      <c r="I23" s="82">
        <v>1</v>
      </c>
      <c r="J23" t="s">
        <v>127</v>
      </c>
      <c r="K23" s="79">
        <v>1</v>
      </c>
      <c r="L23" s="79">
        <v>1</v>
      </c>
      <c r="M23" s="84">
        <f>VLOOKUP(J23,Cabos!$B$13:$F$46,2,0)*K23*L23</f>
        <v>395.125</v>
      </c>
      <c r="N23" s="85">
        <f>VLOOKUP(J23,Cabos!$B$13:$F$46,3,0)/K23*G23</f>
        <v>6.3781829999999999</v>
      </c>
      <c r="O23" s="98">
        <f>VLOOKUP(J23,Cabos!$B$13:$F$46,4,0)/K23*G23 * 50 / 60</f>
        <v>9.5550000000000015</v>
      </c>
      <c r="P23" s="98">
        <f>1/VLOOKUP(J23,Cabos!$B$13:$F$46,5,0) * K23 * G23 * 50 / 60 * 2.3 / 3</f>
        <v>9.4751904706655843E-3</v>
      </c>
      <c r="Q23" t="str">
        <f t="shared" ref="Q23" si="56">IMSQRT(IMDIV(COMPLEX(N23,O23),COMPLEX(0,P23)))</f>
        <v>33,3232342106468-10,1002444652406i</v>
      </c>
      <c r="R23" t="str">
        <f t="shared" ref="R23" si="57">IMSQRT(IMPRODUCT(COMPLEX(N23,O23),COMPLEX(0,P23)))</f>
        <v>0,0957017401084401+0,315743991244478i</v>
      </c>
      <c r="S23" t="str">
        <f t="shared" ref="S23" si="58">IMPRODUCT(Q23,_xlfn.IMSINH(R23))</f>
        <v>6,1868099087941+9,47484829972159i</v>
      </c>
      <c r="T23" t="str">
        <f t="shared" ref="T23" si="59">IMDIV(IMSUB(_xlfn.IMCOSH(R23),COMPLEX(1,0)),IMPRODUCT(Q23,_xlfn.IMSINH(R23)))</f>
        <v>0,0000242966379770772+0,00477351696423625i</v>
      </c>
      <c r="U23" s="80">
        <f t="shared" ref="U23" si="60">D23/E23/H23/SQRT(3)*1000</f>
        <v>291.59104504526556</v>
      </c>
      <c r="V23" s="81" t="str">
        <f t="shared" ref="V23" si="61">COMPLEX(H23*1000/SQRT(3)*I23,0)</f>
        <v>76210,2355330306</v>
      </c>
      <c r="W23" s="81" t="str">
        <f t="shared" ref="W23" si="62">COMPLEX(U23*E23,-U23*SQRT(1-E23*E23))</f>
        <v>87,4773135135797-278,160128650813i</v>
      </c>
      <c r="X23" s="81" t="str">
        <f t="shared" ref="X23" si="63">IMPRODUCT(S23,IMSUM(W23,IMPRODUCT(T23,V23)))</f>
        <v>-258,676783002704+1376,15941051409i</v>
      </c>
      <c r="Y23" s="81" t="str">
        <f t="shared" ref="Y23" si="64">IMSUM(V23,X23)</f>
        <v>75951,5587500279+1376,15941051409i</v>
      </c>
      <c r="Z23" s="81" t="str">
        <f t="shared" ref="Z23" si="65">IMSUM(IMPRODUCT(Y23,T23),IMDIV(X23,S23))</f>
        <v>84,6052132516352+448,220213714989i</v>
      </c>
      <c r="AA23" s="83">
        <f t="shared" ref="AA23" si="66">IMABS(Y23)/H23/1000*SQRT(3)</f>
        <v>0.99676932434969445</v>
      </c>
      <c r="AB23" s="83"/>
      <c r="AC23" s="83">
        <f t="shared" ref="AC23" si="67">IMABS(Z23)/M23</f>
        <v>1.1544075653076864</v>
      </c>
      <c r="AD23" s="83"/>
      <c r="AE23" s="88">
        <f t="shared" ref="AE23" si="68">IMREAL(IMPRODUCT(Y23,IMCONJUGATE(Z23)))*3/1000000</f>
        <v>21.128160869780189</v>
      </c>
      <c r="AF23" s="83">
        <f t="shared" ref="AF23" si="69">IMABS(V23)/H23/1000*SQRT(3)</f>
        <v>1</v>
      </c>
      <c r="AG23" s="83">
        <f t="shared" ref="AG23" si="70">IMABS(W23)/M23</f>
        <v>0.73797164200003884</v>
      </c>
      <c r="AH23" s="88">
        <f>D23</f>
        <v>20</v>
      </c>
      <c r="AI23" s="89">
        <f>IF(AH23&gt;0, (AE23-AH23)/AH23,0)</f>
        <v>5.6408043489009428E-2</v>
      </c>
    </row>
    <row r="24" spans="2:35" x14ac:dyDescent="0.25">
      <c r="M24" s="84"/>
      <c r="N24" s="81"/>
      <c r="O24" s="81"/>
      <c r="P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</row>
    <row r="25" spans="2:35" x14ac:dyDescent="0.25">
      <c r="M25" s="84"/>
      <c r="N25" s="81"/>
      <c r="O25" s="81"/>
      <c r="P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</row>
    <row r="26" spans="2:35" ht="15.75" thickBot="1" x14ac:dyDescent="0.3">
      <c r="M26" s="84"/>
      <c r="N26" s="81"/>
      <c r="O26" s="81"/>
      <c r="P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</row>
    <row r="27" spans="2:35" ht="15.75" thickBot="1" x14ac:dyDescent="0.3">
      <c r="B27" s="130" t="s">
        <v>131</v>
      </c>
      <c r="C27" s="131" t="s">
        <v>132</v>
      </c>
      <c r="D27" s="131" t="s">
        <v>129</v>
      </c>
      <c r="E27" s="131" t="s">
        <v>134</v>
      </c>
      <c r="F27" s="131" t="s">
        <v>2</v>
      </c>
      <c r="G27" s="131" t="s">
        <v>130</v>
      </c>
      <c r="H27" s="131" t="s">
        <v>135</v>
      </c>
      <c r="I27" s="132" t="s">
        <v>136</v>
      </c>
      <c r="M27" s="84"/>
      <c r="N27" s="81"/>
      <c r="O27" s="81"/>
      <c r="P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</row>
    <row r="28" spans="2:35" ht="15.75" thickTop="1" x14ac:dyDescent="0.25">
      <c r="B28" s="206">
        <v>183</v>
      </c>
      <c r="C28" s="203">
        <v>5.45</v>
      </c>
      <c r="D28" s="126">
        <v>1.73</v>
      </c>
      <c r="E28" s="127">
        <v>1367</v>
      </c>
      <c r="F28" s="127">
        <v>10.72</v>
      </c>
      <c r="G28" s="128">
        <v>0.99999999999999567</v>
      </c>
      <c r="H28" s="128">
        <v>1.08099098320415</v>
      </c>
      <c r="I28" s="129">
        <f>C28*H28</f>
        <v>5.8914008584626174</v>
      </c>
      <c r="M28" s="84"/>
      <c r="N28" s="81"/>
      <c r="O28" s="81"/>
      <c r="P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</row>
    <row r="29" spans="2:35" x14ac:dyDescent="0.25">
      <c r="B29" s="200"/>
      <c r="C29" s="201"/>
      <c r="D29" s="113">
        <v>1.73</v>
      </c>
      <c r="E29" s="109">
        <v>1567</v>
      </c>
      <c r="F29" s="109">
        <v>4.125</v>
      </c>
      <c r="G29" s="114">
        <v>0.99999999999997069</v>
      </c>
      <c r="H29" s="114">
        <v>1.0312696988214605</v>
      </c>
      <c r="I29" s="117">
        <f>C28*H29</f>
        <v>5.6204198585769598</v>
      </c>
      <c r="M29" s="84"/>
      <c r="N29" s="81"/>
      <c r="O29" s="81"/>
      <c r="P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</row>
    <row r="30" spans="2:35" x14ac:dyDescent="0.25">
      <c r="B30" s="200"/>
      <c r="C30" s="201">
        <v>6</v>
      </c>
      <c r="D30" s="113">
        <v>1.9052558883257658</v>
      </c>
      <c r="E30" s="109">
        <v>1505.1444868080202</v>
      </c>
      <c r="F30" s="109">
        <v>10.72</v>
      </c>
      <c r="G30" s="114">
        <v>0.99999999999999656</v>
      </c>
      <c r="H30" s="114">
        <v>1.0747244173422315</v>
      </c>
      <c r="I30" s="117">
        <f>C30*H30</f>
        <v>6.4483465040533883</v>
      </c>
      <c r="M30" s="84"/>
      <c r="N30" s="81"/>
      <c r="O30" s="81"/>
      <c r="P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</row>
    <row r="31" spans="2:35" x14ac:dyDescent="0.25">
      <c r="B31" s="200"/>
      <c r="C31" s="201"/>
      <c r="D31" s="113">
        <v>1.9052558883257678</v>
      </c>
      <c r="E31" s="109">
        <v>1505.1444868079921</v>
      </c>
      <c r="F31" s="109">
        <v>4.125</v>
      </c>
      <c r="G31" s="114">
        <v>1.0000000000000016</v>
      </c>
      <c r="H31" s="114">
        <v>1.0286099689099824</v>
      </c>
      <c r="I31" s="117">
        <f>C30*H31</f>
        <v>6.1716598134598941</v>
      </c>
      <c r="M31" s="84"/>
      <c r="N31" s="81"/>
      <c r="O31" s="81"/>
      <c r="P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</row>
    <row r="32" spans="2:35" x14ac:dyDescent="0.25">
      <c r="B32" s="200"/>
      <c r="C32" s="201">
        <v>4.8</v>
      </c>
      <c r="D32" s="113">
        <v>1.5242047106606096</v>
      </c>
      <c r="E32" s="109">
        <v>1204.115589446423</v>
      </c>
      <c r="F32" s="109">
        <v>10.72</v>
      </c>
      <c r="G32" s="114">
        <v>0.99999999999999656</v>
      </c>
      <c r="H32" s="114">
        <v>1.092205705730551</v>
      </c>
      <c r="I32" s="117">
        <f>C32*H32</f>
        <v>5.2425873875066449</v>
      </c>
      <c r="M32" s="84"/>
      <c r="N32" s="81"/>
      <c r="O32" s="81"/>
      <c r="P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</row>
    <row r="33" spans="2:35" ht="15.75" thickBot="1" x14ac:dyDescent="0.3">
      <c r="B33" s="207"/>
      <c r="C33" s="202"/>
      <c r="D33" s="115">
        <v>1.5242047106606111</v>
      </c>
      <c r="E33" s="110">
        <v>1204.1155894464339</v>
      </c>
      <c r="F33" s="110">
        <v>4.125</v>
      </c>
      <c r="G33" s="116">
        <v>1.0000000000000016</v>
      </c>
      <c r="H33" s="116">
        <v>1.0355423241572552</v>
      </c>
      <c r="I33" s="118">
        <f>C32*H33</f>
        <v>4.9706031559548247</v>
      </c>
      <c r="M33" s="84"/>
      <c r="N33" s="81"/>
      <c r="O33" s="81"/>
      <c r="P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</row>
    <row r="34" spans="2:35" x14ac:dyDescent="0.25">
      <c r="B34" s="208">
        <v>200</v>
      </c>
      <c r="C34" s="204">
        <v>5.45</v>
      </c>
      <c r="D34" s="122">
        <v>1.9154980110914077</v>
      </c>
      <c r="E34" s="123">
        <v>1513.2357225881028</v>
      </c>
      <c r="F34" s="123">
        <v>10.72</v>
      </c>
      <c r="G34" s="124">
        <v>1.0145993507668021</v>
      </c>
      <c r="H34" s="124">
        <v>0.99999999999999989</v>
      </c>
      <c r="I34" s="125">
        <f>C34*H34</f>
        <v>5.4499999999999993</v>
      </c>
      <c r="M34" s="84"/>
      <c r="N34" s="81"/>
      <c r="O34" s="81"/>
      <c r="P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</row>
    <row r="35" spans="2:35" x14ac:dyDescent="0.25">
      <c r="B35" s="200"/>
      <c r="C35" s="201"/>
      <c r="D35" s="113">
        <v>1.8981677649397777</v>
      </c>
      <c r="E35" s="109">
        <v>1499.5448978490317</v>
      </c>
      <c r="F35" s="109">
        <v>4.125</v>
      </c>
      <c r="G35" s="114">
        <v>1.0054198807844474</v>
      </c>
      <c r="H35" s="114">
        <v>0.99999999999999989</v>
      </c>
      <c r="I35" s="117">
        <f>C34*H35</f>
        <v>5.4499999999999993</v>
      </c>
      <c r="M35" s="84"/>
      <c r="N35" s="81"/>
      <c r="O35" s="81"/>
      <c r="P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</row>
    <row r="36" spans="2:35" x14ac:dyDescent="0.25">
      <c r="B36" s="200"/>
      <c r="C36" s="201">
        <v>6</v>
      </c>
      <c r="D36" s="113">
        <v>2.1115769121371346</v>
      </c>
      <c r="E36" s="109">
        <v>1668.13545041214</v>
      </c>
      <c r="F36" s="109">
        <v>10.72</v>
      </c>
      <c r="G36" s="114">
        <v>0.99999999999999656</v>
      </c>
      <c r="H36" s="114">
        <v>1.0802388801212639</v>
      </c>
      <c r="I36" s="117">
        <f>C36*H36</f>
        <v>6.4814332807275834</v>
      </c>
      <c r="M36" s="84"/>
      <c r="N36" s="81"/>
      <c r="O36" s="81"/>
      <c r="P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</row>
    <row r="37" spans="2:35" x14ac:dyDescent="0.25">
      <c r="B37" s="200"/>
      <c r="C37" s="201"/>
      <c r="D37" s="113">
        <v>2.0908214771356883</v>
      </c>
      <c r="E37" s="109">
        <v>1651.7389570937614</v>
      </c>
      <c r="F37" s="109">
        <v>4.125</v>
      </c>
      <c r="G37" s="114">
        <v>1.0000000000000016</v>
      </c>
      <c r="H37" s="114">
        <v>1.0309829984511443</v>
      </c>
      <c r="I37" s="117">
        <f>C36*H37</f>
        <v>6.1858979907068656</v>
      </c>
      <c r="M37" s="84"/>
      <c r="N37" s="81"/>
      <c r="O37" s="81"/>
      <c r="P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</row>
    <row r="38" spans="2:35" x14ac:dyDescent="0.25">
      <c r="B38" s="200"/>
      <c r="C38" s="201">
        <v>4.8</v>
      </c>
      <c r="D38" s="113">
        <v>1.6627687752661051</v>
      </c>
      <c r="E38" s="109">
        <v>1330.6832571517157</v>
      </c>
      <c r="F38" s="109">
        <v>10.72</v>
      </c>
      <c r="G38" s="114">
        <v>0.99999999999999656</v>
      </c>
      <c r="H38" s="114">
        <v>1.1007682215188654</v>
      </c>
      <c r="I38" s="117">
        <f>C38*H38</f>
        <v>5.2836874632905539</v>
      </c>
      <c r="M38" s="84"/>
      <c r="N38" s="81"/>
      <c r="O38" s="81"/>
      <c r="P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</row>
    <row r="39" spans="2:35" ht="15.75" thickBot="1" x14ac:dyDescent="0.3">
      <c r="B39" s="207"/>
      <c r="C39" s="202"/>
      <c r="D39" s="115">
        <v>1.662768775266166</v>
      </c>
      <c r="E39" s="110">
        <v>1319.8824819404094</v>
      </c>
      <c r="F39" s="110">
        <v>4.125</v>
      </c>
      <c r="G39" s="116">
        <v>1.0000000000000016</v>
      </c>
      <c r="H39" s="116">
        <v>1.0388015595846942</v>
      </c>
      <c r="I39" s="118">
        <f>C38*H39</f>
        <v>4.9862474860065324</v>
      </c>
      <c r="M39" s="84"/>
      <c r="N39" s="81"/>
      <c r="O39" s="81"/>
      <c r="P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</row>
    <row r="40" spans="2:35" x14ac:dyDescent="0.25">
      <c r="B40" s="209">
        <v>325</v>
      </c>
      <c r="C40" s="205">
        <v>5.45</v>
      </c>
      <c r="D40" s="119">
        <v>2.1295788562356344</v>
      </c>
      <c r="E40" s="108">
        <v>1682.3587289907634</v>
      </c>
      <c r="F40" s="108">
        <v>10.72</v>
      </c>
      <c r="G40" s="120">
        <v>0.6943635026208097</v>
      </c>
      <c r="H40" s="120">
        <v>1.1000960213591073</v>
      </c>
      <c r="I40" s="121">
        <f>C40*G40</f>
        <v>3.7842810892834131</v>
      </c>
      <c r="M40" s="84"/>
      <c r="N40" s="81"/>
      <c r="O40" s="81"/>
      <c r="P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</row>
    <row r="41" spans="2:35" x14ac:dyDescent="0.25">
      <c r="B41" s="200"/>
      <c r="C41" s="201"/>
      <c r="D41" s="113">
        <v>3.0669510252162477</v>
      </c>
      <c r="E41" s="109">
        <v>2422.8789713757433</v>
      </c>
      <c r="F41" s="109">
        <v>4.125</v>
      </c>
      <c r="G41" s="114">
        <v>0.99999999999999944</v>
      </c>
      <c r="H41" s="114">
        <v>1.0556820399888478</v>
      </c>
      <c r="I41" s="117">
        <f>C40*G41</f>
        <v>5.4499999999999975</v>
      </c>
      <c r="M41" s="84"/>
      <c r="N41" s="81"/>
      <c r="O41" s="81"/>
      <c r="P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</row>
    <row r="42" spans="2:35" x14ac:dyDescent="0.25">
      <c r="B42" s="200"/>
      <c r="C42" s="201">
        <v>6</v>
      </c>
      <c r="D42" s="113">
        <v>2.5796719135730872</v>
      </c>
      <c r="E42" s="109">
        <v>2694.8915124593213</v>
      </c>
      <c r="F42" s="109">
        <v>10.72</v>
      </c>
      <c r="G42" s="114">
        <v>0.76403037764269555</v>
      </c>
      <c r="H42" s="114">
        <v>1.1000398874571342</v>
      </c>
      <c r="I42" s="117">
        <f>C42*H42</f>
        <v>6.6002393247428053</v>
      </c>
      <c r="M42" s="84"/>
      <c r="N42" s="81"/>
      <c r="O42" s="81"/>
      <c r="P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</row>
    <row r="43" spans="2:35" x14ac:dyDescent="0.25">
      <c r="B43" s="200"/>
      <c r="C43" s="201"/>
      <c r="D43" s="113">
        <v>3.3764598442747515</v>
      </c>
      <c r="E43" s="109">
        <v>2677.3515799434945</v>
      </c>
      <c r="F43" s="109">
        <v>4.125</v>
      </c>
      <c r="G43" s="114">
        <v>1.0000000000000011</v>
      </c>
      <c r="H43" s="114">
        <v>1.0505365529371218</v>
      </c>
      <c r="I43" s="117">
        <f>C42*H43</f>
        <v>6.3032193176227302</v>
      </c>
      <c r="M43" s="84"/>
      <c r="N43" s="81"/>
      <c r="O43" s="81"/>
      <c r="P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</row>
    <row r="44" spans="2:35" x14ac:dyDescent="0.25">
      <c r="B44" s="200"/>
      <c r="C44" s="201">
        <v>4.8</v>
      </c>
      <c r="D44" s="113">
        <v>1.6507492392695329</v>
      </c>
      <c r="E44" s="109">
        <v>2152.0223083784285</v>
      </c>
      <c r="F44" s="109">
        <v>10.72</v>
      </c>
      <c r="G44" s="114">
        <v>0.61112426750335647</v>
      </c>
      <c r="H44" s="114">
        <v>1.1000249994979483</v>
      </c>
      <c r="I44" s="117">
        <f>C44*H44</f>
        <v>5.2801199975901518</v>
      </c>
      <c r="M44" s="84"/>
      <c r="N44" s="81"/>
      <c r="O44" s="81"/>
      <c r="P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</row>
    <row r="45" spans="2:35" ht="15.75" thickBot="1" x14ac:dyDescent="0.3">
      <c r="B45" s="207"/>
      <c r="C45" s="202"/>
      <c r="D45" s="115">
        <v>2.7011678754198196</v>
      </c>
      <c r="E45" s="110">
        <v>2140.3626996343737</v>
      </c>
      <c r="F45" s="110">
        <v>4.125</v>
      </c>
      <c r="G45" s="116">
        <v>1.0000000000000011</v>
      </c>
      <c r="H45" s="116">
        <v>1.0632924717083354</v>
      </c>
      <c r="I45" s="118">
        <f>C44*H45</f>
        <v>5.1038038642000094</v>
      </c>
      <c r="M45" s="84"/>
      <c r="N45" s="81"/>
      <c r="O45" s="81"/>
      <c r="P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</row>
    <row r="46" spans="2:35" x14ac:dyDescent="0.25">
      <c r="M46" s="84"/>
      <c r="N46" s="81"/>
      <c r="O46" s="81"/>
      <c r="P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</row>
    <row r="47" spans="2:35" x14ac:dyDescent="0.25">
      <c r="M47" s="84"/>
      <c r="N47" s="81"/>
      <c r="O47" s="81"/>
      <c r="P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</row>
    <row r="48" spans="2:35" x14ac:dyDescent="0.25">
      <c r="M48" s="84"/>
      <c r="N48" s="81"/>
      <c r="O48" s="81"/>
      <c r="P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</row>
    <row r="49" spans="2:35" x14ac:dyDescent="0.25">
      <c r="M49" s="84"/>
      <c r="N49" s="81"/>
      <c r="O49" s="81"/>
      <c r="P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</row>
    <row r="50" spans="2:35" ht="15.75" thickBot="1" x14ac:dyDescent="0.3">
      <c r="M50" s="84"/>
      <c r="N50" s="81"/>
      <c r="O50" s="81"/>
      <c r="P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</row>
    <row r="51" spans="2:35" ht="15.75" thickBot="1" x14ac:dyDescent="0.3">
      <c r="B51" s="130" t="s">
        <v>131</v>
      </c>
      <c r="C51" s="131" t="s">
        <v>132</v>
      </c>
      <c r="D51" s="131" t="s">
        <v>129</v>
      </c>
      <c r="E51" s="131" t="s">
        <v>134</v>
      </c>
      <c r="F51" s="131" t="s">
        <v>2</v>
      </c>
      <c r="G51" s="131" t="s">
        <v>130</v>
      </c>
      <c r="H51" s="131" t="s">
        <v>135</v>
      </c>
      <c r="I51" s="132" t="s">
        <v>136</v>
      </c>
      <c r="M51" s="84"/>
      <c r="N51" s="81"/>
      <c r="O51" s="81"/>
      <c r="P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</row>
    <row r="52" spans="2:35" ht="15.75" thickTop="1" x14ac:dyDescent="0.25">
      <c r="B52" s="200">
        <v>183</v>
      </c>
      <c r="C52" s="201">
        <v>6</v>
      </c>
      <c r="D52" s="113">
        <v>1.9052558883257658</v>
      </c>
      <c r="E52" s="109">
        <v>1505.1444868080202</v>
      </c>
      <c r="F52" s="109">
        <v>10.72</v>
      </c>
      <c r="G52" s="114">
        <v>0.99999999999999656</v>
      </c>
      <c r="H52" s="114">
        <v>1.0747244173422315</v>
      </c>
      <c r="I52" s="117">
        <f>C52*H52</f>
        <v>6.4483465040533883</v>
      </c>
      <c r="M52" s="84"/>
      <c r="N52" s="81"/>
      <c r="O52" s="81"/>
      <c r="P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</row>
    <row r="53" spans="2:35" x14ac:dyDescent="0.25">
      <c r="B53" s="200"/>
      <c r="C53" s="201"/>
      <c r="D53" s="113">
        <v>1.9052558883257678</v>
      </c>
      <c r="E53" s="109">
        <v>1505.1444868079921</v>
      </c>
      <c r="F53" s="109">
        <v>4.125</v>
      </c>
      <c r="G53" s="114">
        <v>1.0000000000000016</v>
      </c>
      <c r="H53" s="114">
        <v>1.0286099689099824</v>
      </c>
      <c r="I53" s="117">
        <f>C52*H53</f>
        <v>6.1716598134598941</v>
      </c>
      <c r="M53" s="84"/>
      <c r="N53" s="81"/>
      <c r="O53" s="81"/>
      <c r="P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</row>
    <row r="54" spans="2:35" x14ac:dyDescent="0.25">
      <c r="B54" s="200">
        <v>200</v>
      </c>
      <c r="C54" s="201">
        <v>6</v>
      </c>
      <c r="D54" s="113">
        <v>2.1115769121371346</v>
      </c>
      <c r="E54" s="109">
        <v>1668.13545041214</v>
      </c>
      <c r="F54" s="109">
        <v>10.72</v>
      </c>
      <c r="G54" s="114">
        <v>0.99999999999999656</v>
      </c>
      <c r="H54" s="114">
        <v>1.0802388801212639</v>
      </c>
      <c r="I54" s="117">
        <f>C54*H54</f>
        <v>6.4814332807275834</v>
      </c>
      <c r="M54" s="84"/>
      <c r="N54" s="81"/>
      <c r="O54" s="81"/>
      <c r="P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</row>
    <row r="55" spans="2:35" x14ac:dyDescent="0.25">
      <c r="B55" s="200"/>
      <c r="C55" s="201"/>
      <c r="D55" s="113">
        <v>2.0908214771356883</v>
      </c>
      <c r="E55" s="109">
        <v>1651.7389570937614</v>
      </c>
      <c r="F55" s="109">
        <v>4.125</v>
      </c>
      <c r="G55" s="114">
        <v>1.0000000000000016</v>
      </c>
      <c r="H55" s="114">
        <v>1.0309829984511443</v>
      </c>
      <c r="I55" s="117">
        <f>C54*H55</f>
        <v>6.1858979907068656</v>
      </c>
      <c r="M55" s="84"/>
      <c r="N55" s="81"/>
      <c r="O55" s="81"/>
      <c r="P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</row>
    <row r="56" spans="2:35" x14ac:dyDescent="0.25">
      <c r="B56" s="200">
        <v>325</v>
      </c>
      <c r="C56" s="201">
        <v>6</v>
      </c>
      <c r="D56" s="113">
        <v>2.5796719135730872</v>
      </c>
      <c r="E56" s="109">
        <v>2694.8915124593213</v>
      </c>
      <c r="F56" s="109">
        <v>10.72</v>
      </c>
      <c r="G56" s="114">
        <v>0.76403037764269555</v>
      </c>
      <c r="H56" s="114">
        <v>1.1000398874571342</v>
      </c>
      <c r="I56" s="117">
        <f>C56*H56</f>
        <v>6.6002393247428053</v>
      </c>
      <c r="M56" s="84"/>
      <c r="N56" s="81"/>
      <c r="O56" s="81"/>
      <c r="P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</row>
    <row r="57" spans="2:35" x14ac:dyDescent="0.25">
      <c r="B57" s="200"/>
      <c r="C57" s="201"/>
      <c r="D57" s="113">
        <v>3.3764598442747515</v>
      </c>
      <c r="E57" s="109">
        <v>2677.3515799434945</v>
      </c>
      <c r="F57" s="109">
        <v>4.125</v>
      </c>
      <c r="G57" s="114">
        <v>1.0000000000000011</v>
      </c>
      <c r="H57" s="114">
        <v>1.0505365529371218</v>
      </c>
      <c r="I57" s="117">
        <f>C56*H57</f>
        <v>6.3032193176227302</v>
      </c>
      <c r="M57" s="84"/>
      <c r="N57" s="81"/>
      <c r="O57" s="81"/>
      <c r="P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</row>
    <row r="58" spans="2:35" x14ac:dyDescent="0.25">
      <c r="M58" s="84"/>
      <c r="N58" s="81"/>
      <c r="O58" s="81"/>
      <c r="P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</row>
    <row r="59" spans="2:35" ht="15.75" thickBot="1" x14ac:dyDescent="0.3">
      <c r="M59" s="84"/>
      <c r="N59" s="81"/>
      <c r="O59" s="81"/>
      <c r="P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</row>
    <row r="60" spans="2:35" ht="15.75" thickBot="1" x14ac:dyDescent="0.3">
      <c r="B60" s="130" t="s">
        <v>131</v>
      </c>
      <c r="C60" s="131" t="s">
        <v>132</v>
      </c>
      <c r="D60" s="131" t="s">
        <v>129</v>
      </c>
      <c r="E60" s="131" t="s">
        <v>134</v>
      </c>
      <c r="F60" s="131" t="s">
        <v>2</v>
      </c>
      <c r="G60" s="131" t="s">
        <v>130</v>
      </c>
      <c r="H60" s="131" t="s">
        <v>135</v>
      </c>
      <c r="I60" s="132" t="s">
        <v>136</v>
      </c>
      <c r="M60" s="84"/>
      <c r="N60" s="81"/>
      <c r="O60" s="81"/>
      <c r="P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</row>
    <row r="61" spans="2:35" ht="15.75" thickTop="1" x14ac:dyDescent="0.25">
      <c r="B61" s="111">
        <v>183</v>
      </c>
      <c r="C61" s="112">
        <v>6.15</v>
      </c>
      <c r="D61" s="113">
        <v>1.94</v>
      </c>
      <c r="E61" s="109">
        <v>1543</v>
      </c>
      <c r="F61" s="109">
        <v>10.72</v>
      </c>
      <c r="G61" s="114">
        <v>0.99999999999999656</v>
      </c>
      <c r="H61" s="114">
        <v>1.0747244173422315</v>
      </c>
      <c r="I61" s="117">
        <v>6.6</v>
      </c>
      <c r="M61" s="84"/>
      <c r="N61" s="81"/>
      <c r="O61" s="81"/>
      <c r="P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</row>
    <row r="62" spans="2:35" x14ac:dyDescent="0.25">
      <c r="B62" s="111">
        <v>183</v>
      </c>
      <c r="C62" s="112">
        <v>6.4</v>
      </c>
      <c r="D62" s="113">
        <v>2.0299999999999998</v>
      </c>
      <c r="E62" s="109">
        <v>1603</v>
      </c>
      <c r="F62" s="109">
        <v>4.125</v>
      </c>
      <c r="G62" s="114">
        <v>0.99999999999999656</v>
      </c>
      <c r="H62" s="114">
        <v>1.03</v>
      </c>
      <c r="I62" s="117">
        <v>6.6</v>
      </c>
      <c r="M62" s="84"/>
      <c r="N62" s="81"/>
      <c r="O62" s="81"/>
      <c r="P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</row>
    <row r="63" spans="2:35" ht="15.75" thickBot="1" x14ac:dyDescent="0.3">
      <c r="M63" s="84"/>
      <c r="N63" s="81"/>
      <c r="O63" s="81"/>
      <c r="P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</row>
    <row r="64" spans="2:35" ht="15.75" thickBot="1" x14ac:dyDescent="0.3">
      <c r="B64" s="130" t="s">
        <v>131</v>
      </c>
      <c r="C64" s="131" t="s">
        <v>132</v>
      </c>
      <c r="D64" s="131" t="s">
        <v>129</v>
      </c>
      <c r="E64" s="131" t="s">
        <v>134</v>
      </c>
      <c r="F64" s="131" t="s">
        <v>2</v>
      </c>
      <c r="G64" s="131" t="s">
        <v>130</v>
      </c>
      <c r="H64" s="131" t="s">
        <v>135</v>
      </c>
      <c r="I64" s="132" t="s">
        <v>136</v>
      </c>
      <c r="M64" s="84"/>
      <c r="N64" s="81"/>
      <c r="O64" s="81"/>
      <c r="P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</row>
    <row r="65" spans="2:35" ht="15.75" thickTop="1" x14ac:dyDescent="0.25">
      <c r="B65" s="200">
        <v>183</v>
      </c>
      <c r="C65" s="201">
        <v>6</v>
      </c>
      <c r="D65" s="113">
        <v>1.9052558883257658</v>
      </c>
      <c r="E65" s="109">
        <v>1505.1444868080202</v>
      </c>
      <c r="F65" s="109">
        <v>10.72</v>
      </c>
      <c r="G65" s="114">
        <v>0.99999999999999656</v>
      </c>
      <c r="H65" s="114">
        <v>1.0747244173422315</v>
      </c>
      <c r="I65" s="117">
        <f>C65*H65</f>
        <v>6.4483465040533883</v>
      </c>
      <c r="M65" s="84"/>
      <c r="N65" s="81"/>
      <c r="O65" s="81"/>
      <c r="P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</row>
    <row r="66" spans="2:35" x14ac:dyDescent="0.25">
      <c r="B66" s="200"/>
      <c r="C66" s="201"/>
      <c r="D66" s="113">
        <v>1.9052558883257678</v>
      </c>
      <c r="E66" s="109">
        <v>1505.1444868079921</v>
      </c>
      <c r="F66" s="109">
        <v>4.125</v>
      </c>
      <c r="G66" s="114">
        <v>1.0000000000000016</v>
      </c>
      <c r="H66" s="114">
        <v>1.0286099689099824</v>
      </c>
      <c r="I66" s="117">
        <f>C65*H66</f>
        <v>6.1716598134598941</v>
      </c>
      <c r="M66" s="84"/>
      <c r="N66" s="81"/>
      <c r="O66" s="81"/>
      <c r="P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</row>
    <row r="67" spans="2:35" x14ac:dyDescent="0.25">
      <c r="M67" s="84"/>
      <c r="N67" s="81"/>
      <c r="O67" s="81"/>
      <c r="P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2:35" x14ac:dyDescent="0.25">
      <c r="M68" s="84"/>
      <c r="N68" s="81"/>
      <c r="O68" s="81"/>
      <c r="P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</row>
    <row r="69" spans="2:35" x14ac:dyDescent="0.25">
      <c r="M69" s="84"/>
      <c r="N69" s="81"/>
      <c r="O69" s="81"/>
      <c r="P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</row>
    <row r="70" spans="2:35" x14ac:dyDescent="0.25">
      <c r="M70" s="84"/>
      <c r="N70" s="81"/>
      <c r="O70" s="81"/>
      <c r="P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</row>
    <row r="71" spans="2:35" x14ac:dyDescent="0.25">
      <c r="M71" s="84"/>
      <c r="N71" s="81"/>
      <c r="O71" s="81"/>
      <c r="P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</row>
    <row r="72" spans="2:35" x14ac:dyDescent="0.25">
      <c r="M72" s="84"/>
      <c r="N72" s="81"/>
      <c r="O72" s="81"/>
      <c r="P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</row>
    <row r="73" spans="2:35" x14ac:dyDescent="0.25">
      <c r="M73" s="84"/>
      <c r="N73" s="81"/>
      <c r="O73" s="81"/>
      <c r="P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</row>
    <row r="74" spans="2:35" x14ac:dyDescent="0.25">
      <c r="M74" s="84"/>
      <c r="N74" s="81"/>
      <c r="O74" s="81"/>
      <c r="P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</row>
    <row r="75" spans="2:35" x14ac:dyDescent="0.25">
      <c r="M75" s="84"/>
      <c r="N75" s="81"/>
      <c r="O75" s="81"/>
      <c r="P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</row>
    <row r="76" spans="2:35" x14ac:dyDescent="0.25">
      <c r="M76" s="84"/>
      <c r="N76" s="81"/>
      <c r="O76" s="81"/>
      <c r="P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</row>
    <row r="77" spans="2:35" x14ac:dyDescent="0.25">
      <c r="M77" s="84"/>
      <c r="N77" s="81"/>
      <c r="O77" s="81"/>
      <c r="P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</row>
    <row r="78" spans="2:35" x14ac:dyDescent="0.25">
      <c r="M78" s="84"/>
      <c r="N78" s="81"/>
      <c r="O78" s="81"/>
      <c r="P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</row>
    <row r="79" spans="2:35" x14ac:dyDescent="0.25">
      <c r="M79" s="84"/>
      <c r="N79" s="81"/>
      <c r="O79" s="81"/>
      <c r="P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</row>
    <row r="80" spans="2:35" x14ac:dyDescent="0.25">
      <c r="M80" s="84"/>
      <c r="N80" s="81"/>
      <c r="O80" s="81"/>
      <c r="P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</row>
    <row r="81" spans="13:35" x14ac:dyDescent="0.25">
      <c r="M81" s="84"/>
      <c r="N81" s="81"/>
      <c r="O81" s="81"/>
      <c r="P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</row>
    <row r="82" spans="13:35" x14ac:dyDescent="0.25">
      <c r="M82" s="84"/>
      <c r="N82" s="81"/>
      <c r="O82" s="81"/>
      <c r="P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</row>
    <row r="83" spans="13:35" x14ac:dyDescent="0.25">
      <c r="M83" s="84"/>
      <c r="N83" s="81"/>
      <c r="O83" s="81"/>
      <c r="P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</row>
    <row r="84" spans="13:35" x14ac:dyDescent="0.25">
      <c r="M84" s="84"/>
      <c r="N84" s="81"/>
      <c r="O84" s="81"/>
      <c r="P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</row>
    <row r="85" spans="13:35" x14ac:dyDescent="0.25">
      <c r="M85" s="84"/>
      <c r="N85" s="81"/>
      <c r="O85" s="81"/>
      <c r="P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</row>
    <row r="86" spans="13:35" x14ac:dyDescent="0.25">
      <c r="M86" s="84"/>
      <c r="N86" s="81"/>
      <c r="O86" s="81"/>
      <c r="P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</row>
    <row r="87" spans="13:35" x14ac:dyDescent="0.25">
      <c r="M87" s="84"/>
      <c r="N87" s="81"/>
      <c r="O87" s="81"/>
      <c r="P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3:35" x14ac:dyDescent="0.25">
      <c r="M88" s="84"/>
      <c r="N88" s="81"/>
      <c r="O88" s="81"/>
      <c r="P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</row>
    <row r="89" spans="13:35" x14ac:dyDescent="0.25">
      <c r="M89" s="84"/>
      <c r="N89" s="81"/>
      <c r="O89" s="81"/>
      <c r="P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</row>
    <row r="90" spans="13:35" x14ac:dyDescent="0.25">
      <c r="M90" s="84"/>
      <c r="N90" s="81"/>
      <c r="O90" s="81"/>
      <c r="P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</row>
    <row r="91" spans="13:35" x14ac:dyDescent="0.25">
      <c r="M91" s="84"/>
      <c r="N91" s="81"/>
      <c r="O91" s="81"/>
      <c r="P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</row>
    <row r="92" spans="13:35" x14ac:dyDescent="0.25">
      <c r="M92" s="84"/>
      <c r="N92" s="81"/>
      <c r="O92" s="81"/>
      <c r="P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</row>
    <row r="93" spans="13:35" x14ac:dyDescent="0.25">
      <c r="M93" s="84"/>
      <c r="N93" s="81"/>
      <c r="O93" s="81"/>
      <c r="P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</row>
    <row r="94" spans="13:35" x14ac:dyDescent="0.25">
      <c r="M94" s="84"/>
      <c r="N94" s="81"/>
      <c r="O94" s="81"/>
      <c r="P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</row>
    <row r="95" spans="13:35" x14ac:dyDescent="0.25">
      <c r="M95" s="84"/>
      <c r="N95" s="81"/>
      <c r="O95" s="81"/>
      <c r="P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</row>
    <row r="96" spans="13:35" x14ac:dyDescent="0.25">
      <c r="M96" s="84"/>
      <c r="N96" s="81"/>
      <c r="O96" s="81"/>
      <c r="P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</row>
    <row r="97" spans="13:35" x14ac:dyDescent="0.25">
      <c r="M97" s="84"/>
      <c r="N97" s="81"/>
      <c r="O97" s="81"/>
      <c r="P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</row>
    <row r="98" spans="13:35" x14ac:dyDescent="0.25">
      <c r="M98" s="84"/>
      <c r="N98" s="81"/>
      <c r="O98" s="81"/>
      <c r="P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</row>
    <row r="99" spans="13:35" x14ac:dyDescent="0.25">
      <c r="M99" s="84"/>
      <c r="N99" s="81"/>
      <c r="O99" s="81"/>
      <c r="P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</row>
    <row r="100" spans="13:35" x14ac:dyDescent="0.25">
      <c r="M100" s="84"/>
      <c r="N100" s="81"/>
      <c r="O100" s="81"/>
      <c r="P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</row>
    <row r="101" spans="13:35" x14ac:dyDescent="0.25">
      <c r="M101" s="84"/>
      <c r="N101" s="81"/>
      <c r="O101" s="81"/>
      <c r="P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</row>
    <row r="102" spans="13:35" x14ac:dyDescent="0.25">
      <c r="M102" s="84"/>
      <c r="N102" s="81"/>
      <c r="O102" s="81"/>
      <c r="P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</row>
    <row r="103" spans="13:35" x14ac:dyDescent="0.25">
      <c r="M103" s="84"/>
      <c r="N103" s="81"/>
      <c r="O103" s="81"/>
      <c r="P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</row>
    <row r="104" spans="13:35" x14ac:dyDescent="0.25">
      <c r="M104" s="84"/>
      <c r="N104" s="81"/>
      <c r="O104" s="81"/>
      <c r="P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</row>
    <row r="105" spans="13:35" x14ac:dyDescent="0.25">
      <c r="M105" s="84"/>
      <c r="N105" s="81"/>
      <c r="O105" s="81"/>
      <c r="P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</row>
    <row r="106" spans="13:35" x14ac:dyDescent="0.25">
      <c r="M106" s="84"/>
      <c r="N106" s="81"/>
      <c r="O106" s="81"/>
      <c r="P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</row>
    <row r="107" spans="13:35" x14ac:dyDescent="0.25">
      <c r="M107" s="84"/>
      <c r="N107" s="81"/>
      <c r="O107" s="81"/>
      <c r="P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</row>
    <row r="108" spans="13:35" x14ac:dyDescent="0.25">
      <c r="M108" s="84"/>
      <c r="N108" s="81"/>
      <c r="O108" s="81"/>
      <c r="P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</row>
    <row r="109" spans="13:35" x14ac:dyDescent="0.25">
      <c r="M109" s="84"/>
      <c r="N109" s="81"/>
      <c r="O109" s="81"/>
      <c r="P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</row>
    <row r="110" spans="13:35" x14ac:dyDescent="0.25">
      <c r="M110" s="84"/>
      <c r="N110" s="81"/>
      <c r="O110" s="81"/>
      <c r="P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</row>
    <row r="111" spans="13:35" x14ac:dyDescent="0.25">
      <c r="M111" s="84"/>
      <c r="N111" s="81"/>
      <c r="O111" s="81"/>
      <c r="P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</row>
    <row r="112" spans="13:35" x14ac:dyDescent="0.25">
      <c r="M112" s="84"/>
      <c r="N112" s="81"/>
      <c r="O112" s="81"/>
      <c r="P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</row>
    <row r="113" spans="13:35" x14ac:dyDescent="0.25">
      <c r="M113" s="84"/>
      <c r="N113" s="81"/>
      <c r="O113" s="81"/>
      <c r="P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</row>
    <row r="114" spans="13:35" x14ac:dyDescent="0.25">
      <c r="M114" s="84"/>
      <c r="N114" s="81"/>
      <c r="O114" s="81"/>
      <c r="P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</row>
    <row r="115" spans="13:35" x14ac:dyDescent="0.25">
      <c r="M115" s="84"/>
      <c r="N115" s="81"/>
      <c r="O115" s="81"/>
      <c r="P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</row>
    <row r="116" spans="13:35" x14ac:dyDescent="0.25">
      <c r="M116" s="84"/>
      <c r="N116" s="81"/>
      <c r="O116" s="81"/>
      <c r="P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</row>
    <row r="117" spans="13:35" x14ac:dyDescent="0.25">
      <c r="M117" s="84"/>
      <c r="N117" s="81"/>
      <c r="O117" s="81"/>
      <c r="P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</row>
    <row r="118" spans="13:35" x14ac:dyDescent="0.25">
      <c r="M118" s="84"/>
      <c r="N118" s="81"/>
      <c r="O118" s="81"/>
      <c r="P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</row>
    <row r="119" spans="13:35" x14ac:dyDescent="0.25">
      <c r="M119" s="84"/>
      <c r="N119" s="81"/>
      <c r="O119" s="81"/>
      <c r="P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</row>
    <row r="120" spans="13:35" x14ac:dyDescent="0.25">
      <c r="M120" s="84"/>
      <c r="N120" s="81"/>
      <c r="O120" s="81"/>
      <c r="P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</row>
    <row r="121" spans="13:35" x14ac:dyDescent="0.25">
      <c r="M121" s="84"/>
      <c r="N121" s="81"/>
      <c r="O121" s="81"/>
      <c r="P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</row>
    <row r="122" spans="13:35" x14ac:dyDescent="0.25">
      <c r="M122" s="84"/>
      <c r="N122" s="81"/>
      <c r="O122" s="81"/>
      <c r="P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</row>
    <row r="123" spans="13:35" x14ac:dyDescent="0.25">
      <c r="M123" s="84"/>
      <c r="N123" s="81"/>
      <c r="O123" s="81"/>
      <c r="P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</row>
    <row r="124" spans="13:35" x14ac:dyDescent="0.25">
      <c r="M124" s="84"/>
      <c r="N124" s="81"/>
      <c r="O124" s="81"/>
      <c r="P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</row>
    <row r="125" spans="13:35" x14ac:dyDescent="0.25">
      <c r="M125" s="84"/>
      <c r="N125" s="81"/>
      <c r="O125" s="81"/>
      <c r="P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</row>
    <row r="126" spans="13:35" x14ac:dyDescent="0.25">
      <c r="M126" s="84"/>
      <c r="N126" s="81"/>
      <c r="O126" s="81"/>
      <c r="P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</row>
    <row r="127" spans="13:35" x14ac:dyDescent="0.25">
      <c r="M127" s="84"/>
      <c r="N127" s="81"/>
      <c r="O127" s="81"/>
      <c r="P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</row>
    <row r="128" spans="13:35" x14ac:dyDescent="0.25">
      <c r="M128" s="84"/>
      <c r="N128" s="81"/>
      <c r="O128" s="81"/>
      <c r="P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</row>
    <row r="129" spans="13:35" x14ac:dyDescent="0.25">
      <c r="M129" s="84"/>
      <c r="N129" s="81"/>
      <c r="O129" s="81"/>
      <c r="P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</row>
    <row r="130" spans="13:35" x14ac:dyDescent="0.25">
      <c r="M130" s="84"/>
      <c r="N130" s="81"/>
      <c r="O130" s="81"/>
      <c r="P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</row>
    <row r="131" spans="13:35" x14ac:dyDescent="0.25">
      <c r="M131" s="84"/>
      <c r="N131" s="81"/>
      <c r="O131" s="81"/>
      <c r="P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</row>
    <row r="132" spans="13:35" x14ac:dyDescent="0.25">
      <c r="M132" s="84"/>
      <c r="N132" s="81"/>
      <c r="O132" s="81"/>
      <c r="P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</row>
    <row r="133" spans="13:35" x14ac:dyDescent="0.25">
      <c r="M133" s="84"/>
      <c r="N133" s="81"/>
      <c r="O133" s="81"/>
      <c r="P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</row>
    <row r="134" spans="13:35" x14ac:dyDescent="0.25">
      <c r="M134" s="84"/>
      <c r="N134" s="81"/>
      <c r="O134" s="81"/>
      <c r="P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</row>
    <row r="135" spans="13:35" x14ac:dyDescent="0.25">
      <c r="M135" s="84"/>
      <c r="N135" s="81"/>
      <c r="O135" s="81"/>
      <c r="P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</row>
    <row r="136" spans="13:35" x14ac:dyDescent="0.25">
      <c r="M136" s="84"/>
      <c r="N136" s="81"/>
      <c r="O136" s="81"/>
      <c r="P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</row>
    <row r="137" spans="13:35" x14ac:dyDescent="0.25">
      <c r="M137" s="84"/>
      <c r="N137" s="81"/>
      <c r="O137" s="81"/>
      <c r="P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</row>
    <row r="138" spans="13:35" x14ac:dyDescent="0.25">
      <c r="M138" s="84"/>
      <c r="N138" s="81"/>
      <c r="O138" s="81"/>
      <c r="P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</row>
    <row r="139" spans="13:35" x14ac:dyDescent="0.25">
      <c r="M139" s="84"/>
      <c r="N139" s="81"/>
      <c r="O139" s="81"/>
      <c r="P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</row>
    <row r="140" spans="13:35" x14ac:dyDescent="0.25">
      <c r="M140" s="84"/>
      <c r="N140" s="81"/>
      <c r="O140" s="81"/>
      <c r="P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</row>
    <row r="141" spans="13:35" x14ac:dyDescent="0.25">
      <c r="M141" s="84"/>
      <c r="N141" s="81"/>
      <c r="O141" s="81"/>
      <c r="P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</row>
    <row r="142" spans="13:35" x14ac:dyDescent="0.25">
      <c r="M142" s="84"/>
      <c r="N142" s="81"/>
      <c r="O142" s="81"/>
      <c r="P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</row>
    <row r="143" spans="13:35" x14ac:dyDescent="0.25">
      <c r="M143" s="84"/>
      <c r="N143" s="81"/>
      <c r="O143" s="81"/>
      <c r="P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</row>
    <row r="144" spans="13:35" x14ac:dyDescent="0.25">
      <c r="M144" s="84"/>
      <c r="N144" s="81"/>
      <c r="O144" s="81"/>
      <c r="P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</row>
    <row r="145" spans="13:35" x14ac:dyDescent="0.25">
      <c r="M145" s="84"/>
      <c r="N145" s="81"/>
      <c r="O145" s="81"/>
      <c r="P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</row>
    <row r="146" spans="13:35" x14ac:dyDescent="0.25">
      <c r="M146" s="84"/>
      <c r="N146" s="81"/>
      <c r="O146" s="81"/>
      <c r="P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</row>
    <row r="147" spans="13:35" x14ac:dyDescent="0.25">
      <c r="M147" s="84"/>
      <c r="N147" s="81"/>
      <c r="O147" s="81"/>
      <c r="P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</row>
    <row r="148" spans="13:35" x14ac:dyDescent="0.25">
      <c r="M148" s="84"/>
      <c r="N148" s="81"/>
      <c r="O148" s="81"/>
      <c r="P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</row>
    <row r="149" spans="13:35" x14ac:dyDescent="0.25">
      <c r="M149" s="84"/>
      <c r="N149" s="81"/>
      <c r="O149" s="81"/>
      <c r="P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</row>
    <row r="150" spans="13:35" x14ac:dyDescent="0.25">
      <c r="M150" s="84"/>
      <c r="N150" s="81"/>
      <c r="O150" s="81"/>
      <c r="P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</row>
    <row r="151" spans="13:35" x14ac:dyDescent="0.25">
      <c r="M151" s="84"/>
      <c r="N151" s="81"/>
      <c r="O151" s="81"/>
      <c r="P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</row>
    <row r="152" spans="13:35" x14ac:dyDescent="0.25">
      <c r="M152" s="84"/>
      <c r="N152" s="81"/>
      <c r="O152" s="81"/>
      <c r="P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</row>
    <row r="153" spans="13:35" x14ac:dyDescent="0.25">
      <c r="M153" s="84"/>
      <c r="N153" s="81"/>
      <c r="O153" s="81"/>
      <c r="P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</row>
    <row r="154" spans="13:35" x14ac:dyDescent="0.25">
      <c r="M154" s="84"/>
      <c r="N154" s="81"/>
      <c r="O154" s="81"/>
      <c r="P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</row>
    <row r="155" spans="13:35" x14ac:dyDescent="0.25">
      <c r="M155" s="84"/>
      <c r="N155" s="81"/>
      <c r="O155" s="81"/>
      <c r="P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</row>
    <row r="156" spans="13:35" x14ac:dyDescent="0.25">
      <c r="M156" s="84"/>
      <c r="N156" s="81"/>
      <c r="O156" s="81"/>
      <c r="P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</row>
    <row r="157" spans="13:35" x14ac:dyDescent="0.25">
      <c r="M157" s="84"/>
      <c r="N157" s="81"/>
      <c r="O157" s="81"/>
      <c r="P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</row>
    <row r="158" spans="13:35" x14ac:dyDescent="0.25">
      <c r="M158" s="84"/>
      <c r="N158" s="81"/>
      <c r="O158" s="81"/>
      <c r="P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</row>
    <row r="159" spans="13:35" x14ac:dyDescent="0.25">
      <c r="M159" s="84"/>
      <c r="N159" s="81"/>
      <c r="O159" s="81"/>
      <c r="P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3:35" x14ac:dyDescent="0.25">
      <c r="M160" s="84"/>
      <c r="N160" s="81"/>
      <c r="O160" s="81"/>
      <c r="P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</row>
    <row r="161" spans="13:35" x14ac:dyDescent="0.25">
      <c r="M161" s="84"/>
      <c r="N161" s="81"/>
      <c r="O161" s="81"/>
      <c r="P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</row>
    <row r="162" spans="13:35" x14ac:dyDescent="0.25">
      <c r="M162" s="84"/>
      <c r="N162" s="81"/>
      <c r="O162" s="81"/>
      <c r="P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</row>
    <row r="163" spans="13:35" x14ac:dyDescent="0.25">
      <c r="M163" s="84"/>
      <c r="N163" s="81"/>
      <c r="O163" s="81"/>
      <c r="P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</row>
    <row r="164" spans="13:35" x14ac:dyDescent="0.25">
      <c r="M164" s="84"/>
      <c r="N164" s="81"/>
      <c r="O164" s="81"/>
      <c r="P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</row>
    <row r="165" spans="13:35" x14ac:dyDescent="0.25">
      <c r="M165" s="84"/>
      <c r="N165" s="81"/>
      <c r="O165" s="81"/>
      <c r="P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</row>
    <row r="166" spans="13:35" x14ac:dyDescent="0.25">
      <c r="M166" s="84"/>
      <c r="N166" s="81"/>
      <c r="O166" s="81"/>
      <c r="P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</row>
    <row r="167" spans="13:35" x14ac:dyDescent="0.25">
      <c r="M167" s="84"/>
      <c r="N167" s="81"/>
      <c r="O167" s="81"/>
      <c r="P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</row>
    <row r="168" spans="13:35" x14ac:dyDescent="0.25">
      <c r="M168" s="84"/>
      <c r="N168" s="81"/>
      <c r="O168" s="81"/>
      <c r="P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</row>
    <row r="169" spans="13:35" x14ac:dyDescent="0.25">
      <c r="M169" s="84"/>
      <c r="N169" s="81"/>
      <c r="O169" s="81"/>
      <c r="P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</row>
    <row r="170" spans="13:35" x14ac:dyDescent="0.25">
      <c r="M170" s="84"/>
      <c r="N170" s="81"/>
      <c r="O170" s="81"/>
      <c r="P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</row>
    <row r="171" spans="13:35" x14ac:dyDescent="0.25">
      <c r="M171" s="84"/>
      <c r="N171" s="81"/>
      <c r="O171" s="81"/>
      <c r="P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</row>
    <row r="172" spans="13:35" x14ac:dyDescent="0.25">
      <c r="M172" s="84"/>
      <c r="N172" s="81"/>
      <c r="O172" s="81"/>
      <c r="P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</row>
    <row r="173" spans="13:35" x14ac:dyDescent="0.25">
      <c r="M173" s="84"/>
      <c r="N173" s="81"/>
      <c r="O173" s="81"/>
      <c r="P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</row>
    <row r="174" spans="13:35" x14ac:dyDescent="0.25">
      <c r="M174" s="84"/>
      <c r="N174" s="81"/>
      <c r="O174" s="81"/>
      <c r="P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</row>
    <row r="175" spans="13:35" x14ac:dyDescent="0.25">
      <c r="M175" s="84"/>
      <c r="N175" s="81"/>
      <c r="O175" s="81"/>
      <c r="P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</row>
    <row r="176" spans="13:35" x14ac:dyDescent="0.25">
      <c r="M176" s="84"/>
      <c r="N176" s="81"/>
      <c r="O176" s="81"/>
      <c r="P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</row>
    <row r="177" spans="13:35" x14ac:dyDescent="0.25">
      <c r="M177" s="84"/>
      <c r="N177" s="81"/>
      <c r="O177" s="81"/>
      <c r="P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</row>
    <row r="178" spans="13:35" x14ac:dyDescent="0.25">
      <c r="M178" s="84"/>
      <c r="N178" s="81"/>
      <c r="O178" s="81"/>
      <c r="P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</row>
    <row r="179" spans="13:35" x14ac:dyDescent="0.25">
      <c r="M179" s="84"/>
      <c r="N179" s="81"/>
      <c r="O179" s="81"/>
      <c r="P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</row>
    <row r="180" spans="13:35" x14ac:dyDescent="0.25">
      <c r="M180" s="84"/>
      <c r="N180" s="81"/>
      <c r="O180" s="81"/>
      <c r="P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</row>
    <row r="181" spans="13:35" x14ac:dyDescent="0.25">
      <c r="M181" s="84"/>
      <c r="N181" s="81"/>
      <c r="O181" s="81"/>
      <c r="P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</row>
    <row r="182" spans="13:35" x14ac:dyDescent="0.25">
      <c r="M182" s="84"/>
      <c r="N182" s="81"/>
      <c r="O182" s="81"/>
      <c r="P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</row>
    <row r="183" spans="13:35" x14ac:dyDescent="0.25">
      <c r="M183" s="84"/>
      <c r="N183" s="81"/>
      <c r="O183" s="81"/>
      <c r="P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</row>
    <row r="184" spans="13:35" x14ac:dyDescent="0.25">
      <c r="M184" s="84"/>
      <c r="N184" s="81"/>
      <c r="O184" s="81"/>
      <c r="P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</row>
    <row r="185" spans="13:35" x14ac:dyDescent="0.25">
      <c r="M185" s="84"/>
      <c r="N185" s="81"/>
      <c r="O185" s="81"/>
      <c r="P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</row>
    <row r="186" spans="13:35" x14ac:dyDescent="0.25">
      <c r="M186" s="84"/>
      <c r="N186" s="81"/>
      <c r="O186" s="81"/>
      <c r="P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</row>
    <row r="187" spans="13:35" x14ac:dyDescent="0.25">
      <c r="M187" s="84"/>
      <c r="N187" s="81"/>
      <c r="O187" s="81"/>
      <c r="P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</row>
    <row r="188" spans="13:35" x14ac:dyDescent="0.25">
      <c r="M188" s="84"/>
      <c r="N188" s="81"/>
      <c r="O188" s="81"/>
      <c r="P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</row>
    <row r="189" spans="13:35" x14ac:dyDescent="0.25">
      <c r="M189" s="84"/>
      <c r="N189" s="81"/>
      <c r="O189" s="81"/>
      <c r="P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</row>
    <row r="190" spans="13:35" x14ac:dyDescent="0.25">
      <c r="M190" s="84"/>
      <c r="N190" s="81"/>
      <c r="O190" s="81"/>
      <c r="P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</row>
    <row r="191" spans="13:35" x14ac:dyDescent="0.25">
      <c r="M191" s="84"/>
      <c r="N191" s="81"/>
      <c r="O191" s="81"/>
      <c r="P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</row>
    <row r="192" spans="13:35" x14ac:dyDescent="0.25">
      <c r="M192" s="84"/>
      <c r="N192" s="81"/>
      <c r="O192" s="81"/>
      <c r="P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</row>
    <row r="193" spans="13:35" x14ac:dyDescent="0.25">
      <c r="M193" s="84"/>
      <c r="N193" s="81"/>
      <c r="O193" s="81"/>
      <c r="P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</row>
    <row r="194" spans="13:35" x14ac:dyDescent="0.25">
      <c r="M194" s="84"/>
      <c r="N194" s="81"/>
      <c r="O194" s="81"/>
      <c r="P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</row>
    <row r="195" spans="13:35" x14ac:dyDescent="0.25">
      <c r="M195" s="84"/>
      <c r="N195" s="81"/>
      <c r="O195" s="81"/>
      <c r="P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</row>
    <row r="196" spans="13:35" x14ac:dyDescent="0.25">
      <c r="M196" s="84"/>
      <c r="N196" s="81"/>
      <c r="O196" s="81"/>
      <c r="P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</row>
    <row r="197" spans="13:35" x14ac:dyDescent="0.25">
      <c r="M197" s="84"/>
      <c r="N197" s="81"/>
      <c r="O197" s="81"/>
      <c r="P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</row>
    <row r="198" spans="13:35" x14ac:dyDescent="0.25">
      <c r="M198" s="84"/>
      <c r="N198" s="81"/>
      <c r="O198" s="81"/>
      <c r="P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</row>
    <row r="199" spans="13:35" x14ac:dyDescent="0.25">
      <c r="M199" s="84"/>
      <c r="N199" s="81"/>
      <c r="O199" s="81"/>
      <c r="P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</row>
    <row r="200" spans="13:35" x14ac:dyDescent="0.25">
      <c r="M200" s="84"/>
      <c r="N200" s="81"/>
      <c r="O200" s="81"/>
      <c r="P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</row>
    <row r="201" spans="13:35" x14ac:dyDescent="0.25">
      <c r="M201" s="84"/>
      <c r="N201" s="81"/>
      <c r="O201" s="81"/>
      <c r="P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</row>
    <row r="202" spans="13:35" x14ac:dyDescent="0.25">
      <c r="M202" s="84"/>
      <c r="N202" s="81"/>
      <c r="O202" s="81"/>
      <c r="P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</row>
    <row r="203" spans="13:35" x14ac:dyDescent="0.25">
      <c r="M203" s="84"/>
      <c r="N203" s="81"/>
      <c r="O203" s="81"/>
      <c r="P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</row>
    <row r="204" spans="13:35" x14ac:dyDescent="0.25">
      <c r="M204" s="84"/>
      <c r="N204" s="81"/>
      <c r="O204" s="81"/>
      <c r="P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</row>
    <row r="205" spans="13:35" x14ac:dyDescent="0.25">
      <c r="M205" s="84"/>
      <c r="N205" s="81"/>
      <c r="O205" s="81"/>
      <c r="P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</row>
    <row r="206" spans="13:35" x14ac:dyDescent="0.25">
      <c r="M206" s="84"/>
      <c r="N206" s="81"/>
      <c r="O206" s="81"/>
      <c r="P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</row>
    <row r="207" spans="13:35" x14ac:dyDescent="0.25">
      <c r="M207" s="84"/>
      <c r="N207" s="81"/>
      <c r="O207" s="81"/>
      <c r="P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</row>
    <row r="208" spans="13:35" x14ac:dyDescent="0.25">
      <c r="M208" s="84"/>
      <c r="N208" s="81"/>
      <c r="O208" s="81"/>
      <c r="P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</row>
    <row r="209" spans="13:35" x14ac:dyDescent="0.25">
      <c r="M209" s="84"/>
      <c r="N209" s="81"/>
      <c r="O209" s="81"/>
      <c r="P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</row>
    <row r="210" spans="13:35" x14ac:dyDescent="0.25">
      <c r="M210" s="84"/>
      <c r="N210" s="81"/>
      <c r="O210" s="81"/>
      <c r="P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</row>
    <row r="211" spans="13:35" x14ac:dyDescent="0.25">
      <c r="M211" s="84"/>
      <c r="N211" s="81"/>
      <c r="O211" s="81"/>
      <c r="P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</row>
    <row r="212" spans="13:35" x14ac:dyDescent="0.25">
      <c r="M212" s="84"/>
      <c r="N212" s="81"/>
      <c r="O212" s="81"/>
      <c r="P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</row>
    <row r="213" spans="13:35" x14ac:dyDescent="0.25">
      <c r="M213" s="84"/>
      <c r="N213" s="81"/>
      <c r="O213" s="81"/>
      <c r="P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</row>
    <row r="214" spans="13:35" x14ac:dyDescent="0.25">
      <c r="M214" s="84"/>
      <c r="N214" s="81"/>
      <c r="O214" s="81"/>
      <c r="P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</row>
    <row r="215" spans="13:35" x14ac:dyDescent="0.25">
      <c r="M215" s="84"/>
      <c r="N215" s="81"/>
      <c r="O215" s="81"/>
      <c r="P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</row>
    <row r="216" spans="13:35" x14ac:dyDescent="0.25">
      <c r="M216" s="84"/>
      <c r="N216" s="81"/>
      <c r="O216" s="81"/>
      <c r="P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</row>
    <row r="217" spans="13:35" x14ac:dyDescent="0.25">
      <c r="M217" s="84"/>
      <c r="N217" s="81"/>
      <c r="O217" s="81"/>
      <c r="P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</row>
    <row r="218" spans="13:35" x14ac:dyDescent="0.25">
      <c r="M218" s="84"/>
      <c r="N218" s="81"/>
      <c r="O218" s="81"/>
      <c r="P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</row>
    <row r="219" spans="13:35" x14ac:dyDescent="0.25">
      <c r="M219" s="84"/>
      <c r="N219" s="81"/>
      <c r="O219" s="81"/>
      <c r="P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</row>
    <row r="220" spans="13:35" x14ac:dyDescent="0.25">
      <c r="M220" s="84"/>
      <c r="N220" s="81"/>
      <c r="O220" s="81"/>
      <c r="P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</row>
    <row r="221" spans="13:35" x14ac:dyDescent="0.25">
      <c r="M221" s="84"/>
      <c r="N221" s="81"/>
      <c r="O221" s="81"/>
      <c r="P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</row>
    <row r="222" spans="13:35" x14ac:dyDescent="0.25">
      <c r="M222" s="84"/>
      <c r="N222" s="81"/>
      <c r="O222" s="81"/>
      <c r="P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</row>
    <row r="223" spans="13:35" x14ac:dyDescent="0.25">
      <c r="M223" s="84"/>
      <c r="N223" s="81"/>
      <c r="O223" s="81"/>
      <c r="P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</row>
    <row r="224" spans="13:35" x14ac:dyDescent="0.25">
      <c r="M224" s="84"/>
      <c r="N224" s="81"/>
      <c r="O224" s="81"/>
      <c r="P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</row>
    <row r="225" spans="13:35" x14ac:dyDescent="0.25">
      <c r="M225" s="84"/>
      <c r="N225" s="81"/>
      <c r="O225" s="81"/>
      <c r="P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</row>
    <row r="226" spans="13:35" x14ac:dyDescent="0.25">
      <c r="M226" s="84"/>
      <c r="N226" s="81"/>
      <c r="O226" s="81"/>
      <c r="P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</row>
    <row r="227" spans="13:35" x14ac:dyDescent="0.25">
      <c r="M227" s="84"/>
      <c r="N227" s="81"/>
      <c r="O227" s="81"/>
      <c r="P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</row>
    <row r="228" spans="13:35" x14ac:dyDescent="0.25">
      <c r="M228" s="84"/>
      <c r="N228" s="81"/>
      <c r="O228" s="81"/>
      <c r="P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</row>
    <row r="229" spans="13:35" x14ac:dyDescent="0.25">
      <c r="M229" s="84"/>
      <c r="N229" s="81"/>
      <c r="O229" s="81"/>
      <c r="P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</row>
    <row r="230" spans="13:35" x14ac:dyDescent="0.25">
      <c r="M230" s="84"/>
      <c r="N230" s="81"/>
      <c r="O230" s="81"/>
      <c r="P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</row>
    <row r="231" spans="13:35" x14ac:dyDescent="0.25">
      <c r="M231" s="84"/>
      <c r="N231" s="81"/>
      <c r="O231" s="81"/>
      <c r="P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</row>
    <row r="232" spans="13:35" x14ac:dyDescent="0.25">
      <c r="M232" s="84"/>
      <c r="N232" s="81"/>
      <c r="O232" s="81"/>
      <c r="P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</row>
    <row r="233" spans="13:35" x14ac:dyDescent="0.25">
      <c r="M233" s="84"/>
      <c r="N233" s="81"/>
      <c r="O233" s="81"/>
      <c r="P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</row>
    <row r="234" spans="13:35" x14ac:dyDescent="0.25">
      <c r="M234" s="84"/>
      <c r="N234" s="81"/>
      <c r="O234" s="81"/>
      <c r="P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</row>
    <row r="235" spans="13:35" x14ac:dyDescent="0.25">
      <c r="M235" s="84"/>
      <c r="N235" s="81"/>
      <c r="O235" s="81"/>
      <c r="P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</row>
    <row r="236" spans="13:35" x14ac:dyDescent="0.25">
      <c r="M236" s="84"/>
      <c r="N236" s="81"/>
      <c r="O236" s="81"/>
      <c r="P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</row>
    <row r="237" spans="13:35" x14ac:dyDescent="0.25">
      <c r="M237" s="84"/>
      <c r="N237" s="81"/>
      <c r="O237" s="81"/>
      <c r="P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</row>
    <row r="238" spans="13:35" x14ac:dyDescent="0.25">
      <c r="M238" s="84"/>
      <c r="N238" s="81"/>
      <c r="O238" s="81"/>
      <c r="P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</row>
    <row r="239" spans="13:35" x14ac:dyDescent="0.25">
      <c r="M239" s="84"/>
      <c r="N239" s="81"/>
      <c r="O239" s="81"/>
      <c r="P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</row>
    <row r="240" spans="13:35" x14ac:dyDescent="0.25">
      <c r="M240" s="84"/>
      <c r="N240" s="81"/>
      <c r="O240" s="81"/>
      <c r="P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</row>
    <row r="241" spans="13:35" x14ac:dyDescent="0.25">
      <c r="M241" s="84"/>
      <c r="N241" s="81"/>
      <c r="O241" s="81"/>
      <c r="P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</row>
    <row r="242" spans="13:35" x14ac:dyDescent="0.25">
      <c r="M242" s="84"/>
      <c r="N242" s="81"/>
      <c r="O242" s="81"/>
      <c r="P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</row>
    <row r="243" spans="13:35" x14ac:dyDescent="0.25">
      <c r="M243" s="84"/>
      <c r="N243" s="81"/>
      <c r="O243" s="81"/>
      <c r="P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</row>
    <row r="244" spans="13:35" x14ac:dyDescent="0.25">
      <c r="M244" s="84"/>
      <c r="N244" s="81"/>
      <c r="O244" s="81"/>
      <c r="P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</row>
    <row r="245" spans="13:35" x14ac:dyDescent="0.25">
      <c r="M245" s="84"/>
      <c r="N245" s="81"/>
      <c r="O245" s="81"/>
      <c r="P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</row>
    <row r="246" spans="13:35" x14ac:dyDescent="0.25">
      <c r="M246" s="84"/>
      <c r="N246" s="81"/>
      <c r="O246" s="81"/>
      <c r="P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</row>
    <row r="247" spans="13:35" x14ac:dyDescent="0.25">
      <c r="M247" s="84"/>
      <c r="N247" s="81"/>
      <c r="O247" s="81"/>
      <c r="P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</row>
    <row r="248" spans="13:35" x14ac:dyDescent="0.25">
      <c r="M248" s="84"/>
      <c r="N248" s="81"/>
      <c r="O248" s="81"/>
      <c r="P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</row>
    <row r="249" spans="13:35" x14ac:dyDescent="0.25">
      <c r="M249" s="84"/>
      <c r="N249" s="81"/>
      <c r="O249" s="81"/>
      <c r="P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</row>
    <row r="250" spans="13:35" x14ac:dyDescent="0.25">
      <c r="M250" s="84"/>
      <c r="N250" s="81"/>
      <c r="O250" s="81"/>
      <c r="P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</row>
    <row r="251" spans="13:35" x14ac:dyDescent="0.25">
      <c r="M251" s="84"/>
      <c r="N251" s="81"/>
      <c r="O251" s="81"/>
      <c r="P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</row>
    <row r="252" spans="13:35" x14ac:dyDescent="0.25">
      <c r="M252" s="84"/>
      <c r="N252" s="81"/>
      <c r="O252" s="81"/>
      <c r="P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</row>
    <row r="253" spans="13:35" x14ac:dyDescent="0.25">
      <c r="M253" s="84"/>
      <c r="N253" s="81"/>
      <c r="O253" s="81"/>
      <c r="P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</row>
    <row r="254" spans="13:35" x14ac:dyDescent="0.25">
      <c r="M254" s="84"/>
      <c r="N254" s="81"/>
      <c r="O254" s="81"/>
      <c r="P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</row>
    <row r="255" spans="13:35" x14ac:dyDescent="0.25">
      <c r="M255" s="84"/>
      <c r="N255" s="81"/>
      <c r="O255" s="81"/>
      <c r="P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</row>
    <row r="256" spans="13:35" x14ac:dyDescent="0.25">
      <c r="M256" s="84"/>
      <c r="N256" s="81"/>
      <c r="O256" s="81"/>
      <c r="P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</row>
    <row r="257" spans="13:35" x14ac:dyDescent="0.25">
      <c r="M257" s="84"/>
      <c r="N257" s="81"/>
      <c r="O257" s="81"/>
      <c r="P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</row>
    <row r="258" spans="13:35" x14ac:dyDescent="0.25">
      <c r="M258" s="84"/>
      <c r="N258" s="81"/>
      <c r="O258" s="81"/>
      <c r="P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</row>
    <row r="259" spans="13:35" x14ac:dyDescent="0.25">
      <c r="M259" s="84"/>
      <c r="N259" s="81"/>
      <c r="O259" s="81"/>
      <c r="P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</row>
    <row r="260" spans="13:35" x14ac:dyDescent="0.25">
      <c r="M260" s="84"/>
      <c r="N260" s="81"/>
      <c r="O260" s="81"/>
      <c r="P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</row>
    <row r="261" spans="13:35" x14ac:dyDescent="0.25">
      <c r="M261" s="84"/>
      <c r="N261" s="81"/>
      <c r="O261" s="81"/>
      <c r="P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</row>
    <row r="262" spans="13:35" x14ac:dyDescent="0.25">
      <c r="M262" s="84"/>
      <c r="N262" s="81"/>
      <c r="O262" s="81"/>
      <c r="P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</row>
    <row r="263" spans="13:35" x14ac:dyDescent="0.25">
      <c r="M263" s="84"/>
      <c r="N263" s="81"/>
      <c r="O263" s="81"/>
      <c r="P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</row>
    <row r="264" spans="13:35" x14ac:dyDescent="0.25">
      <c r="M264" s="84"/>
      <c r="N264" s="81"/>
      <c r="O264" s="81"/>
      <c r="P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</row>
    <row r="265" spans="13:35" x14ac:dyDescent="0.25">
      <c r="M265" s="84"/>
      <c r="N265" s="81"/>
      <c r="O265" s="81"/>
      <c r="P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</row>
    <row r="266" spans="13:35" x14ac:dyDescent="0.25">
      <c r="M266" s="84"/>
      <c r="N266" s="81"/>
      <c r="O266" s="81"/>
      <c r="P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</row>
    <row r="267" spans="13:35" x14ac:dyDescent="0.25">
      <c r="M267" s="84"/>
      <c r="N267" s="81"/>
      <c r="O267" s="81"/>
      <c r="P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</row>
    <row r="268" spans="13:35" x14ac:dyDescent="0.25">
      <c r="M268" s="84"/>
      <c r="N268" s="81"/>
      <c r="O268" s="81"/>
      <c r="P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</row>
    <row r="269" spans="13:35" x14ac:dyDescent="0.25">
      <c r="M269" s="84"/>
      <c r="N269" s="81"/>
      <c r="O269" s="81"/>
      <c r="P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</row>
    <row r="270" spans="13:35" x14ac:dyDescent="0.25">
      <c r="M270" s="84"/>
      <c r="N270" s="81"/>
      <c r="O270" s="81"/>
      <c r="P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</row>
    <row r="271" spans="13:35" x14ac:dyDescent="0.25">
      <c r="M271" s="84"/>
      <c r="N271" s="81"/>
      <c r="O271" s="81"/>
      <c r="P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</row>
    <row r="272" spans="13:35" x14ac:dyDescent="0.25">
      <c r="M272" s="84"/>
      <c r="N272" s="81"/>
      <c r="O272" s="81"/>
      <c r="P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</row>
    <row r="273" spans="13:35" x14ac:dyDescent="0.25">
      <c r="M273" s="84"/>
      <c r="N273" s="81"/>
      <c r="O273" s="81"/>
      <c r="P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</row>
    <row r="274" spans="13:35" x14ac:dyDescent="0.25">
      <c r="M274" s="84"/>
      <c r="N274" s="81"/>
      <c r="O274" s="81"/>
      <c r="P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</row>
    <row r="275" spans="13:35" x14ac:dyDescent="0.25">
      <c r="M275" s="84"/>
      <c r="N275" s="81"/>
      <c r="O275" s="81"/>
      <c r="P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</row>
    <row r="276" spans="13:35" x14ac:dyDescent="0.25">
      <c r="M276" s="84"/>
      <c r="N276" s="81"/>
      <c r="O276" s="81"/>
      <c r="P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</row>
    <row r="277" spans="13:35" x14ac:dyDescent="0.25">
      <c r="M277" s="84"/>
      <c r="N277" s="81"/>
      <c r="O277" s="81"/>
      <c r="P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</row>
    <row r="278" spans="13:35" x14ac:dyDescent="0.25">
      <c r="M278" s="84"/>
      <c r="N278" s="81"/>
      <c r="O278" s="81"/>
      <c r="P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</row>
    <row r="279" spans="13:35" x14ac:dyDescent="0.25">
      <c r="M279" s="84"/>
      <c r="N279" s="81"/>
      <c r="O279" s="81"/>
      <c r="P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</row>
    <row r="280" spans="13:35" x14ac:dyDescent="0.25">
      <c r="M280" s="84"/>
      <c r="N280" s="81"/>
      <c r="O280" s="81"/>
      <c r="P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</row>
    <row r="281" spans="13:35" x14ac:dyDescent="0.25">
      <c r="M281" s="84"/>
      <c r="N281" s="81"/>
      <c r="O281" s="81"/>
      <c r="P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</row>
    <row r="282" spans="13:35" x14ac:dyDescent="0.25">
      <c r="M282" s="84"/>
      <c r="N282" s="81"/>
      <c r="O282" s="81"/>
      <c r="P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</row>
    <row r="283" spans="13:35" x14ac:dyDescent="0.25">
      <c r="M283" s="84"/>
      <c r="N283" s="81"/>
      <c r="O283" s="81"/>
      <c r="P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</row>
    <row r="284" spans="13:35" x14ac:dyDescent="0.25">
      <c r="M284" s="84"/>
      <c r="N284" s="81"/>
      <c r="O284" s="81"/>
      <c r="P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</row>
    <row r="285" spans="13:35" x14ac:dyDescent="0.25">
      <c r="M285" s="84"/>
      <c r="N285" s="81"/>
      <c r="O285" s="81"/>
      <c r="P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</row>
    <row r="286" spans="13:35" x14ac:dyDescent="0.25">
      <c r="M286" s="84"/>
      <c r="N286" s="81"/>
      <c r="O286" s="81"/>
      <c r="P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</row>
    <row r="287" spans="13:35" x14ac:dyDescent="0.25">
      <c r="M287" s="84"/>
      <c r="N287" s="81"/>
      <c r="O287" s="81"/>
      <c r="P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</row>
    <row r="288" spans="13:35" x14ac:dyDescent="0.25">
      <c r="M288" s="84"/>
      <c r="N288" s="81"/>
      <c r="O288" s="81"/>
      <c r="P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</row>
    <row r="289" spans="13:35" x14ac:dyDescent="0.25">
      <c r="M289" s="84"/>
      <c r="N289" s="81"/>
      <c r="O289" s="81"/>
      <c r="P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</row>
    <row r="290" spans="13:35" x14ac:dyDescent="0.25">
      <c r="M290" s="84"/>
      <c r="N290" s="81"/>
      <c r="O290" s="81"/>
      <c r="P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</row>
    <row r="291" spans="13:35" x14ac:dyDescent="0.25">
      <c r="M291" s="84"/>
      <c r="N291" s="81"/>
      <c r="O291" s="81"/>
      <c r="P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</row>
    <row r="292" spans="13:35" x14ac:dyDescent="0.25">
      <c r="M292" s="84"/>
      <c r="N292" s="81"/>
      <c r="O292" s="81"/>
      <c r="P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</row>
    <row r="293" spans="13:35" x14ac:dyDescent="0.25">
      <c r="M293" s="84"/>
      <c r="N293" s="81"/>
      <c r="O293" s="81"/>
      <c r="P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</row>
    <row r="294" spans="13:35" x14ac:dyDescent="0.25">
      <c r="M294" s="84"/>
      <c r="N294" s="81"/>
      <c r="O294" s="81"/>
      <c r="P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</row>
    <row r="295" spans="13:35" x14ac:dyDescent="0.25">
      <c r="M295" s="84"/>
      <c r="N295" s="81"/>
      <c r="O295" s="81"/>
      <c r="P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</row>
    <row r="296" spans="13:35" x14ac:dyDescent="0.25">
      <c r="M296" s="84"/>
      <c r="N296" s="81"/>
      <c r="O296" s="81"/>
      <c r="P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</row>
    <row r="297" spans="13:35" x14ac:dyDescent="0.25">
      <c r="M297" s="84"/>
      <c r="N297" s="81"/>
      <c r="O297" s="81"/>
      <c r="P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</row>
    <row r="298" spans="13:35" x14ac:dyDescent="0.25">
      <c r="M298" s="84"/>
      <c r="N298" s="81"/>
      <c r="O298" s="81"/>
      <c r="P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</row>
    <row r="299" spans="13:35" x14ac:dyDescent="0.25">
      <c r="M299" s="84"/>
      <c r="N299" s="81"/>
      <c r="O299" s="81"/>
      <c r="P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</row>
    <row r="300" spans="13:35" x14ac:dyDescent="0.25">
      <c r="M300" s="84"/>
      <c r="N300" s="81"/>
      <c r="O300" s="81"/>
      <c r="P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</row>
    <row r="301" spans="13:35" x14ac:dyDescent="0.25">
      <c r="M301" s="84"/>
      <c r="N301" s="81"/>
      <c r="O301" s="81"/>
      <c r="P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</row>
    <row r="302" spans="13:35" x14ac:dyDescent="0.25">
      <c r="M302" s="84"/>
      <c r="N302" s="81"/>
      <c r="O302" s="81"/>
      <c r="P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</row>
    <row r="303" spans="13:35" x14ac:dyDescent="0.25">
      <c r="M303" s="84"/>
      <c r="N303" s="81"/>
      <c r="O303" s="81"/>
      <c r="P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</row>
    <row r="304" spans="13:35" x14ac:dyDescent="0.25">
      <c r="M304" s="84"/>
      <c r="N304" s="81"/>
      <c r="O304" s="81"/>
      <c r="P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</row>
    <row r="305" spans="13:35" x14ac:dyDescent="0.25">
      <c r="M305" s="84"/>
      <c r="N305" s="81"/>
      <c r="O305" s="81"/>
      <c r="P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</row>
    <row r="306" spans="13:35" x14ac:dyDescent="0.25">
      <c r="M306" s="84"/>
      <c r="N306" s="81"/>
      <c r="O306" s="81"/>
      <c r="P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</row>
    <row r="307" spans="13:35" x14ac:dyDescent="0.25">
      <c r="M307" s="84"/>
      <c r="N307" s="81"/>
      <c r="O307" s="81"/>
      <c r="P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</row>
    <row r="308" spans="13:35" x14ac:dyDescent="0.25">
      <c r="M308" s="84"/>
      <c r="N308" s="81"/>
      <c r="O308" s="81"/>
      <c r="P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</row>
    <row r="309" spans="13:35" x14ac:dyDescent="0.25">
      <c r="M309" s="84"/>
      <c r="N309" s="81"/>
      <c r="O309" s="81"/>
      <c r="P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</row>
    <row r="310" spans="13:35" x14ac:dyDescent="0.25">
      <c r="M310" s="84"/>
      <c r="N310" s="81"/>
      <c r="O310" s="81"/>
      <c r="P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</row>
    <row r="311" spans="13:35" x14ac:dyDescent="0.25">
      <c r="M311" s="84"/>
      <c r="N311" s="81"/>
      <c r="O311" s="81"/>
      <c r="P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</row>
    <row r="312" spans="13:35" x14ac:dyDescent="0.25">
      <c r="M312" s="84"/>
      <c r="N312" s="81"/>
      <c r="O312" s="81"/>
      <c r="P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</row>
    <row r="313" spans="13:35" x14ac:dyDescent="0.25">
      <c r="M313" s="84"/>
      <c r="N313" s="81"/>
      <c r="O313" s="81"/>
      <c r="P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</row>
    <row r="314" spans="13:35" x14ac:dyDescent="0.25">
      <c r="M314" s="84"/>
      <c r="N314" s="81"/>
      <c r="O314" s="81"/>
      <c r="P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</row>
    <row r="315" spans="13:35" x14ac:dyDescent="0.25">
      <c r="M315" s="84"/>
      <c r="N315" s="81"/>
      <c r="O315" s="81"/>
      <c r="P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</row>
    <row r="316" spans="13:35" x14ac:dyDescent="0.25">
      <c r="M316" s="84"/>
      <c r="N316" s="81"/>
      <c r="O316" s="81"/>
      <c r="P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</row>
    <row r="317" spans="13:35" x14ac:dyDescent="0.25">
      <c r="M317" s="84"/>
      <c r="N317" s="81"/>
      <c r="O317" s="81"/>
      <c r="P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</row>
    <row r="318" spans="13:35" x14ac:dyDescent="0.25">
      <c r="M318" s="84"/>
      <c r="N318" s="81"/>
      <c r="O318" s="81"/>
      <c r="P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</row>
    <row r="319" spans="13:35" x14ac:dyDescent="0.25">
      <c r="M319" s="84"/>
      <c r="N319" s="81"/>
      <c r="O319" s="81"/>
      <c r="P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</row>
    <row r="320" spans="13:35" x14ac:dyDescent="0.25">
      <c r="M320" s="84"/>
      <c r="N320" s="81"/>
      <c r="O320" s="81"/>
      <c r="P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</row>
    <row r="321" spans="13:35" x14ac:dyDescent="0.25">
      <c r="M321" s="84"/>
      <c r="N321" s="81"/>
      <c r="O321" s="81"/>
      <c r="P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</row>
    <row r="322" spans="13:35" x14ac:dyDescent="0.25">
      <c r="M322" s="84"/>
      <c r="N322" s="81"/>
      <c r="O322" s="81"/>
      <c r="P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</row>
    <row r="323" spans="13:35" x14ac:dyDescent="0.25">
      <c r="M323" s="84"/>
      <c r="N323" s="81"/>
      <c r="O323" s="81"/>
      <c r="P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</row>
    <row r="324" spans="13:35" x14ac:dyDescent="0.25">
      <c r="M324" s="84"/>
      <c r="N324" s="81"/>
      <c r="O324" s="81"/>
      <c r="P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</row>
    <row r="325" spans="13:35" x14ac:dyDescent="0.25">
      <c r="M325" s="84"/>
      <c r="N325" s="81"/>
      <c r="O325" s="81"/>
      <c r="P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</row>
    <row r="326" spans="13:35" x14ac:dyDescent="0.25">
      <c r="M326" s="84"/>
      <c r="N326" s="81"/>
      <c r="O326" s="81"/>
      <c r="P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</row>
    <row r="327" spans="13:35" x14ac:dyDescent="0.25">
      <c r="M327" s="84"/>
      <c r="N327" s="81"/>
      <c r="O327" s="81"/>
      <c r="P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</row>
    <row r="328" spans="13:35" x14ac:dyDescent="0.25">
      <c r="M328" s="84"/>
      <c r="N328" s="81"/>
      <c r="O328" s="81"/>
      <c r="P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</row>
    <row r="329" spans="13:35" x14ac:dyDescent="0.25">
      <c r="M329" s="84"/>
      <c r="N329" s="81"/>
      <c r="O329" s="81"/>
      <c r="P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</row>
    <row r="330" spans="13:35" x14ac:dyDescent="0.25">
      <c r="M330" s="84"/>
      <c r="N330" s="81"/>
      <c r="O330" s="81"/>
      <c r="P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</row>
    <row r="331" spans="13:35" x14ac:dyDescent="0.25">
      <c r="M331" s="84"/>
      <c r="N331" s="81"/>
      <c r="O331" s="81"/>
      <c r="P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</row>
    <row r="332" spans="13:35" x14ac:dyDescent="0.25">
      <c r="M332" s="84"/>
      <c r="N332" s="81"/>
      <c r="O332" s="81"/>
      <c r="P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</row>
    <row r="333" spans="13:35" x14ac:dyDescent="0.25">
      <c r="M333" s="84"/>
      <c r="N333" s="81"/>
      <c r="O333" s="81"/>
      <c r="P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</row>
    <row r="334" spans="13:35" x14ac:dyDescent="0.25">
      <c r="M334" s="84"/>
      <c r="N334" s="81"/>
      <c r="O334" s="81"/>
      <c r="P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</row>
    <row r="335" spans="13:35" x14ac:dyDescent="0.25">
      <c r="M335" s="84"/>
      <c r="N335" s="81"/>
      <c r="O335" s="81"/>
      <c r="P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</row>
    <row r="336" spans="13:35" x14ac:dyDescent="0.25">
      <c r="M336" s="84"/>
      <c r="N336" s="81"/>
      <c r="O336" s="81"/>
      <c r="P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</row>
    <row r="337" spans="13:35" x14ac:dyDescent="0.25">
      <c r="M337" s="84"/>
      <c r="N337" s="81"/>
      <c r="O337" s="81"/>
      <c r="P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</row>
    <row r="338" spans="13:35" x14ac:dyDescent="0.25">
      <c r="M338" s="84"/>
      <c r="N338" s="81"/>
      <c r="O338" s="81"/>
      <c r="P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</row>
    <row r="339" spans="13:35" x14ac:dyDescent="0.25">
      <c r="M339" s="84"/>
      <c r="N339" s="81"/>
      <c r="O339" s="81"/>
      <c r="P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</row>
    <row r="340" spans="13:35" x14ac:dyDescent="0.25">
      <c r="M340" s="84"/>
      <c r="N340" s="81"/>
      <c r="O340" s="81"/>
      <c r="P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</row>
    <row r="341" spans="13:35" x14ac:dyDescent="0.25">
      <c r="M341" s="84"/>
      <c r="N341" s="81"/>
      <c r="O341" s="81"/>
      <c r="P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</row>
    <row r="342" spans="13:35" x14ac:dyDescent="0.25">
      <c r="M342" s="84"/>
      <c r="N342" s="81"/>
      <c r="O342" s="81"/>
      <c r="P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</row>
    <row r="343" spans="13:35" x14ac:dyDescent="0.25">
      <c r="M343" s="84"/>
      <c r="N343" s="81"/>
      <c r="O343" s="81"/>
      <c r="P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</row>
    <row r="344" spans="13:35" x14ac:dyDescent="0.25">
      <c r="M344" s="84"/>
      <c r="N344" s="81"/>
      <c r="O344" s="81"/>
      <c r="P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</row>
    <row r="345" spans="13:35" x14ac:dyDescent="0.25">
      <c r="M345" s="84"/>
      <c r="N345" s="81"/>
      <c r="O345" s="81"/>
      <c r="P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</row>
    <row r="346" spans="13:35" x14ac:dyDescent="0.25">
      <c r="M346" s="84"/>
      <c r="N346" s="81"/>
      <c r="O346" s="81"/>
      <c r="P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</row>
    <row r="347" spans="13:35" x14ac:dyDescent="0.25">
      <c r="M347" s="84"/>
      <c r="N347" s="81"/>
      <c r="O347" s="81"/>
      <c r="P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</row>
    <row r="348" spans="13:35" x14ac:dyDescent="0.25">
      <c r="M348" s="84"/>
      <c r="N348" s="81"/>
      <c r="O348" s="81"/>
      <c r="P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</row>
    <row r="349" spans="13:35" x14ac:dyDescent="0.25">
      <c r="M349" s="84"/>
      <c r="N349" s="81"/>
      <c r="O349" s="81"/>
      <c r="P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</row>
    <row r="350" spans="13:35" x14ac:dyDescent="0.25">
      <c r="M350" s="84"/>
      <c r="N350" s="81"/>
      <c r="O350" s="81"/>
      <c r="P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</row>
    <row r="351" spans="13:35" x14ac:dyDescent="0.25">
      <c r="M351" s="84"/>
      <c r="N351" s="81"/>
      <c r="O351" s="81"/>
      <c r="P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</row>
    <row r="352" spans="13:35" x14ac:dyDescent="0.25">
      <c r="M352" s="84"/>
      <c r="N352" s="81"/>
      <c r="O352" s="81"/>
      <c r="P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</row>
    <row r="353" spans="13:35" x14ac:dyDescent="0.25">
      <c r="M353" s="84"/>
      <c r="N353" s="81"/>
      <c r="O353" s="81"/>
      <c r="P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</row>
    <row r="354" spans="13:35" x14ac:dyDescent="0.25">
      <c r="M354" s="84"/>
      <c r="N354" s="81"/>
      <c r="O354" s="81"/>
      <c r="P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</row>
    <row r="355" spans="13:35" x14ac:dyDescent="0.25">
      <c r="M355" s="84"/>
      <c r="N355" s="81"/>
      <c r="O355" s="81"/>
      <c r="P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</row>
    <row r="356" spans="13:35" x14ac:dyDescent="0.25">
      <c r="M356" s="84"/>
      <c r="N356" s="81"/>
      <c r="O356" s="81"/>
      <c r="P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</row>
    <row r="357" spans="13:35" x14ac:dyDescent="0.25">
      <c r="M357" s="84"/>
      <c r="N357" s="81"/>
      <c r="O357" s="81"/>
      <c r="P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</row>
    <row r="358" spans="13:35" x14ac:dyDescent="0.25">
      <c r="M358" s="84"/>
      <c r="N358" s="81"/>
      <c r="O358" s="81"/>
      <c r="P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</row>
    <row r="359" spans="13:35" x14ac:dyDescent="0.25">
      <c r="M359" s="84"/>
      <c r="N359" s="81"/>
      <c r="O359" s="81"/>
      <c r="P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</row>
    <row r="360" spans="13:35" x14ac:dyDescent="0.25">
      <c r="M360" s="84"/>
      <c r="N360" s="81"/>
      <c r="O360" s="81"/>
      <c r="P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</row>
    <row r="361" spans="13:35" x14ac:dyDescent="0.25">
      <c r="M361" s="84"/>
      <c r="N361" s="81"/>
      <c r="O361" s="81"/>
      <c r="P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</row>
    <row r="362" spans="13:35" x14ac:dyDescent="0.25">
      <c r="M362" s="84"/>
      <c r="N362" s="81"/>
      <c r="O362" s="81"/>
      <c r="P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</row>
    <row r="363" spans="13:35" x14ac:dyDescent="0.25">
      <c r="M363" s="84"/>
      <c r="N363" s="81"/>
      <c r="O363" s="81"/>
      <c r="P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</row>
    <row r="364" spans="13:35" x14ac:dyDescent="0.25">
      <c r="M364" s="84"/>
      <c r="N364" s="81"/>
      <c r="O364" s="81"/>
      <c r="P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</row>
    <row r="365" spans="13:35" x14ac:dyDescent="0.25">
      <c r="M365" s="84"/>
      <c r="N365" s="81"/>
      <c r="O365" s="81"/>
      <c r="P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</row>
    <row r="366" spans="13:35" x14ac:dyDescent="0.25">
      <c r="M366" s="84"/>
      <c r="N366" s="81"/>
      <c r="O366" s="81"/>
      <c r="P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</row>
    <row r="367" spans="13:35" x14ac:dyDescent="0.25">
      <c r="M367" s="84"/>
      <c r="N367" s="81"/>
      <c r="O367" s="81"/>
      <c r="P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</row>
    <row r="368" spans="13:35" x14ac:dyDescent="0.25">
      <c r="M368" s="84"/>
      <c r="N368" s="81"/>
      <c r="O368" s="81"/>
      <c r="P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</row>
    <row r="369" spans="13:35" x14ac:dyDescent="0.25">
      <c r="M369" s="84"/>
      <c r="N369" s="81"/>
      <c r="O369" s="81"/>
      <c r="P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</row>
    <row r="370" spans="13:35" x14ac:dyDescent="0.25">
      <c r="M370" s="84"/>
      <c r="N370" s="81"/>
      <c r="O370" s="81"/>
      <c r="P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</row>
    <row r="371" spans="13:35" x14ac:dyDescent="0.25">
      <c r="M371" s="84"/>
      <c r="N371" s="81"/>
      <c r="O371" s="81"/>
      <c r="P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</row>
    <row r="372" spans="13:35" x14ac:dyDescent="0.25">
      <c r="M372" s="84"/>
      <c r="N372" s="81"/>
      <c r="O372" s="81"/>
      <c r="P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</row>
    <row r="373" spans="13:35" x14ac:dyDescent="0.25">
      <c r="M373" s="84"/>
      <c r="N373" s="81"/>
      <c r="O373" s="81"/>
      <c r="P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</row>
    <row r="374" spans="13:35" x14ac:dyDescent="0.25">
      <c r="M374" s="84"/>
      <c r="N374" s="81"/>
      <c r="O374" s="81"/>
      <c r="P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</row>
    <row r="375" spans="13:35" x14ac:dyDescent="0.25">
      <c r="M375" s="84"/>
      <c r="N375" s="81"/>
      <c r="O375" s="81"/>
      <c r="P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</row>
    <row r="376" spans="13:35" x14ac:dyDescent="0.25">
      <c r="M376" s="84"/>
      <c r="N376" s="81"/>
      <c r="O376" s="81"/>
      <c r="P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</row>
    <row r="377" spans="13:35" x14ac:dyDescent="0.25">
      <c r="M377" s="84"/>
      <c r="N377" s="81"/>
      <c r="O377" s="81"/>
      <c r="P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</row>
    <row r="378" spans="13:35" x14ac:dyDescent="0.25">
      <c r="M378" s="84"/>
      <c r="N378" s="81"/>
      <c r="O378" s="81"/>
      <c r="P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</row>
    <row r="379" spans="13:35" x14ac:dyDescent="0.25">
      <c r="M379" s="84"/>
      <c r="N379" s="81"/>
      <c r="O379" s="81"/>
      <c r="P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</row>
    <row r="380" spans="13:35" x14ac:dyDescent="0.25">
      <c r="M380" s="84"/>
      <c r="N380" s="81"/>
      <c r="O380" s="81"/>
      <c r="P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</row>
    <row r="381" spans="13:35" x14ac:dyDescent="0.25">
      <c r="M381" s="84"/>
      <c r="N381" s="81"/>
      <c r="O381" s="81"/>
      <c r="P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</row>
    <row r="382" spans="13:35" x14ac:dyDescent="0.25">
      <c r="M382" s="84"/>
      <c r="N382" s="81"/>
      <c r="O382" s="81"/>
      <c r="P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</row>
    <row r="383" spans="13:35" x14ac:dyDescent="0.25">
      <c r="M383" s="84"/>
      <c r="N383" s="81"/>
      <c r="O383" s="81"/>
      <c r="P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</row>
    <row r="384" spans="13:35" x14ac:dyDescent="0.25">
      <c r="M384" s="84"/>
      <c r="N384" s="81"/>
      <c r="O384" s="81"/>
      <c r="P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</row>
    <row r="385" spans="13:35" x14ac:dyDescent="0.25">
      <c r="M385" s="84"/>
      <c r="N385" s="81"/>
      <c r="O385" s="81"/>
      <c r="P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</row>
    <row r="386" spans="13:35" x14ac:dyDescent="0.25">
      <c r="M386" s="84"/>
      <c r="N386" s="81"/>
      <c r="O386" s="81"/>
      <c r="P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</row>
    <row r="387" spans="13:35" x14ac:dyDescent="0.25">
      <c r="M387" s="84"/>
      <c r="N387" s="81"/>
      <c r="O387" s="81"/>
      <c r="P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</row>
    <row r="388" spans="13:35" x14ac:dyDescent="0.25">
      <c r="M388" s="84"/>
      <c r="N388" s="81"/>
      <c r="O388" s="81"/>
      <c r="P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</row>
    <row r="389" spans="13:35" x14ac:dyDescent="0.25">
      <c r="M389" s="84"/>
      <c r="N389" s="81"/>
      <c r="O389" s="81"/>
      <c r="P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</row>
    <row r="390" spans="13:35" x14ac:dyDescent="0.25">
      <c r="M390" s="84"/>
      <c r="N390" s="81"/>
      <c r="O390" s="81"/>
      <c r="P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</row>
    <row r="391" spans="13:35" x14ac:dyDescent="0.25">
      <c r="M391" s="84"/>
      <c r="N391" s="81"/>
      <c r="O391" s="81"/>
      <c r="P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</row>
    <row r="392" spans="13:35" x14ac:dyDescent="0.25">
      <c r="M392" s="84"/>
      <c r="N392" s="81"/>
      <c r="O392" s="81"/>
      <c r="P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</row>
    <row r="393" spans="13:35" x14ac:dyDescent="0.25">
      <c r="M393" s="84"/>
      <c r="N393" s="81"/>
      <c r="O393" s="81"/>
      <c r="P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</row>
    <row r="394" spans="13:35" x14ac:dyDescent="0.25">
      <c r="M394" s="84"/>
      <c r="N394" s="81"/>
      <c r="O394" s="81"/>
      <c r="P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</row>
    <row r="395" spans="13:35" x14ac:dyDescent="0.25">
      <c r="M395" s="84"/>
      <c r="N395" s="81"/>
      <c r="O395" s="81"/>
      <c r="P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</row>
    <row r="396" spans="13:35" x14ac:dyDescent="0.25">
      <c r="M396" s="84"/>
      <c r="N396" s="81"/>
      <c r="O396" s="81"/>
      <c r="P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</row>
    <row r="397" spans="13:35" x14ac:dyDescent="0.25">
      <c r="M397" s="84"/>
      <c r="N397" s="81"/>
      <c r="O397" s="81"/>
      <c r="P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</row>
    <row r="398" spans="13:35" x14ac:dyDescent="0.25">
      <c r="M398" s="84"/>
      <c r="N398" s="81"/>
      <c r="O398" s="81"/>
      <c r="P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</row>
    <row r="399" spans="13:35" x14ac:dyDescent="0.25">
      <c r="M399" s="84"/>
      <c r="N399" s="81"/>
      <c r="O399" s="81"/>
      <c r="P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</row>
    <row r="400" spans="13:35" x14ac:dyDescent="0.25">
      <c r="M400" s="84"/>
      <c r="N400" s="81"/>
      <c r="O400" s="81"/>
      <c r="P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</row>
    <row r="401" spans="13:35" x14ac:dyDescent="0.25">
      <c r="M401" s="84"/>
      <c r="N401" s="81"/>
      <c r="O401" s="81"/>
      <c r="P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</row>
    <row r="402" spans="13:35" x14ac:dyDescent="0.25">
      <c r="M402" s="84"/>
      <c r="N402" s="81"/>
      <c r="O402" s="81"/>
      <c r="P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</row>
    <row r="403" spans="13:35" x14ac:dyDescent="0.25">
      <c r="M403" s="84"/>
      <c r="N403" s="81"/>
      <c r="O403" s="81"/>
      <c r="P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</row>
    <row r="404" spans="13:35" x14ac:dyDescent="0.25">
      <c r="M404" s="84"/>
      <c r="N404" s="81"/>
      <c r="O404" s="81"/>
      <c r="P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</row>
    <row r="405" spans="13:35" x14ac:dyDescent="0.25">
      <c r="M405" s="84"/>
      <c r="N405" s="81"/>
      <c r="O405" s="81"/>
      <c r="P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</row>
    <row r="406" spans="13:35" x14ac:dyDescent="0.25">
      <c r="M406" s="84"/>
      <c r="N406" s="81"/>
      <c r="O406" s="81"/>
      <c r="P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</row>
    <row r="407" spans="13:35" x14ac:dyDescent="0.25">
      <c r="M407" s="84"/>
      <c r="N407" s="81"/>
      <c r="O407" s="81"/>
      <c r="P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</row>
    <row r="408" spans="13:35" x14ac:dyDescent="0.25">
      <c r="M408" s="84"/>
      <c r="N408" s="81"/>
      <c r="O408" s="81"/>
      <c r="P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</row>
    <row r="409" spans="13:35" x14ac:dyDescent="0.25">
      <c r="M409" s="84"/>
      <c r="N409" s="81"/>
      <c r="O409" s="81"/>
      <c r="P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</row>
    <row r="410" spans="13:35" x14ac:dyDescent="0.25">
      <c r="M410" s="84"/>
      <c r="N410" s="81"/>
      <c r="O410" s="81"/>
      <c r="P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</row>
    <row r="411" spans="13:35" x14ac:dyDescent="0.25">
      <c r="M411" s="84"/>
      <c r="N411" s="81"/>
      <c r="O411" s="81"/>
      <c r="P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</row>
    <row r="412" spans="13:35" x14ac:dyDescent="0.25">
      <c r="M412" s="84"/>
      <c r="N412" s="81"/>
      <c r="O412" s="81"/>
      <c r="P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</row>
    <row r="413" spans="13:35" x14ac:dyDescent="0.25">
      <c r="M413" s="84"/>
      <c r="N413" s="81"/>
      <c r="O413" s="81"/>
      <c r="P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</row>
    <row r="414" spans="13:35" x14ac:dyDescent="0.25">
      <c r="M414" s="84"/>
      <c r="N414" s="81"/>
      <c r="O414" s="81"/>
      <c r="P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</row>
    <row r="415" spans="13:35" x14ac:dyDescent="0.25">
      <c r="M415" s="84"/>
      <c r="N415" s="81"/>
      <c r="O415" s="81"/>
      <c r="P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</row>
    <row r="416" spans="13:35" x14ac:dyDescent="0.25">
      <c r="M416" s="84"/>
      <c r="N416" s="81"/>
      <c r="O416" s="81"/>
      <c r="P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</row>
    <row r="417" spans="13:35" x14ac:dyDescent="0.25">
      <c r="M417" s="84"/>
      <c r="N417" s="81"/>
      <c r="O417" s="81"/>
      <c r="P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</row>
    <row r="418" spans="13:35" x14ac:dyDescent="0.25">
      <c r="M418" s="84"/>
      <c r="N418" s="81"/>
      <c r="O418" s="81"/>
      <c r="P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</row>
    <row r="419" spans="13:35" x14ac:dyDescent="0.25">
      <c r="M419" s="84"/>
      <c r="N419" s="81"/>
      <c r="O419" s="81"/>
      <c r="P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</row>
    <row r="420" spans="13:35" x14ac:dyDescent="0.25">
      <c r="M420" s="84"/>
      <c r="N420" s="81"/>
      <c r="O420" s="81"/>
      <c r="P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</row>
    <row r="421" spans="13:35" x14ac:dyDescent="0.25">
      <c r="M421" s="84"/>
      <c r="N421" s="81"/>
      <c r="O421" s="81"/>
      <c r="P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</row>
    <row r="422" spans="13:35" x14ac:dyDescent="0.25">
      <c r="M422" s="84"/>
      <c r="N422" s="81"/>
      <c r="O422" s="81"/>
      <c r="P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</row>
    <row r="423" spans="13:35" x14ac:dyDescent="0.25">
      <c r="M423" s="84"/>
      <c r="N423" s="81"/>
      <c r="O423" s="81"/>
      <c r="P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</row>
    <row r="424" spans="13:35" x14ac:dyDescent="0.25">
      <c r="M424" s="84"/>
      <c r="N424" s="81"/>
      <c r="O424" s="81"/>
      <c r="P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</row>
    <row r="425" spans="13:35" x14ac:dyDescent="0.25">
      <c r="M425" s="84"/>
      <c r="N425" s="81"/>
      <c r="O425" s="81"/>
      <c r="P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</row>
    <row r="426" spans="13:35" x14ac:dyDescent="0.25">
      <c r="M426" s="84"/>
      <c r="N426" s="81"/>
      <c r="O426" s="81"/>
      <c r="P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</row>
    <row r="427" spans="13:35" x14ac:dyDescent="0.25">
      <c r="M427" s="84"/>
      <c r="N427" s="81"/>
      <c r="O427" s="81"/>
      <c r="P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</row>
    <row r="428" spans="13:35" x14ac:dyDescent="0.25">
      <c r="M428" s="84"/>
      <c r="N428" s="81"/>
      <c r="O428" s="81"/>
      <c r="P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</row>
    <row r="429" spans="13:35" x14ac:dyDescent="0.25">
      <c r="M429" s="84"/>
      <c r="N429" s="81"/>
      <c r="O429" s="81"/>
      <c r="P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</row>
    <row r="430" spans="13:35" x14ac:dyDescent="0.25">
      <c r="M430" s="84"/>
      <c r="N430" s="81"/>
      <c r="O430" s="81"/>
      <c r="P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</row>
    <row r="431" spans="13:35" x14ac:dyDescent="0.25">
      <c r="M431" s="84"/>
      <c r="N431" s="81"/>
      <c r="O431" s="81"/>
      <c r="P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</row>
    <row r="432" spans="13:35" x14ac:dyDescent="0.25">
      <c r="M432" s="84"/>
      <c r="N432" s="81"/>
      <c r="O432" s="81"/>
      <c r="P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</row>
    <row r="433" spans="13:35" x14ac:dyDescent="0.25">
      <c r="M433" s="84"/>
      <c r="N433" s="81"/>
      <c r="O433" s="81"/>
      <c r="P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</row>
    <row r="434" spans="13:35" x14ac:dyDescent="0.25">
      <c r="M434" s="84"/>
      <c r="N434" s="81"/>
      <c r="O434" s="81"/>
      <c r="P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</row>
    <row r="435" spans="13:35" x14ac:dyDescent="0.25">
      <c r="M435" s="84"/>
      <c r="N435" s="81"/>
      <c r="O435" s="81"/>
      <c r="P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</row>
    <row r="436" spans="13:35" x14ac:dyDescent="0.25">
      <c r="M436" s="84"/>
      <c r="N436" s="81"/>
      <c r="O436" s="81"/>
      <c r="P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</row>
    <row r="437" spans="13:35" x14ac:dyDescent="0.25">
      <c r="M437" s="84"/>
      <c r="N437" s="81"/>
      <c r="O437" s="81"/>
      <c r="P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</row>
    <row r="438" spans="13:35" x14ac:dyDescent="0.25">
      <c r="M438" s="84"/>
      <c r="N438" s="81"/>
      <c r="O438" s="81"/>
      <c r="P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</row>
    <row r="439" spans="13:35" x14ac:dyDescent="0.25">
      <c r="M439" s="84"/>
      <c r="N439" s="81"/>
      <c r="O439" s="81"/>
      <c r="P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</row>
    <row r="440" spans="13:35" x14ac:dyDescent="0.25">
      <c r="M440" s="84"/>
      <c r="N440" s="81"/>
      <c r="O440" s="81"/>
      <c r="P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</row>
    <row r="441" spans="13:35" x14ac:dyDescent="0.25">
      <c r="M441" s="84"/>
      <c r="N441" s="81"/>
      <c r="O441" s="81"/>
      <c r="P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</row>
    <row r="442" spans="13:35" x14ac:dyDescent="0.25">
      <c r="M442" s="84"/>
      <c r="N442" s="81"/>
      <c r="O442" s="81"/>
      <c r="P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</row>
    <row r="443" spans="13:35" x14ac:dyDescent="0.25">
      <c r="M443" s="84"/>
      <c r="N443" s="81"/>
      <c r="O443" s="81"/>
      <c r="P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</row>
    <row r="444" spans="13:35" x14ac:dyDescent="0.25">
      <c r="M444" s="84"/>
      <c r="N444" s="81"/>
      <c r="O444" s="81"/>
      <c r="P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</row>
    <row r="445" spans="13:35" x14ac:dyDescent="0.25">
      <c r="M445" s="84"/>
      <c r="N445" s="81"/>
      <c r="O445" s="81"/>
      <c r="P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</row>
    <row r="446" spans="13:35" x14ac:dyDescent="0.25">
      <c r="M446" s="84"/>
      <c r="N446" s="81"/>
      <c r="O446" s="81"/>
      <c r="P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</row>
    <row r="447" spans="13:35" x14ac:dyDescent="0.25">
      <c r="M447" s="84"/>
      <c r="N447" s="81"/>
      <c r="O447" s="81"/>
      <c r="P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</row>
    <row r="448" spans="13:35" x14ac:dyDescent="0.25">
      <c r="M448" s="84"/>
      <c r="N448" s="81"/>
      <c r="O448" s="81"/>
      <c r="P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</row>
    <row r="449" spans="13:35" x14ac:dyDescent="0.25">
      <c r="M449" s="84"/>
      <c r="N449" s="81"/>
      <c r="O449" s="81"/>
      <c r="P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</row>
    <row r="450" spans="13:35" x14ac:dyDescent="0.25">
      <c r="M450" s="84"/>
      <c r="N450" s="81"/>
      <c r="O450" s="81"/>
      <c r="P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</row>
    <row r="451" spans="13:35" x14ac:dyDescent="0.25">
      <c r="M451" s="84"/>
      <c r="N451" s="81"/>
      <c r="O451" s="81"/>
      <c r="P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</row>
    <row r="452" spans="13:35" x14ac:dyDescent="0.25">
      <c r="M452" s="84"/>
      <c r="N452" s="81"/>
      <c r="O452" s="81"/>
      <c r="P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</row>
    <row r="453" spans="13:35" x14ac:dyDescent="0.25">
      <c r="M453" s="84"/>
      <c r="N453" s="81"/>
      <c r="O453" s="81"/>
      <c r="P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</row>
    <row r="454" spans="13:35" x14ac:dyDescent="0.25">
      <c r="M454" s="84"/>
      <c r="N454" s="81"/>
      <c r="O454" s="81"/>
      <c r="P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</row>
    <row r="455" spans="13:35" x14ac:dyDescent="0.25">
      <c r="M455" s="84"/>
      <c r="N455" s="81"/>
      <c r="O455" s="81"/>
      <c r="P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</row>
    <row r="456" spans="13:35" x14ac:dyDescent="0.25">
      <c r="M456" s="84"/>
      <c r="N456" s="81"/>
      <c r="O456" s="81"/>
      <c r="P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</row>
    <row r="457" spans="13:35" x14ac:dyDescent="0.25">
      <c r="M457" s="84"/>
      <c r="N457" s="81"/>
      <c r="O457" s="81"/>
      <c r="P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</row>
    <row r="458" spans="13:35" x14ac:dyDescent="0.25">
      <c r="M458" s="84"/>
      <c r="N458" s="81"/>
      <c r="O458" s="81"/>
      <c r="P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</row>
    <row r="459" spans="13:35" x14ac:dyDescent="0.25">
      <c r="M459" s="84"/>
      <c r="N459" s="81"/>
      <c r="O459" s="81"/>
      <c r="P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</row>
    <row r="460" spans="13:35" x14ac:dyDescent="0.25">
      <c r="M460" s="84"/>
      <c r="N460" s="81"/>
      <c r="O460" s="81"/>
      <c r="P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</row>
    <row r="461" spans="13:35" x14ac:dyDescent="0.25">
      <c r="M461" s="84"/>
      <c r="N461" s="81"/>
      <c r="O461" s="81"/>
      <c r="P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</row>
    <row r="462" spans="13:35" x14ac:dyDescent="0.25">
      <c r="M462" s="84"/>
      <c r="N462" s="81"/>
      <c r="O462" s="81"/>
      <c r="P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</row>
    <row r="463" spans="13:35" x14ac:dyDescent="0.25">
      <c r="M463" s="84"/>
      <c r="N463" s="81"/>
      <c r="O463" s="81"/>
      <c r="P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</row>
    <row r="464" spans="13:35" x14ac:dyDescent="0.25">
      <c r="M464" s="84"/>
      <c r="N464" s="81"/>
      <c r="O464" s="81"/>
      <c r="P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</row>
    <row r="465" spans="13:35" x14ac:dyDescent="0.25">
      <c r="M465" s="84"/>
      <c r="N465" s="81"/>
      <c r="O465" s="81"/>
      <c r="P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</row>
    <row r="466" spans="13:35" x14ac:dyDescent="0.25">
      <c r="M466" s="84"/>
      <c r="N466" s="81"/>
      <c r="O466" s="81"/>
      <c r="P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</row>
    <row r="467" spans="13:35" x14ac:dyDescent="0.25">
      <c r="M467" s="84"/>
      <c r="N467" s="81"/>
      <c r="O467" s="81"/>
      <c r="P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</row>
    <row r="468" spans="13:35" x14ac:dyDescent="0.25">
      <c r="M468" s="84"/>
      <c r="N468" s="81"/>
      <c r="O468" s="81"/>
      <c r="P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</row>
    <row r="469" spans="13:35" x14ac:dyDescent="0.25">
      <c r="M469" s="84"/>
      <c r="N469" s="81"/>
      <c r="O469" s="81"/>
      <c r="P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</row>
    <row r="470" spans="13:35" x14ac:dyDescent="0.25">
      <c r="M470" s="84"/>
      <c r="N470" s="81"/>
      <c r="O470" s="81"/>
      <c r="P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</row>
    <row r="471" spans="13:35" x14ac:dyDescent="0.25">
      <c r="M471" s="84"/>
      <c r="N471" s="81"/>
      <c r="O471" s="81"/>
      <c r="P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</row>
    <row r="472" spans="13:35" x14ac:dyDescent="0.25">
      <c r="M472" s="84"/>
      <c r="N472" s="81"/>
      <c r="O472" s="81"/>
      <c r="P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</row>
    <row r="473" spans="13:35" x14ac:dyDescent="0.25">
      <c r="M473" s="84"/>
      <c r="N473" s="81"/>
      <c r="O473" s="81"/>
      <c r="P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</row>
    <row r="474" spans="13:35" x14ac:dyDescent="0.25">
      <c r="M474" s="84"/>
      <c r="N474" s="81"/>
      <c r="O474" s="81"/>
      <c r="P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</row>
    <row r="475" spans="13:35" x14ac:dyDescent="0.25">
      <c r="M475" s="84"/>
      <c r="N475" s="81"/>
      <c r="O475" s="81"/>
      <c r="P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</row>
    <row r="476" spans="13:35" x14ac:dyDescent="0.25">
      <c r="M476" s="84"/>
      <c r="N476" s="81"/>
      <c r="O476" s="81"/>
      <c r="P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</row>
    <row r="477" spans="13:35" x14ac:dyDescent="0.25">
      <c r="M477" s="84"/>
      <c r="N477" s="81"/>
      <c r="O477" s="81"/>
      <c r="P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</row>
    <row r="478" spans="13:35" x14ac:dyDescent="0.25">
      <c r="M478" s="84"/>
      <c r="N478" s="81"/>
      <c r="O478" s="81"/>
      <c r="P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</row>
    <row r="479" spans="13:35" x14ac:dyDescent="0.25">
      <c r="M479" s="84"/>
      <c r="N479" s="81"/>
      <c r="O479" s="81"/>
      <c r="P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</row>
  </sheetData>
  <mergeCells count="22">
    <mergeCell ref="D1:E1"/>
    <mergeCell ref="J1:M1"/>
    <mergeCell ref="B28:B33"/>
    <mergeCell ref="B34:B39"/>
    <mergeCell ref="B40:B45"/>
    <mergeCell ref="B52:B53"/>
    <mergeCell ref="C52:C53"/>
    <mergeCell ref="C32:C33"/>
    <mergeCell ref="C28:C29"/>
    <mergeCell ref="C30:C31"/>
    <mergeCell ref="C34:C35"/>
    <mergeCell ref="C36:C37"/>
    <mergeCell ref="C38:C39"/>
    <mergeCell ref="C40:C41"/>
    <mergeCell ref="C42:C43"/>
    <mergeCell ref="C44:C45"/>
    <mergeCell ref="B65:B66"/>
    <mergeCell ref="C65:C66"/>
    <mergeCell ref="B54:B55"/>
    <mergeCell ref="C54:C55"/>
    <mergeCell ref="B56:B57"/>
    <mergeCell ref="C56:C57"/>
  </mergeCells>
  <conditionalFormatting sqref="AA3:AB3 AA5:AB20 AB4">
    <cfRule type="cellIs" dxfId="19" priority="25" operator="greaterThan">
      <formula>1.08</formula>
    </cfRule>
  </conditionalFormatting>
  <conditionalFormatting sqref="AF3 AF5:AF20">
    <cfRule type="cellIs" dxfId="18" priority="22" operator="greaterThan">
      <formula>1.08</formula>
    </cfRule>
  </conditionalFormatting>
  <conditionalFormatting sqref="AC3:AD3 AC5:AD20">
    <cfRule type="cellIs" dxfId="17" priority="20" operator="greaterThan">
      <formula>1</formula>
    </cfRule>
  </conditionalFormatting>
  <conditionalFormatting sqref="AG3 AG5:AG20">
    <cfRule type="cellIs" dxfId="16" priority="19" operator="greaterThan">
      <formula>1</formula>
    </cfRule>
  </conditionalFormatting>
  <conditionalFormatting sqref="AA21:AB21">
    <cfRule type="cellIs" dxfId="15" priority="18" operator="greaterThan">
      <formula>1.08</formula>
    </cfRule>
  </conditionalFormatting>
  <conditionalFormatting sqref="AF21">
    <cfRule type="cellIs" dxfId="14" priority="17" operator="greaterThan">
      <formula>1.08</formula>
    </cfRule>
  </conditionalFormatting>
  <conditionalFormatting sqref="AC21:AD21">
    <cfRule type="cellIs" dxfId="13" priority="16" operator="greaterThan">
      <formula>1</formula>
    </cfRule>
  </conditionalFormatting>
  <conditionalFormatting sqref="AG21">
    <cfRule type="cellIs" dxfId="12" priority="15" operator="greaterThan">
      <formula>1</formula>
    </cfRule>
  </conditionalFormatting>
  <conditionalFormatting sqref="AA22:AB22">
    <cfRule type="cellIs" dxfId="11" priority="14" operator="greaterThan">
      <formula>1.08</formula>
    </cfRule>
  </conditionalFormatting>
  <conditionalFormatting sqref="AF22">
    <cfRule type="cellIs" dxfId="10" priority="13" operator="greaterThan">
      <formula>1.08</formula>
    </cfRule>
  </conditionalFormatting>
  <conditionalFormatting sqref="AC22:AD22">
    <cfRule type="cellIs" dxfId="9" priority="12" operator="greaterThan">
      <formula>1</formula>
    </cfRule>
  </conditionalFormatting>
  <conditionalFormatting sqref="AG22">
    <cfRule type="cellIs" dxfId="8" priority="11" operator="greaterThan">
      <formula>1</formula>
    </cfRule>
  </conditionalFormatting>
  <conditionalFormatting sqref="AA23:AB23">
    <cfRule type="cellIs" dxfId="7" priority="10" operator="greaterThan">
      <formula>1.08</formula>
    </cfRule>
  </conditionalFormatting>
  <conditionalFormatting sqref="AF23">
    <cfRule type="cellIs" dxfId="6" priority="9" operator="greaterThan">
      <formula>1.08</formula>
    </cfRule>
  </conditionalFormatting>
  <conditionalFormatting sqref="AC23:AD23">
    <cfRule type="cellIs" dxfId="5" priority="8" operator="greaterThan">
      <formula>1</formula>
    </cfRule>
  </conditionalFormatting>
  <conditionalFormatting sqref="AG23">
    <cfRule type="cellIs" dxfId="4" priority="7" operator="greaterThan">
      <formula>1</formula>
    </cfRule>
  </conditionalFormatting>
  <conditionalFormatting sqref="AA4">
    <cfRule type="cellIs" dxfId="3" priority="6" operator="greaterThan">
      <formula>1.08</formula>
    </cfRule>
  </conditionalFormatting>
  <conditionalFormatting sqref="AF4">
    <cfRule type="cellIs" dxfId="2" priority="5" operator="greaterThan">
      <formula>1.08</formula>
    </cfRule>
  </conditionalFormatting>
  <conditionalFormatting sqref="AC4:AD4">
    <cfRule type="cellIs" dxfId="1" priority="4" operator="greaterThan">
      <formula>1</formula>
    </cfRule>
  </conditionalFormatting>
  <conditionalFormatting sqref="AG4">
    <cfRule type="cellIs" dxfId="0" priority="3" operator="greaterThan">
      <formula>1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Cabos!$A$3:$A$6</xm:f>
          </x14:formula1>
          <xm:sqref>H5:H23</xm:sqref>
        </x14:dataValidation>
        <x14:dataValidation type="list" allowBlank="1" showInputMessage="1" showErrorMessage="1" xr:uid="{0D768820-31ED-4214-A906-45C1680F8818}">
          <x14:formula1>
            <xm:f>Cabos!$A$2:$A$6</xm:f>
          </x14:formula1>
          <xm:sqref>H3:H4</xm:sqref>
        </x14:dataValidation>
        <x14:dataValidation type="list" allowBlank="1" showInputMessage="1" showErrorMessage="1" xr:uid="{00000000-0002-0000-0000-000001000000}">
          <x14:formula1>
            <xm:f>Cabos!$B$13:$B$207</xm:f>
          </x14:formula1>
          <xm:sqref>J3:J134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5"/>
  <sheetViews>
    <sheetView topLeftCell="A7" workbookViewId="0">
      <selection activeCell="A7" sqref="A1:XFD1048576"/>
    </sheetView>
  </sheetViews>
  <sheetFormatPr defaultRowHeight="15" x14ac:dyDescent="0.25"/>
  <cols>
    <col min="1" max="1" width="16.42578125" customWidth="1"/>
    <col min="2" max="2" width="25.5703125" customWidth="1"/>
    <col min="3" max="3" width="15.28515625" customWidth="1"/>
    <col min="4" max="4" width="14.7109375" customWidth="1"/>
    <col min="5" max="5" width="12.5703125" customWidth="1"/>
    <col min="6" max="6" width="12.85546875" customWidth="1"/>
  </cols>
  <sheetData>
    <row r="1" spans="1:12" x14ac:dyDescent="0.25">
      <c r="A1" t="s">
        <v>5</v>
      </c>
    </row>
    <row r="2" spans="1:12" x14ac:dyDescent="0.25">
      <c r="A2">
        <v>6.6</v>
      </c>
    </row>
    <row r="3" spans="1:12" x14ac:dyDescent="0.25">
      <c r="A3">
        <v>26</v>
      </c>
      <c r="D3">
        <v>200</v>
      </c>
    </row>
    <row r="4" spans="1:12" x14ac:dyDescent="0.25">
      <c r="A4">
        <v>26.5</v>
      </c>
      <c r="D4" s="3">
        <f>'Dados Típicos'!O43</f>
        <v>316.66666666666669</v>
      </c>
    </row>
    <row r="5" spans="1:12" x14ac:dyDescent="0.25">
      <c r="A5">
        <v>9</v>
      </c>
      <c r="C5">
        <v>220</v>
      </c>
      <c r="D5">
        <f>C5/1.2</f>
        <v>183.33333333333334</v>
      </c>
    </row>
    <row r="6" spans="1:12" x14ac:dyDescent="0.25">
      <c r="A6">
        <v>6.9</v>
      </c>
    </row>
    <row r="7" spans="1:12" x14ac:dyDescent="0.25">
      <c r="H7">
        <v>15</v>
      </c>
    </row>
    <row r="8" spans="1:12" ht="17.25" x14ac:dyDescent="0.25">
      <c r="B8" t="s">
        <v>9</v>
      </c>
      <c r="C8" t="s">
        <v>144</v>
      </c>
      <c r="D8" t="s">
        <v>17</v>
      </c>
      <c r="E8" t="s">
        <v>91</v>
      </c>
      <c r="F8" t="s">
        <v>92</v>
      </c>
      <c r="G8" t="s">
        <v>164</v>
      </c>
    </row>
    <row r="9" spans="1:12" ht="17.25" x14ac:dyDescent="0.25">
      <c r="B9" s="2" t="s">
        <v>143</v>
      </c>
      <c r="C9" s="3">
        <f>'Dados Típicos'!G14</f>
        <v>130.5</v>
      </c>
      <c r="D9">
        <v>0.53834500000000007</v>
      </c>
      <c r="E9">
        <v>0.16800000000000001</v>
      </c>
      <c r="F9" s="77">
        <v>11132</v>
      </c>
      <c r="G9">
        <v>180</v>
      </c>
      <c r="H9">
        <v>23.570399999999999</v>
      </c>
      <c r="I9">
        <v>1</v>
      </c>
    </row>
    <row r="10" spans="1:12" ht="17.25" x14ac:dyDescent="0.25">
      <c r="B10" s="2" t="s">
        <v>142</v>
      </c>
      <c r="C10" s="3">
        <f>'Dados Típicos'!O14</f>
        <v>153.70000000000002</v>
      </c>
      <c r="D10">
        <v>0.495</v>
      </c>
      <c r="E10">
        <v>0.161</v>
      </c>
      <c r="F10" s="77">
        <v>9958</v>
      </c>
      <c r="G10">
        <v>200</v>
      </c>
      <c r="H10">
        <v>24.414000000000001</v>
      </c>
      <c r="I10">
        <v>2</v>
      </c>
    </row>
    <row r="11" spans="1:12" ht="17.25" x14ac:dyDescent="0.25">
      <c r="B11" s="2" t="s">
        <v>141</v>
      </c>
      <c r="C11" s="3">
        <f>'Dados Típicos'!G23</f>
        <v>187.05</v>
      </c>
      <c r="D11">
        <v>0.34399999999999997</v>
      </c>
      <c r="E11">
        <v>0.152</v>
      </c>
      <c r="F11" s="77">
        <v>8949</v>
      </c>
      <c r="G11">
        <v>220</v>
      </c>
      <c r="H11">
        <v>25.430799999999998</v>
      </c>
      <c r="I11">
        <v>3</v>
      </c>
    </row>
    <row r="12" spans="1:12" ht="17.25" x14ac:dyDescent="0.25">
      <c r="B12" s="2" t="s">
        <v>140</v>
      </c>
      <c r="C12" s="3">
        <f>'Dados Típicos'!O23</f>
        <v>221.85</v>
      </c>
      <c r="D12">
        <v>0.248</v>
      </c>
      <c r="E12">
        <v>0.14399999999999999</v>
      </c>
      <c r="F12" s="77">
        <v>8025</v>
      </c>
      <c r="G12">
        <v>248.6</v>
      </c>
      <c r="H12">
        <v>26.620799999999999</v>
      </c>
      <c r="I12">
        <v>4</v>
      </c>
      <c r="L12" t="s">
        <v>179</v>
      </c>
    </row>
    <row r="13" spans="1:12" ht="18" customHeight="1" x14ac:dyDescent="0.25">
      <c r="B13" s="2" t="s">
        <v>84</v>
      </c>
      <c r="C13" s="3">
        <f>'Dados Típicos'!G32</f>
        <v>250.85</v>
      </c>
      <c r="D13" s="76">
        <v>0.1582895</v>
      </c>
      <c r="E13">
        <v>0.13900000000000001</v>
      </c>
      <c r="F13" s="77">
        <v>7363</v>
      </c>
      <c r="G13">
        <v>273.89999999999998</v>
      </c>
      <c r="H13">
        <v>27.984000000000002</v>
      </c>
      <c r="I13">
        <v>5</v>
      </c>
      <c r="J13">
        <v>23.2</v>
      </c>
      <c r="K13">
        <f>J13-G13</f>
        <v>-250.7</v>
      </c>
      <c r="L13">
        <v>39.369999999999997</v>
      </c>
    </row>
    <row r="14" spans="1:12" ht="18" customHeight="1" x14ac:dyDescent="0.25">
      <c r="B14" s="2" t="s">
        <v>85</v>
      </c>
      <c r="C14" s="3">
        <f>'Dados Típicos'!O32</f>
        <v>278.39999999999998</v>
      </c>
      <c r="D14" s="76">
        <v>0.12936349999999999</v>
      </c>
      <c r="E14">
        <v>0.13500000000000001</v>
      </c>
      <c r="F14" s="77">
        <v>6803</v>
      </c>
      <c r="G14">
        <v>299.2</v>
      </c>
      <c r="H14">
        <v>29.520400000000002</v>
      </c>
      <c r="I14">
        <v>6</v>
      </c>
    </row>
    <row r="15" spans="1:12" ht="18" customHeight="1" x14ac:dyDescent="0.25">
      <c r="B15" s="2" t="s">
        <v>86</v>
      </c>
      <c r="C15" s="3">
        <f>'Dados Típicos'!G41</f>
        <v>311.02500000000003</v>
      </c>
      <c r="D15" s="76">
        <v>0.10365150000000001</v>
      </c>
      <c r="E15">
        <v>0.13</v>
      </c>
      <c r="F15" s="77">
        <v>6292</v>
      </c>
      <c r="G15">
        <v>341</v>
      </c>
      <c r="H15">
        <v>31.229999999999997</v>
      </c>
      <c r="I15">
        <v>7</v>
      </c>
    </row>
    <row r="16" spans="1:12" ht="18" customHeight="1" x14ac:dyDescent="0.25">
      <c r="B16" s="2" t="s">
        <v>87</v>
      </c>
      <c r="C16" s="3">
        <f>'Dados Típicos'!O41</f>
        <v>362.5</v>
      </c>
      <c r="D16" s="76">
        <v>8.0350000000000005E-2</v>
      </c>
      <c r="E16">
        <v>0.125</v>
      </c>
      <c r="F16" s="77">
        <v>6253</v>
      </c>
      <c r="G16">
        <v>382.8</v>
      </c>
      <c r="H16">
        <v>33.1128</v>
      </c>
      <c r="I16">
        <v>8</v>
      </c>
      <c r="J16">
        <v>33.64</v>
      </c>
      <c r="K16">
        <f>J16-G16</f>
        <v>-349.16</v>
      </c>
    </row>
    <row r="17" spans="2:9" ht="18" customHeight="1" x14ac:dyDescent="0.25">
      <c r="B17" s="2" t="s">
        <v>88</v>
      </c>
      <c r="C17" s="3">
        <f>'Dados Típicos'!G50</f>
        <v>395.125</v>
      </c>
      <c r="D17" s="76">
        <v>6.5083500000000002E-2</v>
      </c>
      <c r="E17">
        <v>0.121</v>
      </c>
      <c r="F17" s="77">
        <v>5746</v>
      </c>
      <c r="G17">
        <v>478.5</v>
      </c>
      <c r="H17">
        <v>35.168799999999997</v>
      </c>
      <c r="I17">
        <v>9</v>
      </c>
    </row>
    <row r="18" spans="2:9" ht="18" customHeight="1" x14ac:dyDescent="0.25">
      <c r="B18" s="2" t="s">
        <v>89</v>
      </c>
      <c r="C18" s="3">
        <f>'Dados Típicos'!O50</f>
        <v>435</v>
      </c>
      <c r="D18" s="76">
        <v>5.3031000000000002E-2</v>
      </c>
      <c r="E18">
        <v>0.11700000000000001</v>
      </c>
      <c r="F18" s="77">
        <v>5105</v>
      </c>
      <c r="G18">
        <v>526.78899082568807</v>
      </c>
      <c r="H18">
        <v>37.398000000000003</v>
      </c>
      <c r="I18">
        <v>10</v>
      </c>
    </row>
    <row r="19" spans="2:9" ht="18" customHeight="1" x14ac:dyDescent="0.25">
      <c r="B19" s="2" t="s">
        <v>90</v>
      </c>
      <c r="C19" s="3">
        <f>'Dados Típicos'!G60</f>
        <v>477.77500000000003</v>
      </c>
      <c r="D19" s="76">
        <v>4.7490500000000005E-2</v>
      </c>
      <c r="E19">
        <v>0.114</v>
      </c>
      <c r="F19" s="77">
        <v>4669</v>
      </c>
      <c r="G19">
        <v>578.58990825688068</v>
      </c>
      <c r="H19">
        <v>39.800400000000003</v>
      </c>
      <c r="I19">
        <v>11</v>
      </c>
    </row>
    <row r="20" spans="2:9" ht="18" customHeight="1" x14ac:dyDescent="0.25">
      <c r="B20" s="2" t="s">
        <v>137</v>
      </c>
      <c r="C20" s="3">
        <f>'Dados Típicos'!O60</f>
        <v>522.72500000000002</v>
      </c>
      <c r="D20" s="76">
        <v>4.1950000000000001E-2</v>
      </c>
      <c r="E20">
        <v>0.1137</v>
      </c>
      <c r="F20" s="77">
        <v>4583</v>
      </c>
      <c r="G20">
        <v>633.0247706422017</v>
      </c>
      <c r="H20">
        <v>42.375999999999998</v>
      </c>
      <c r="I20">
        <v>12</v>
      </c>
    </row>
    <row r="21" spans="2:9" ht="18" customHeight="1" x14ac:dyDescent="0.25">
      <c r="B21" s="2" t="s">
        <v>147</v>
      </c>
      <c r="C21" s="3">
        <v>131</v>
      </c>
      <c r="D21" s="76">
        <v>0.53834500000000007</v>
      </c>
      <c r="E21">
        <v>0.1852</v>
      </c>
      <c r="F21" s="77">
        <v>20314.34</v>
      </c>
      <c r="G21">
        <v>282.57979999999998</v>
      </c>
      <c r="H21">
        <v>26.5</v>
      </c>
    </row>
    <row r="22" spans="2:9" ht="18" customHeight="1" x14ac:dyDescent="0.25">
      <c r="B22" s="2" t="s">
        <v>148</v>
      </c>
      <c r="C22" s="3">
        <f>C10</f>
        <v>153.70000000000002</v>
      </c>
      <c r="D22" s="76">
        <v>0.495</v>
      </c>
      <c r="E22">
        <v>0.17899999999999999</v>
      </c>
      <c r="F22" s="77">
        <v>19063</v>
      </c>
      <c r="G22">
        <v>296.97199999999998</v>
      </c>
      <c r="H22">
        <v>26.812999999999999</v>
      </c>
      <c r="I22">
        <v>1</v>
      </c>
    </row>
    <row r="23" spans="2:9" ht="18" customHeight="1" x14ac:dyDescent="0.25">
      <c r="B23" s="2" t="s">
        <v>149</v>
      </c>
      <c r="C23" s="3">
        <f t="shared" ref="C23:C30" si="0">C11</f>
        <v>187.05</v>
      </c>
      <c r="D23" s="76">
        <v>0.34399999999999997</v>
      </c>
      <c r="E23">
        <v>0.16800000000000001</v>
      </c>
      <c r="F23" s="77">
        <v>17244</v>
      </c>
      <c r="G23">
        <v>316.91660000000002</v>
      </c>
      <c r="H23">
        <v>26.994399999999999</v>
      </c>
      <c r="I23">
        <v>2</v>
      </c>
    </row>
    <row r="24" spans="2:9" ht="18" customHeight="1" x14ac:dyDescent="0.25">
      <c r="B24" s="2" t="s">
        <v>150</v>
      </c>
      <c r="C24" s="3">
        <f t="shared" si="0"/>
        <v>221.85</v>
      </c>
      <c r="D24" s="76">
        <v>0.248</v>
      </c>
      <c r="E24">
        <v>0.16</v>
      </c>
      <c r="F24" s="77">
        <v>15680</v>
      </c>
      <c r="G24">
        <v>342.41359999999997</v>
      </c>
      <c r="H24">
        <v>27.676200000000001</v>
      </c>
      <c r="I24">
        <v>3</v>
      </c>
    </row>
    <row r="25" spans="2:9" ht="18" customHeight="1" x14ac:dyDescent="0.25">
      <c r="B25" s="2" t="s">
        <v>10</v>
      </c>
      <c r="C25" s="3">
        <f t="shared" si="0"/>
        <v>250.85</v>
      </c>
      <c r="D25" s="85">
        <v>0.1582895</v>
      </c>
      <c r="E25" s="81">
        <v>0.155</v>
      </c>
      <c r="F25" s="96">
        <v>14663</v>
      </c>
      <c r="G25">
        <v>373.46300000000002</v>
      </c>
      <c r="H25">
        <v>28.8584</v>
      </c>
      <c r="I25">
        <v>4</v>
      </c>
    </row>
    <row r="26" spans="2:9" ht="18" customHeight="1" x14ac:dyDescent="0.25">
      <c r="B26" s="2" t="s">
        <v>11</v>
      </c>
      <c r="C26" s="3">
        <f t="shared" si="0"/>
        <v>278.39999999999998</v>
      </c>
      <c r="D26" s="85">
        <v>0.12936349999999999</v>
      </c>
      <c r="E26" s="81">
        <v>0.14899999999999999</v>
      </c>
      <c r="F26" s="96">
        <v>13715</v>
      </c>
      <c r="G26">
        <v>410.06479999999999</v>
      </c>
      <c r="H26">
        <v>30.540999999999997</v>
      </c>
      <c r="I26">
        <v>5</v>
      </c>
    </row>
    <row r="27" spans="2:9" ht="18" customHeight="1" x14ac:dyDescent="0.25">
      <c r="B27" s="2" t="s">
        <v>12</v>
      </c>
      <c r="C27" s="3">
        <f t="shared" si="0"/>
        <v>311.02500000000003</v>
      </c>
      <c r="D27" s="85">
        <v>0.10365150000000001</v>
      </c>
      <c r="E27" s="81">
        <v>0.14499999999999999</v>
      </c>
      <c r="F27" s="96">
        <v>12781</v>
      </c>
      <c r="G27">
        <v>452.21899999999999</v>
      </c>
      <c r="H27">
        <v>32.723999999999997</v>
      </c>
      <c r="I27">
        <v>6</v>
      </c>
    </row>
    <row r="28" spans="2:9" ht="18" customHeight="1" x14ac:dyDescent="0.25">
      <c r="B28" s="2" t="s">
        <v>13</v>
      </c>
      <c r="C28" s="3">
        <f t="shared" si="0"/>
        <v>362.5</v>
      </c>
      <c r="D28" s="85">
        <v>8.0350000000000005E-2</v>
      </c>
      <c r="E28" s="81">
        <v>0.13800000000000001</v>
      </c>
      <c r="F28" s="96">
        <v>11528</v>
      </c>
      <c r="G28">
        <v>499.92560000000003</v>
      </c>
      <c r="H28">
        <v>35.407399999999996</v>
      </c>
      <c r="I28">
        <v>7</v>
      </c>
    </row>
    <row r="29" spans="2:9" ht="18" customHeight="1" x14ac:dyDescent="0.25">
      <c r="B29" s="2" t="s">
        <v>14</v>
      </c>
      <c r="C29" s="3">
        <f t="shared" si="0"/>
        <v>395.125</v>
      </c>
      <c r="D29" s="85">
        <v>6.5083500000000002E-2</v>
      </c>
      <c r="E29" s="81">
        <v>0.13300000000000001</v>
      </c>
      <c r="F29" s="96">
        <v>10665</v>
      </c>
      <c r="G29">
        <v>553.18460000000005</v>
      </c>
      <c r="H29">
        <v>38.591200000000001</v>
      </c>
      <c r="I29">
        <v>8</v>
      </c>
    </row>
    <row r="30" spans="2:9" ht="18" customHeight="1" x14ac:dyDescent="0.25">
      <c r="B30" s="2" t="s">
        <v>16</v>
      </c>
      <c r="C30" s="3">
        <f t="shared" si="0"/>
        <v>435</v>
      </c>
      <c r="D30" s="85">
        <v>5.3031000000000002E-2</v>
      </c>
      <c r="E30" s="81">
        <v>0.129</v>
      </c>
      <c r="F30" s="96">
        <v>9879</v>
      </c>
      <c r="G30">
        <v>611.99600000000009</v>
      </c>
      <c r="H30">
        <v>42.275399999999998</v>
      </c>
      <c r="I30">
        <v>9</v>
      </c>
    </row>
    <row r="31" spans="2:9" ht="18" customHeight="1" x14ac:dyDescent="0.25">
      <c r="B31" s="2" t="s">
        <v>15</v>
      </c>
      <c r="C31" s="93">
        <f>C19</f>
        <v>477.77500000000003</v>
      </c>
      <c r="D31" s="95">
        <v>4.7490500000000005E-2</v>
      </c>
      <c r="E31" s="95">
        <v>0.124</v>
      </c>
      <c r="F31" s="95">
        <v>9145.1924066778101</v>
      </c>
      <c r="G31">
        <v>676.35979999999995</v>
      </c>
      <c r="H31">
        <v>46.459999999999994</v>
      </c>
      <c r="I31">
        <v>10</v>
      </c>
    </row>
    <row r="32" spans="2:9" ht="18" customHeight="1" x14ac:dyDescent="0.25">
      <c r="B32" s="2" t="s">
        <v>162</v>
      </c>
      <c r="C32" s="93">
        <f>C20</f>
        <v>522.72500000000002</v>
      </c>
      <c r="D32" s="95">
        <v>4.1950000000000001E-2</v>
      </c>
      <c r="E32" s="95">
        <v>0.11480000000000003</v>
      </c>
      <c r="F32" s="95">
        <v>8442.0766014552264</v>
      </c>
      <c r="G32">
        <v>746.27599999999995</v>
      </c>
      <c r="H32">
        <v>51.144999999999996</v>
      </c>
      <c r="I32">
        <v>11</v>
      </c>
    </row>
    <row r="33" spans="2:11" ht="18" customHeight="1" x14ac:dyDescent="0.25">
      <c r="B33" s="2" t="s">
        <v>21</v>
      </c>
      <c r="C33" s="80">
        <f t="shared" ref="C33:C38" si="1">C25</f>
        <v>250.85</v>
      </c>
      <c r="D33" s="85">
        <v>0.1582895</v>
      </c>
      <c r="E33" s="81">
        <v>0.13</v>
      </c>
      <c r="F33" s="80">
        <f t="shared" ref="F33:F38" si="2">F13*1.1</f>
        <v>8099.3000000000011</v>
      </c>
    </row>
    <row r="34" spans="2:11" ht="18" customHeight="1" x14ac:dyDescent="0.25">
      <c r="B34" s="2" t="s">
        <v>22</v>
      </c>
      <c r="C34" s="80">
        <f t="shared" si="1"/>
        <v>278.39999999999998</v>
      </c>
      <c r="D34" s="85">
        <v>0.12936349999999999</v>
      </c>
      <c r="E34" s="81">
        <v>0.126</v>
      </c>
      <c r="F34" s="80">
        <f t="shared" si="2"/>
        <v>7483.3</v>
      </c>
    </row>
    <row r="35" spans="2:11" ht="18" customHeight="1" x14ac:dyDescent="0.25">
      <c r="B35" s="2" t="s">
        <v>23</v>
      </c>
      <c r="C35" s="80">
        <f t="shared" si="1"/>
        <v>311.02500000000003</v>
      </c>
      <c r="D35" s="85">
        <v>0.10365150000000001</v>
      </c>
      <c r="E35" s="81">
        <v>0.122</v>
      </c>
      <c r="F35" s="80">
        <f t="shared" si="2"/>
        <v>6921.2000000000007</v>
      </c>
    </row>
    <row r="36" spans="2:11" ht="18" customHeight="1" x14ac:dyDescent="0.25">
      <c r="B36" s="2" t="s">
        <v>24</v>
      </c>
      <c r="C36" s="80">
        <f t="shared" si="1"/>
        <v>362.5</v>
      </c>
      <c r="D36" s="85">
        <v>8.0350000000000005E-2</v>
      </c>
      <c r="E36" s="81">
        <v>0.12</v>
      </c>
      <c r="F36" s="80">
        <f t="shared" si="2"/>
        <v>6878.3</v>
      </c>
    </row>
    <row r="37" spans="2:11" ht="18" customHeight="1" x14ac:dyDescent="0.25">
      <c r="B37" s="2" t="s">
        <v>25</v>
      </c>
      <c r="C37" s="80">
        <f t="shared" si="1"/>
        <v>395.125</v>
      </c>
      <c r="D37" s="85">
        <v>6.5083500000000002E-2</v>
      </c>
      <c r="E37" s="81">
        <v>0.11700000000000001</v>
      </c>
      <c r="F37" s="80">
        <f t="shared" si="2"/>
        <v>6320.6</v>
      </c>
    </row>
    <row r="38" spans="2:11" ht="18" customHeight="1" x14ac:dyDescent="0.25">
      <c r="B38" s="2" t="s">
        <v>26</v>
      </c>
      <c r="C38" s="80">
        <f t="shared" si="1"/>
        <v>435</v>
      </c>
      <c r="D38" s="85">
        <v>5.3031000000000002E-2</v>
      </c>
      <c r="E38" s="81">
        <v>0.112</v>
      </c>
      <c r="F38" s="80">
        <f t="shared" si="2"/>
        <v>5615.5</v>
      </c>
    </row>
    <row r="39" spans="2:11" ht="18" customHeight="1" x14ac:dyDescent="0.25">
      <c r="B39" s="2" t="s">
        <v>27</v>
      </c>
      <c r="C39" s="93"/>
      <c r="D39" s="94"/>
      <c r="E39" s="95"/>
      <c r="F39" s="95"/>
    </row>
    <row r="40" spans="2:11" ht="18" customHeight="1" x14ac:dyDescent="0.25">
      <c r="B40" s="2" t="s">
        <v>110</v>
      </c>
      <c r="C40" s="80">
        <f>C33</f>
        <v>250.85</v>
      </c>
      <c r="D40" s="85">
        <v>0.1582895</v>
      </c>
      <c r="E40" s="81">
        <v>0.13</v>
      </c>
      <c r="F40" s="80">
        <f t="shared" ref="F40:F45" si="3">F13*1.15</f>
        <v>8467.4499999999989</v>
      </c>
    </row>
    <row r="41" spans="2:11" ht="18" customHeight="1" x14ac:dyDescent="0.25">
      <c r="B41" s="2" t="s">
        <v>111</v>
      </c>
      <c r="C41" s="80">
        <f t="shared" ref="C41:C45" si="4">C34</f>
        <v>278.39999999999998</v>
      </c>
      <c r="D41" s="85">
        <v>0.12936349999999999</v>
      </c>
      <c r="E41" s="81">
        <v>0.126</v>
      </c>
      <c r="F41" s="80">
        <f t="shared" si="3"/>
        <v>7823.45</v>
      </c>
    </row>
    <row r="42" spans="2:11" ht="18" customHeight="1" x14ac:dyDescent="0.25">
      <c r="B42" s="2" t="s">
        <v>112</v>
      </c>
      <c r="C42" s="80">
        <f t="shared" si="4"/>
        <v>311.02500000000003</v>
      </c>
      <c r="D42" s="85">
        <v>0.10365150000000001</v>
      </c>
      <c r="E42" s="81">
        <v>0.122</v>
      </c>
      <c r="F42" s="80">
        <f t="shared" si="3"/>
        <v>7235.7999999999993</v>
      </c>
    </row>
    <row r="43" spans="2:11" ht="18" customHeight="1" x14ac:dyDescent="0.25">
      <c r="B43" s="2" t="s">
        <v>113</v>
      </c>
      <c r="C43" s="80">
        <f t="shared" si="4"/>
        <v>362.5</v>
      </c>
      <c r="D43" s="85">
        <v>8.0350000000000005E-2</v>
      </c>
      <c r="E43" s="81">
        <v>0.12</v>
      </c>
      <c r="F43" s="80">
        <f t="shared" si="3"/>
        <v>7190.95</v>
      </c>
    </row>
    <row r="44" spans="2:11" ht="18" customHeight="1" x14ac:dyDescent="0.25">
      <c r="B44" s="2" t="s">
        <v>114</v>
      </c>
      <c r="C44" s="80">
        <f t="shared" si="4"/>
        <v>395.125</v>
      </c>
      <c r="D44" s="85">
        <v>6.5083500000000002E-2</v>
      </c>
      <c r="E44" s="81">
        <v>0.11700000000000001</v>
      </c>
      <c r="F44" s="80">
        <f t="shared" si="3"/>
        <v>6607.9</v>
      </c>
    </row>
    <row r="45" spans="2:11" ht="18" customHeight="1" x14ac:dyDescent="0.25">
      <c r="B45" s="2" t="s">
        <v>115</v>
      </c>
      <c r="C45" s="80">
        <f t="shared" si="4"/>
        <v>435</v>
      </c>
      <c r="D45" s="85">
        <v>5.3031000000000002E-2</v>
      </c>
      <c r="E45" s="81">
        <v>0.112</v>
      </c>
      <c r="F45" s="80">
        <f t="shared" si="3"/>
        <v>5870.75</v>
      </c>
    </row>
    <row r="46" spans="2:11" ht="18" customHeight="1" x14ac:dyDescent="0.25">
      <c r="B46" s="2" t="s">
        <v>116</v>
      </c>
      <c r="C46" s="93"/>
      <c r="D46" s="94"/>
      <c r="E46" s="95"/>
      <c r="F46" s="95"/>
    </row>
    <row r="47" spans="2:11" ht="18" customHeight="1" x14ac:dyDescent="0.25"/>
    <row r="48" spans="2:11" ht="18" customHeight="1" x14ac:dyDescent="0.25">
      <c r="B48" t="s">
        <v>9</v>
      </c>
      <c r="C48" t="s">
        <v>144</v>
      </c>
      <c r="D48" t="s">
        <v>17</v>
      </c>
      <c r="E48" t="s">
        <v>91</v>
      </c>
      <c r="F48" t="s">
        <v>92</v>
      </c>
      <c r="H48">
        <v>84</v>
      </c>
      <c r="I48">
        <v>80</v>
      </c>
      <c r="J48">
        <v>75</v>
      </c>
      <c r="K48">
        <v>60</v>
      </c>
    </row>
    <row r="49" spans="1:22" ht="18" customHeight="1" x14ac:dyDescent="0.25">
      <c r="A49">
        <v>35</v>
      </c>
      <c r="B49" s="2" t="s">
        <v>143</v>
      </c>
      <c r="C49" s="3">
        <f t="shared" ref="C49:F71" si="5">C9</f>
        <v>130.5</v>
      </c>
      <c r="D49">
        <f t="shared" si="5"/>
        <v>0.53834500000000007</v>
      </c>
      <c r="E49" s="152">
        <f t="shared" si="5"/>
        <v>0.16800000000000001</v>
      </c>
      <c r="F49" s="3">
        <f t="shared" si="5"/>
        <v>11132</v>
      </c>
      <c r="H49">
        <f>($E49)*$I$48/60</f>
        <v>0.22400000000000003</v>
      </c>
      <c r="I49">
        <f>($E49)*$J$48/60</f>
        <v>0.21000000000000002</v>
      </c>
      <c r="J49">
        <f>($E49)*$K$48/60</f>
        <v>0.16800000000000001</v>
      </c>
      <c r="K49">
        <f>($E49)*$L$48/60</f>
        <v>0</v>
      </c>
      <c r="L49">
        <f>$F49*60/$H$48</f>
        <v>7951.4285714285716</v>
      </c>
      <c r="M49">
        <f>$F49*60/$H$48</f>
        <v>7951.4285714285716</v>
      </c>
      <c r="N49">
        <f>$F49*60/$I$48</f>
        <v>8349</v>
      </c>
      <c r="O49">
        <f>$F49*60/$J$48</f>
        <v>8905.6</v>
      </c>
      <c r="P49">
        <f>$F49*60/$K$48</f>
        <v>11132</v>
      </c>
      <c r="Q49" t="e">
        <f>$F49*60/$L$48</f>
        <v>#DIV/0!</v>
      </c>
      <c r="R49">
        <f>$D49*(1+(1-(60/$H$48)))</f>
        <v>0.69215785714285716</v>
      </c>
      <c r="S49">
        <f>$D49*(1+(1-(60/$I$48)))</f>
        <v>0.67293125000000009</v>
      </c>
      <c r="T49">
        <f>$D49*(1+(1-(60/$J$48)))</f>
        <v>0.64601400000000009</v>
      </c>
      <c r="U49">
        <f>$D49*(1+(1-(60/$K$48)))</f>
        <v>0.53834500000000007</v>
      </c>
      <c r="V49" t="e">
        <f>$D49*(1+(1-(60/$L$48)))</f>
        <v>#DIV/0!</v>
      </c>
    </row>
    <row r="50" spans="1:22" ht="18" customHeight="1" x14ac:dyDescent="0.25">
      <c r="A50">
        <v>50</v>
      </c>
      <c r="B50" s="2" t="s">
        <v>142</v>
      </c>
      <c r="C50" s="3">
        <f t="shared" si="5"/>
        <v>153.70000000000002</v>
      </c>
      <c r="D50" s="152">
        <f t="shared" si="5"/>
        <v>0.495</v>
      </c>
      <c r="E50" s="152">
        <f t="shared" si="5"/>
        <v>0.161</v>
      </c>
      <c r="F50" s="3">
        <f t="shared" si="5"/>
        <v>9958</v>
      </c>
      <c r="H50">
        <f t="shared" ref="H50:H60" si="6">($E50)*$I$48/60</f>
        <v>0.21466666666666667</v>
      </c>
      <c r="I50">
        <f t="shared" ref="I50:I60" si="7">($E50)*$J$48/60</f>
        <v>0.20125000000000001</v>
      </c>
      <c r="J50">
        <f t="shared" ref="J50:J60" si="8">($E50)*$K$48/60</f>
        <v>0.161</v>
      </c>
      <c r="K50">
        <f t="shared" ref="K50:K60" si="9">($E50)*$L$48/60</f>
        <v>0</v>
      </c>
      <c r="L50">
        <f t="shared" ref="L50:M60" si="10">$F50*60/$H$48</f>
        <v>7112.8571428571431</v>
      </c>
      <c r="M50">
        <f t="shared" si="10"/>
        <v>7112.8571428571431</v>
      </c>
      <c r="N50">
        <f t="shared" ref="N50:N60" si="11">$F50*60/$I$48</f>
        <v>7468.5</v>
      </c>
      <c r="O50">
        <f t="shared" ref="O50:O60" si="12">$F50*60/$J$48</f>
        <v>7966.4</v>
      </c>
      <c r="P50">
        <f t="shared" ref="P50:P60" si="13">$F50*60/$K$48</f>
        <v>9958</v>
      </c>
      <c r="Q50" t="e">
        <f t="shared" ref="Q50:Q60" si="14">$F50*60/$L$48</f>
        <v>#DIV/0!</v>
      </c>
      <c r="R50">
        <f t="shared" ref="R50:R59" si="15">$D50*(1+(1-(60/$H$48)))</f>
        <v>0.63642857142857134</v>
      </c>
      <c r="S50">
        <f t="shared" ref="S50:S60" si="16">$D50*(1+(1-(60/$I$48)))</f>
        <v>0.61875000000000002</v>
      </c>
      <c r="T50">
        <f t="shared" ref="T50:T60" si="17">$D50*(1+(1-(60/$J$48)))</f>
        <v>0.59399999999999997</v>
      </c>
      <c r="U50">
        <f t="shared" ref="U50:U60" si="18">$D50*(1+(1-(60/$K$48)))</f>
        <v>0.495</v>
      </c>
      <c r="V50" t="e">
        <f t="shared" ref="V50:V60" si="19">$D50*(1+(1-(60/$L$48)))</f>
        <v>#DIV/0!</v>
      </c>
    </row>
    <row r="51" spans="1:22" ht="18" customHeight="1" x14ac:dyDescent="0.25">
      <c r="A51">
        <v>70</v>
      </c>
      <c r="B51" s="2" t="s">
        <v>141</v>
      </c>
      <c r="C51" s="3">
        <f t="shared" si="5"/>
        <v>187.05</v>
      </c>
      <c r="D51" s="152">
        <f t="shared" si="5"/>
        <v>0.34399999999999997</v>
      </c>
      <c r="E51" s="152">
        <f t="shared" si="5"/>
        <v>0.152</v>
      </c>
      <c r="F51" s="3">
        <f t="shared" si="5"/>
        <v>8949</v>
      </c>
      <c r="H51">
        <f t="shared" si="6"/>
        <v>0.20266666666666666</v>
      </c>
      <c r="I51">
        <f t="shared" si="7"/>
        <v>0.19</v>
      </c>
      <c r="J51">
        <f t="shared" si="8"/>
        <v>0.152</v>
      </c>
      <c r="K51">
        <f t="shared" si="9"/>
        <v>0</v>
      </c>
      <c r="L51">
        <f t="shared" si="10"/>
        <v>6392.1428571428569</v>
      </c>
      <c r="M51">
        <f t="shared" si="10"/>
        <v>6392.1428571428569</v>
      </c>
      <c r="N51">
        <f t="shared" si="11"/>
        <v>6711.75</v>
      </c>
      <c r="O51">
        <f t="shared" si="12"/>
        <v>7159.2</v>
      </c>
      <c r="P51">
        <f t="shared" si="13"/>
        <v>8949</v>
      </c>
      <c r="Q51" t="e">
        <f t="shared" si="14"/>
        <v>#DIV/0!</v>
      </c>
      <c r="R51">
        <f t="shared" si="15"/>
        <v>0.44228571428571423</v>
      </c>
      <c r="S51">
        <f t="shared" si="16"/>
        <v>0.42999999999999994</v>
      </c>
      <c r="T51">
        <f t="shared" si="17"/>
        <v>0.41279999999999994</v>
      </c>
      <c r="U51">
        <f t="shared" si="18"/>
        <v>0.34399999999999997</v>
      </c>
      <c r="V51" t="e">
        <f t="shared" si="19"/>
        <v>#DIV/0!</v>
      </c>
    </row>
    <row r="52" spans="1:22" ht="18" customHeight="1" x14ac:dyDescent="0.25">
      <c r="A52">
        <v>95</v>
      </c>
      <c r="B52" s="2" t="s">
        <v>140</v>
      </c>
      <c r="C52" s="3">
        <f t="shared" si="5"/>
        <v>221.85</v>
      </c>
      <c r="D52" s="152">
        <f t="shared" si="5"/>
        <v>0.248</v>
      </c>
      <c r="E52" s="152">
        <f t="shared" si="5"/>
        <v>0.14399999999999999</v>
      </c>
      <c r="F52" s="3">
        <f t="shared" si="5"/>
        <v>8025</v>
      </c>
      <c r="H52">
        <f t="shared" si="6"/>
        <v>0.192</v>
      </c>
      <c r="I52">
        <f t="shared" si="7"/>
        <v>0.18</v>
      </c>
      <c r="J52">
        <f t="shared" si="8"/>
        <v>0.14399999999999999</v>
      </c>
      <c r="K52">
        <f t="shared" si="9"/>
        <v>0</v>
      </c>
      <c r="L52">
        <f t="shared" si="10"/>
        <v>5732.1428571428569</v>
      </c>
      <c r="M52">
        <f t="shared" si="10"/>
        <v>5732.1428571428569</v>
      </c>
      <c r="N52">
        <f t="shared" si="11"/>
        <v>6018.75</v>
      </c>
      <c r="O52">
        <f t="shared" si="12"/>
        <v>6420</v>
      </c>
      <c r="P52">
        <f t="shared" si="13"/>
        <v>8025</v>
      </c>
      <c r="Q52" t="e">
        <f t="shared" si="14"/>
        <v>#DIV/0!</v>
      </c>
      <c r="R52">
        <f t="shared" si="15"/>
        <v>0.31885714285714284</v>
      </c>
      <c r="S52">
        <f t="shared" si="16"/>
        <v>0.31</v>
      </c>
      <c r="T52">
        <f t="shared" si="17"/>
        <v>0.29759999999999998</v>
      </c>
      <c r="U52">
        <f t="shared" si="18"/>
        <v>0.248</v>
      </c>
      <c r="V52" t="e">
        <f t="shared" si="19"/>
        <v>#DIV/0!</v>
      </c>
    </row>
    <row r="53" spans="1:22" ht="18" customHeight="1" x14ac:dyDescent="0.25">
      <c r="A53">
        <v>120</v>
      </c>
      <c r="B53" s="2" t="s">
        <v>84</v>
      </c>
      <c r="C53" s="3">
        <f t="shared" si="5"/>
        <v>250.85</v>
      </c>
      <c r="D53" s="152">
        <f t="shared" si="5"/>
        <v>0.1582895</v>
      </c>
      <c r="E53" s="152">
        <f t="shared" si="5"/>
        <v>0.13900000000000001</v>
      </c>
      <c r="F53" s="3">
        <f t="shared" si="5"/>
        <v>7363</v>
      </c>
      <c r="H53">
        <f t="shared" si="6"/>
        <v>0.18533333333333335</v>
      </c>
      <c r="I53">
        <f t="shared" si="7"/>
        <v>0.17375000000000002</v>
      </c>
      <c r="J53">
        <f t="shared" si="8"/>
        <v>0.13899999999999998</v>
      </c>
      <c r="K53">
        <f t="shared" si="9"/>
        <v>0</v>
      </c>
      <c r="L53">
        <f t="shared" si="10"/>
        <v>5259.2857142857147</v>
      </c>
      <c r="M53">
        <f t="shared" si="10"/>
        <v>5259.2857142857147</v>
      </c>
      <c r="N53">
        <f t="shared" si="11"/>
        <v>5522.25</v>
      </c>
      <c r="O53">
        <f t="shared" si="12"/>
        <v>5890.4</v>
      </c>
      <c r="P53">
        <f t="shared" si="13"/>
        <v>7363</v>
      </c>
      <c r="Q53" t="e">
        <f t="shared" si="14"/>
        <v>#DIV/0!</v>
      </c>
      <c r="R53">
        <f t="shared" si="15"/>
        <v>0.20351507142857142</v>
      </c>
      <c r="S53">
        <f t="shared" si="16"/>
        <v>0.19786187499999999</v>
      </c>
      <c r="T53">
        <f t="shared" si="17"/>
        <v>0.18994739999999999</v>
      </c>
      <c r="U53">
        <f t="shared" si="18"/>
        <v>0.1582895</v>
      </c>
      <c r="V53" t="e">
        <f t="shared" si="19"/>
        <v>#DIV/0!</v>
      </c>
    </row>
    <row r="54" spans="1:22" ht="18" customHeight="1" x14ac:dyDescent="0.25">
      <c r="A54">
        <v>150</v>
      </c>
      <c r="B54" s="2" t="s">
        <v>85</v>
      </c>
      <c r="C54" s="3">
        <f t="shared" si="5"/>
        <v>278.39999999999998</v>
      </c>
      <c r="D54" s="152">
        <f t="shared" si="5"/>
        <v>0.12936349999999999</v>
      </c>
      <c r="E54" s="152">
        <f t="shared" si="5"/>
        <v>0.13500000000000001</v>
      </c>
      <c r="F54" s="3">
        <f t="shared" si="5"/>
        <v>6803</v>
      </c>
      <c r="H54">
        <f t="shared" si="6"/>
        <v>0.18000000000000002</v>
      </c>
      <c r="I54">
        <f t="shared" si="7"/>
        <v>0.16875000000000001</v>
      </c>
      <c r="J54">
        <f t="shared" si="8"/>
        <v>0.13500000000000004</v>
      </c>
      <c r="K54">
        <f t="shared" si="9"/>
        <v>0</v>
      </c>
      <c r="L54">
        <f t="shared" si="10"/>
        <v>4859.2857142857147</v>
      </c>
      <c r="M54">
        <f t="shared" si="10"/>
        <v>4859.2857142857147</v>
      </c>
      <c r="N54">
        <f t="shared" si="11"/>
        <v>5102.25</v>
      </c>
      <c r="O54">
        <f t="shared" si="12"/>
        <v>5442.4</v>
      </c>
      <c r="P54">
        <f t="shared" si="13"/>
        <v>6803</v>
      </c>
      <c r="Q54" t="e">
        <f t="shared" si="14"/>
        <v>#DIV/0!</v>
      </c>
      <c r="R54">
        <f t="shared" si="15"/>
        <v>0.16632449999999999</v>
      </c>
      <c r="S54">
        <f t="shared" si="16"/>
        <v>0.16170437499999998</v>
      </c>
      <c r="T54">
        <f t="shared" si="17"/>
        <v>0.15523619999999999</v>
      </c>
      <c r="U54">
        <f t="shared" si="18"/>
        <v>0.12936349999999999</v>
      </c>
      <c r="V54" t="e">
        <f t="shared" si="19"/>
        <v>#DIV/0!</v>
      </c>
    </row>
    <row r="55" spans="1:22" ht="18" customHeight="1" x14ac:dyDescent="0.25">
      <c r="A55">
        <v>185</v>
      </c>
      <c r="B55" s="2" t="s">
        <v>86</v>
      </c>
      <c r="C55" s="3">
        <f t="shared" si="5"/>
        <v>311.02500000000003</v>
      </c>
      <c r="D55" s="152">
        <f t="shared" si="5"/>
        <v>0.10365150000000001</v>
      </c>
      <c r="E55" s="152">
        <f t="shared" si="5"/>
        <v>0.13</v>
      </c>
      <c r="F55" s="3">
        <f t="shared" si="5"/>
        <v>6292</v>
      </c>
      <c r="H55">
        <f t="shared" si="6"/>
        <v>0.17333333333333334</v>
      </c>
      <c r="I55">
        <f t="shared" si="7"/>
        <v>0.16250000000000001</v>
      </c>
      <c r="J55">
        <f t="shared" si="8"/>
        <v>0.13</v>
      </c>
      <c r="K55">
        <f t="shared" si="9"/>
        <v>0</v>
      </c>
      <c r="L55">
        <f t="shared" si="10"/>
        <v>4494.2857142857147</v>
      </c>
      <c r="M55">
        <f t="shared" si="10"/>
        <v>4494.2857142857147</v>
      </c>
      <c r="N55">
        <f t="shared" si="11"/>
        <v>4719</v>
      </c>
      <c r="O55">
        <f t="shared" si="12"/>
        <v>5033.6000000000004</v>
      </c>
      <c r="P55">
        <f t="shared" si="13"/>
        <v>6292</v>
      </c>
      <c r="Q55" t="e">
        <f t="shared" si="14"/>
        <v>#DIV/0!</v>
      </c>
      <c r="R55">
        <f t="shared" si="15"/>
        <v>0.13326621428571428</v>
      </c>
      <c r="S55">
        <f t="shared" si="16"/>
        <v>0.12956437500000001</v>
      </c>
      <c r="T55">
        <f t="shared" si="17"/>
        <v>0.1243818</v>
      </c>
      <c r="U55">
        <f t="shared" si="18"/>
        <v>0.10365150000000001</v>
      </c>
      <c r="V55" t="e">
        <f t="shared" si="19"/>
        <v>#DIV/0!</v>
      </c>
    </row>
    <row r="56" spans="1:22" ht="18" customHeight="1" x14ac:dyDescent="0.25">
      <c r="A56">
        <v>240</v>
      </c>
      <c r="B56" s="2" t="s">
        <v>87</v>
      </c>
      <c r="C56" s="3">
        <f t="shared" si="5"/>
        <v>362.5</v>
      </c>
      <c r="D56" s="152">
        <f t="shared" si="5"/>
        <v>8.0350000000000005E-2</v>
      </c>
      <c r="E56" s="152">
        <f t="shared" si="5"/>
        <v>0.125</v>
      </c>
      <c r="F56" s="3">
        <f t="shared" si="5"/>
        <v>6253</v>
      </c>
      <c r="H56">
        <f t="shared" si="6"/>
        <v>0.16666666666666666</v>
      </c>
      <c r="I56">
        <f t="shared" si="7"/>
        <v>0.15625</v>
      </c>
      <c r="J56">
        <f t="shared" si="8"/>
        <v>0.125</v>
      </c>
      <c r="K56">
        <f t="shared" si="9"/>
        <v>0</v>
      </c>
      <c r="L56">
        <f t="shared" si="10"/>
        <v>4466.4285714285716</v>
      </c>
      <c r="M56">
        <f t="shared" si="10"/>
        <v>4466.4285714285716</v>
      </c>
      <c r="N56">
        <f t="shared" si="11"/>
        <v>4689.75</v>
      </c>
      <c r="O56">
        <f t="shared" si="12"/>
        <v>5002.3999999999996</v>
      </c>
      <c r="P56">
        <f t="shared" si="13"/>
        <v>6253</v>
      </c>
      <c r="Q56" t="e">
        <f t="shared" si="14"/>
        <v>#DIV/0!</v>
      </c>
      <c r="R56">
        <f t="shared" si="15"/>
        <v>0.10330714285714285</v>
      </c>
      <c r="S56">
        <f t="shared" si="16"/>
        <v>0.10043750000000001</v>
      </c>
      <c r="T56">
        <f t="shared" si="17"/>
        <v>9.6420000000000006E-2</v>
      </c>
      <c r="U56">
        <f t="shared" si="18"/>
        <v>8.0350000000000005E-2</v>
      </c>
      <c r="V56" t="e">
        <f t="shared" si="19"/>
        <v>#DIV/0!</v>
      </c>
    </row>
    <row r="57" spans="1:22" ht="18" customHeight="1" x14ac:dyDescent="0.25">
      <c r="A57">
        <v>300</v>
      </c>
      <c r="B57" s="2" t="s">
        <v>88</v>
      </c>
      <c r="C57" s="3">
        <f t="shared" si="5"/>
        <v>395.125</v>
      </c>
      <c r="D57" s="152">
        <f t="shared" si="5"/>
        <v>6.5083500000000002E-2</v>
      </c>
      <c r="E57" s="152">
        <f t="shared" si="5"/>
        <v>0.121</v>
      </c>
      <c r="F57" s="3">
        <f t="shared" si="5"/>
        <v>5746</v>
      </c>
      <c r="H57">
        <f t="shared" si="6"/>
        <v>0.16133333333333333</v>
      </c>
      <c r="I57">
        <f t="shared" si="7"/>
        <v>0.15125</v>
      </c>
      <c r="J57">
        <f t="shared" si="8"/>
        <v>0.121</v>
      </c>
      <c r="K57">
        <f t="shared" si="9"/>
        <v>0</v>
      </c>
      <c r="L57">
        <f t="shared" si="10"/>
        <v>4104.2857142857147</v>
      </c>
      <c r="M57">
        <f t="shared" si="10"/>
        <v>4104.2857142857147</v>
      </c>
      <c r="N57">
        <f t="shared" si="11"/>
        <v>4309.5</v>
      </c>
      <c r="O57">
        <f t="shared" si="12"/>
        <v>4596.8</v>
      </c>
      <c r="P57">
        <f t="shared" si="13"/>
        <v>5746</v>
      </c>
      <c r="Q57" t="e">
        <f t="shared" si="14"/>
        <v>#DIV/0!</v>
      </c>
      <c r="R57">
        <f t="shared" si="15"/>
        <v>8.3678785714285706E-2</v>
      </c>
      <c r="S57">
        <f t="shared" si="16"/>
        <v>8.1354375000000007E-2</v>
      </c>
      <c r="T57">
        <f t="shared" si="17"/>
        <v>7.8100199999999995E-2</v>
      </c>
      <c r="U57">
        <f t="shared" si="18"/>
        <v>6.5083500000000002E-2</v>
      </c>
      <c r="V57" t="e">
        <f t="shared" si="19"/>
        <v>#DIV/0!</v>
      </c>
    </row>
    <row r="58" spans="1:22" ht="18" customHeight="1" x14ac:dyDescent="0.25">
      <c r="A58">
        <v>400</v>
      </c>
      <c r="B58" s="2" t="s">
        <v>89</v>
      </c>
      <c r="C58" s="3">
        <f t="shared" si="5"/>
        <v>435</v>
      </c>
      <c r="D58" s="152">
        <f t="shared" si="5"/>
        <v>5.3031000000000002E-2</v>
      </c>
      <c r="E58" s="152">
        <f t="shared" si="5"/>
        <v>0.11700000000000001</v>
      </c>
      <c r="F58" s="3">
        <f t="shared" si="5"/>
        <v>5105</v>
      </c>
      <c r="H58">
        <f t="shared" si="6"/>
        <v>0.15600000000000003</v>
      </c>
      <c r="I58">
        <f t="shared" si="7"/>
        <v>0.14625000000000002</v>
      </c>
      <c r="J58">
        <f t="shared" si="8"/>
        <v>0.11700000000000001</v>
      </c>
      <c r="K58">
        <f t="shared" si="9"/>
        <v>0</v>
      </c>
      <c r="L58">
        <f t="shared" si="10"/>
        <v>3646.4285714285716</v>
      </c>
      <c r="M58">
        <f t="shared" si="10"/>
        <v>3646.4285714285716</v>
      </c>
      <c r="N58">
        <f t="shared" si="11"/>
        <v>3828.75</v>
      </c>
      <c r="O58">
        <f t="shared" si="12"/>
        <v>4084</v>
      </c>
      <c r="P58">
        <f t="shared" si="13"/>
        <v>5105</v>
      </c>
      <c r="Q58" t="e">
        <f t="shared" si="14"/>
        <v>#DIV/0!</v>
      </c>
      <c r="R58">
        <f t="shared" si="15"/>
        <v>6.8182714285714277E-2</v>
      </c>
      <c r="S58">
        <f t="shared" si="16"/>
        <v>6.6288750000000007E-2</v>
      </c>
      <c r="T58">
        <f t="shared" si="17"/>
        <v>6.3637200000000005E-2</v>
      </c>
      <c r="U58">
        <f t="shared" si="18"/>
        <v>5.3031000000000002E-2</v>
      </c>
      <c r="V58" t="e">
        <f t="shared" si="19"/>
        <v>#DIV/0!</v>
      </c>
    </row>
    <row r="59" spans="1:22" ht="18" customHeight="1" x14ac:dyDescent="0.25">
      <c r="A59">
        <v>500</v>
      </c>
      <c r="B59" s="2" t="s">
        <v>90</v>
      </c>
      <c r="C59" s="3">
        <f t="shared" si="5"/>
        <v>477.77500000000003</v>
      </c>
      <c r="D59" s="152">
        <f t="shared" si="5"/>
        <v>4.7490500000000005E-2</v>
      </c>
      <c r="E59" s="152">
        <f t="shared" si="5"/>
        <v>0.114</v>
      </c>
      <c r="F59" s="3">
        <f t="shared" si="5"/>
        <v>4669</v>
      </c>
      <c r="H59">
        <f t="shared" si="6"/>
        <v>0.15200000000000002</v>
      </c>
      <c r="I59">
        <f t="shared" si="7"/>
        <v>0.14250000000000002</v>
      </c>
      <c r="J59">
        <f t="shared" si="8"/>
        <v>0.114</v>
      </c>
      <c r="K59">
        <f t="shared" si="9"/>
        <v>0</v>
      </c>
      <c r="L59">
        <f t="shared" si="10"/>
        <v>3335</v>
      </c>
      <c r="M59">
        <f t="shared" si="10"/>
        <v>3335</v>
      </c>
      <c r="N59">
        <f t="shared" si="11"/>
        <v>3501.75</v>
      </c>
      <c r="O59">
        <f t="shared" si="12"/>
        <v>3735.2</v>
      </c>
      <c r="P59">
        <f t="shared" si="13"/>
        <v>4669</v>
      </c>
      <c r="Q59" t="e">
        <f t="shared" si="14"/>
        <v>#DIV/0!</v>
      </c>
      <c r="R59">
        <f t="shared" si="15"/>
        <v>6.1059214285714286E-2</v>
      </c>
      <c r="S59">
        <f t="shared" si="16"/>
        <v>5.9363125000000003E-2</v>
      </c>
      <c r="T59">
        <f t="shared" si="17"/>
        <v>5.69886E-2</v>
      </c>
      <c r="U59">
        <f t="shared" si="18"/>
        <v>4.7490500000000005E-2</v>
      </c>
      <c r="V59" t="e">
        <f t="shared" si="19"/>
        <v>#DIV/0!</v>
      </c>
    </row>
    <row r="60" spans="1:22" ht="18" customHeight="1" x14ac:dyDescent="0.25">
      <c r="A60">
        <v>630</v>
      </c>
      <c r="B60" s="2" t="s">
        <v>137</v>
      </c>
      <c r="C60" s="3">
        <f t="shared" si="5"/>
        <v>522.72500000000002</v>
      </c>
      <c r="D60" s="152">
        <f t="shared" si="5"/>
        <v>4.1950000000000001E-2</v>
      </c>
      <c r="E60" s="152">
        <f t="shared" si="5"/>
        <v>0.1137</v>
      </c>
      <c r="F60" s="3">
        <f t="shared" si="5"/>
        <v>4583</v>
      </c>
      <c r="H60">
        <f t="shared" si="6"/>
        <v>0.15160000000000001</v>
      </c>
      <c r="I60">
        <f t="shared" si="7"/>
        <v>0.142125</v>
      </c>
      <c r="J60">
        <f t="shared" si="8"/>
        <v>0.1137</v>
      </c>
      <c r="K60">
        <f t="shared" si="9"/>
        <v>0</v>
      </c>
      <c r="L60">
        <f t="shared" si="10"/>
        <v>3273.5714285714284</v>
      </c>
      <c r="M60">
        <f t="shared" si="10"/>
        <v>3273.5714285714284</v>
      </c>
      <c r="N60">
        <f t="shared" si="11"/>
        <v>3437.25</v>
      </c>
      <c r="O60">
        <f t="shared" si="12"/>
        <v>3666.4</v>
      </c>
      <c r="P60">
        <f t="shared" si="13"/>
        <v>4583</v>
      </c>
      <c r="Q60" t="e">
        <f t="shared" si="14"/>
        <v>#DIV/0!</v>
      </c>
      <c r="R60">
        <f>$D60*(1+(1-(60/$H$48)))</f>
        <v>5.3935714285714281E-2</v>
      </c>
      <c r="S60">
        <f t="shared" si="16"/>
        <v>5.2437499999999998E-2</v>
      </c>
      <c r="T60">
        <f t="shared" si="17"/>
        <v>5.0340000000000003E-2</v>
      </c>
      <c r="U60">
        <f t="shared" si="18"/>
        <v>4.1950000000000001E-2</v>
      </c>
      <c r="V60" t="e">
        <f t="shared" si="19"/>
        <v>#DIV/0!</v>
      </c>
    </row>
    <row r="61" spans="1:22" ht="18" customHeight="1" x14ac:dyDescent="0.25">
      <c r="B61" s="3" t="str">
        <f>B21</f>
        <v>20/35kV EPR 35mm2 Cu</v>
      </c>
      <c r="C61" s="3">
        <f t="shared" si="5"/>
        <v>131</v>
      </c>
      <c r="D61" s="152">
        <f t="shared" si="5"/>
        <v>0.53834500000000007</v>
      </c>
      <c r="E61" s="152">
        <f t="shared" si="5"/>
        <v>0.1852</v>
      </c>
      <c r="F61" s="3">
        <f t="shared" si="5"/>
        <v>20314.34</v>
      </c>
    </row>
    <row r="62" spans="1:22" ht="18" customHeight="1" x14ac:dyDescent="0.25">
      <c r="B62" s="3" t="str">
        <f>B22</f>
        <v>20/35kV EPR 50mm2 Cu</v>
      </c>
      <c r="C62" s="3">
        <f t="shared" si="5"/>
        <v>153.70000000000002</v>
      </c>
      <c r="D62" s="152">
        <f t="shared" si="5"/>
        <v>0.495</v>
      </c>
      <c r="E62" s="152">
        <f t="shared" si="5"/>
        <v>0.17899999999999999</v>
      </c>
      <c r="F62" s="3">
        <f t="shared" si="5"/>
        <v>19063</v>
      </c>
    </row>
    <row r="63" spans="1:22" ht="18" customHeight="1" x14ac:dyDescent="0.25">
      <c r="B63" s="3" t="str">
        <f>B23</f>
        <v>20/35kV EPR 70mm2 Cu</v>
      </c>
      <c r="C63" s="3">
        <f t="shared" si="5"/>
        <v>187.05</v>
      </c>
      <c r="D63" s="152">
        <f t="shared" si="5"/>
        <v>0.34399999999999997</v>
      </c>
      <c r="E63" s="152">
        <f t="shared" si="5"/>
        <v>0.16800000000000001</v>
      </c>
      <c r="F63" s="3">
        <f t="shared" si="5"/>
        <v>17244</v>
      </c>
    </row>
    <row r="64" spans="1:22" ht="18" customHeight="1" x14ac:dyDescent="0.25">
      <c r="B64" s="3" t="str">
        <f>B24</f>
        <v>20/35kV EPR 95mm2 Cu</v>
      </c>
      <c r="C64" s="3">
        <f t="shared" si="5"/>
        <v>221.85</v>
      </c>
      <c r="D64" s="152">
        <f t="shared" si="5"/>
        <v>0.248</v>
      </c>
      <c r="E64" s="152">
        <f t="shared" si="5"/>
        <v>0.16</v>
      </c>
      <c r="F64" s="3">
        <f t="shared" si="5"/>
        <v>15680</v>
      </c>
    </row>
    <row r="65" spans="2:6" ht="18" customHeight="1" x14ac:dyDescent="0.25">
      <c r="B65" s="2" t="s">
        <v>10</v>
      </c>
      <c r="C65" s="3">
        <f t="shared" si="5"/>
        <v>250.85</v>
      </c>
      <c r="D65" s="152">
        <f t="shared" si="5"/>
        <v>0.1582895</v>
      </c>
      <c r="E65" s="152">
        <f t="shared" si="5"/>
        <v>0.155</v>
      </c>
      <c r="F65" s="3">
        <f t="shared" si="5"/>
        <v>14663</v>
      </c>
    </row>
    <row r="66" spans="2:6" ht="18" customHeight="1" x14ac:dyDescent="0.25">
      <c r="B66" s="2" t="s">
        <v>11</v>
      </c>
      <c r="C66" s="3">
        <f t="shared" si="5"/>
        <v>278.39999999999998</v>
      </c>
      <c r="D66" s="152">
        <f t="shared" si="5"/>
        <v>0.12936349999999999</v>
      </c>
      <c r="E66" s="152">
        <f t="shared" si="5"/>
        <v>0.14899999999999999</v>
      </c>
      <c r="F66" s="3">
        <f t="shared" si="5"/>
        <v>13715</v>
      </c>
    </row>
    <row r="67" spans="2:6" ht="18" customHeight="1" x14ac:dyDescent="0.25">
      <c r="B67" s="2" t="s">
        <v>12</v>
      </c>
      <c r="C67" s="3">
        <f t="shared" si="5"/>
        <v>311.02500000000003</v>
      </c>
      <c r="D67" s="152">
        <f t="shared" si="5"/>
        <v>0.10365150000000001</v>
      </c>
      <c r="E67" s="152">
        <f t="shared" si="5"/>
        <v>0.14499999999999999</v>
      </c>
      <c r="F67" s="3">
        <f t="shared" si="5"/>
        <v>12781</v>
      </c>
    </row>
    <row r="68" spans="2:6" ht="18" customHeight="1" x14ac:dyDescent="0.25">
      <c r="B68" s="2" t="s">
        <v>13</v>
      </c>
      <c r="C68" s="3">
        <f t="shared" si="5"/>
        <v>362.5</v>
      </c>
      <c r="D68" s="152">
        <f t="shared" si="5"/>
        <v>8.0350000000000005E-2</v>
      </c>
      <c r="E68" s="152">
        <f t="shared" si="5"/>
        <v>0.13800000000000001</v>
      </c>
      <c r="F68" s="3">
        <f t="shared" si="5"/>
        <v>11528</v>
      </c>
    </row>
    <row r="69" spans="2:6" ht="18" customHeight="1" x14ac:dyDescent="0.25">
      <c r="B69" s="2" t="s">
        <v>14</v>
      </c>
      <c r="C69" s="3">
        <f t="shared" si="5"/>
        <v>395.125</v>
      </c>
      <c r="D69" s="152">
        <f t="shared" si="5"/>
        <v>6.5083500000000002E-2</v>
      </c>
      <c r="E69" s="152">
        <f t="shared" si="5"/>
        <v>0.13300000000000001</v>
      </c>
      <c r="F69" s="3">
        <f t="shared" si="5"/>
        <v>10665</v>
      </c>
    </row>
    <row r="70" spans="2:6" ht="18" customHeight="1" x14ac:dyDescent="0.25">
      <c r="B70" s="2" t="s">
        <v>16</v>
      </c>
      <c r="C70" s="3">
        <f t="shared" si="5"/>
        <v>435</v>
      </c>
      <c r="D70" s="152">
        <f t="shared" si="5"/>
        <v>5.3031000000000002E-2</v>
      </c>
      <c r="E70" s="152">
        <f t="shared" si="5"/>
        <v>0.129</v>
      </c>
      <c r="F70" s="3">
        <f t="shared" si="5"/>
        <v>9879</v>
      </c>
    </row>
    <row r="71" spans="2:6" ht="18" customHeight="1" x14ac:dyDescent="0.25">
      <c r="B71" s="2" t="s">
        <v>15</v>
      </c>
      <c r="C71" s="3">
        <f t="shared" si="5"/>
        <v>477.77500000000003</v>
      </c>
      <c r="D71" s="152">
        <f t="shared" si="5"/>
        <v>4.7490500000000005E-2</v>
      </c>
      <c r="E71" s="152">
        <f t="shared" si="5"/>
        <v>0.124</v>
      </c>
      <c r="F71" s="3">
        <f t="shared" si="5"/>
        <v>9145.1924066778101</v>
      </c>
    </row>
    <row r="72" spans="2:6" ht="18" customHeight="1" x14ac:dyDescent="0.25">
      <c r="B72" s="2" t="s">
        <v>21</v>
      </c>
      <c r="C72" s="3">
        <f t="shared" ref="C72:F85" si="20">C33</f>
        <v>250.85</v>
      </c>
      <c r="D72" s="152">
        <f t="shared" si="20"/>
        <v>0.1582895</v>
      </c>
      <c r="E72" s="152">
        <f t="shared" si="20"/>
        <v>0.13</v>
      </c>
      <c r="F72" s="3">
        <f t="shared" si="20"/>
        <v>8099.3000000000011</v>
      </c>
    </row>
    <row r="73" spans="2:6" ht="18" customHeight="1" x14ac:dyDescent="0.25">
      <c r="B73" s="2" t="s">
        <v>22</v>
      </c>
      <c r="C73" s="3">
        <f t="shared" si="20"/>
        <v>278.39999999999998</v>
      </c>
      <c r="D73" s="152">
        <f t="shared" si="20"/>
        <v>0.12936349999999999</v>
      </c>
      <c r="E73" s="152">
        <f t="shared" si="20"/>
        <v>0.126</v>
      </c>
      <c r="F73" s="3">
        <f t="shared" si="20"/>
        <v>7483.3</v>
      </c>
    </row>
    <row r="74" spans="2:6" ht="18" customHeight="1" x14ac:dyDescent="0.25">
      <c r="B74" s="2" t="s">
        <v>23</v>
      </c>
      <c r="C74" s="3">
        <f t="shared" si="20"/>
        <v>311.02500000000003</v>
      </c>
      <c r="D74" s="152">
        <f t="shared" si="20"/>
        <v>0.10365150000000001</v>
      </c>
      <c r="E74" s="152">
        <f t="shared" si="20"/>
        <v>0.122</v>
      </c>
      <c r="F74" s="3">
        <f t="shared" si="20"/>
        <v>6921.2000000000007</v>
      </c>
    </row>
    <row r="75" spans="2:6" ht="18" customHeight="1" x14ac:dyDescent="0.25">
      <c r="B75" s="2" t="s">
        <v>24</v>
      </c>
      <c r="C75" s="3">
        <f t="shared" si="20"/>
        <v>362.5</v>
      </c>
      <c r="D75" s="152">
        <f t="shared" si="20"/>
        <v>8.0350000000000005E-2</v>
      </c>
      <c r="E75" s="152">
        <f t="shared" si="20"/>
        <v>0.12</v>
      </c>
      <c r="F75" s="3">
        <f t="shared" si="20"/>
        <v>6878.3</v>
      </c>
    </row>
    <row r="76" spans="2:6" ht="17.25" x14ac:dyDescent="0.25">
      <c r="B76" s="2" t="s">
        <v>25</v>
      </c>
      <c r="C76" s="3">
        <f t="shared" si="20"/>
        <v>395.125</v>
      </c>
      <c r="D76" s="152">
        <f t="shared" si="20"/>
        <v>6.5083500000000002E-2</v>
      </c>
      <c r="E76" s="152">
        <f t="shared" si="20"/>
        <v>0.11700000000000001</v>
      </c>
      <c r="F76" s="3">
        <f t="shared" si="20"/>
        <v>6320.6</v>
      </c>
    </row>
    <row r="77" spans="2:6" ht="17.25" x14ac:dyDescent="0.25">
      <c r="B77" s="2" t="s">
        <v>26</v>
      </c>
      <c r="C77" s="3">
        <f t="shared" si="20"/>
        <v>435</v>
      </c>
      <c r="D77" s="152">
        <f t="shared" si="20"/>
        <v>5.3031000000000002E-2</v>
      </c>
      <c r="E77" s="152">
        <f t="shared" si="20"/>
        <v>0.112</v>
      </c>
      <c r="F77" s="3">
        <f t="shared" si="20"/>
        <v>5615.5</v>
      </c>
    </row>
    <row r="78" spans="2:6" ht="17.25" x14ac:dyDescent="0.25">
      <c r="B78" s="2" t="s">
        <v>27</v>
      </c>
      <c r="C78" s="3">
        <f t="shared" si="20"/>
        <v>0</v>
      </c>
      <c r="D78" s="152">
        <f t="shared" si="20"/>
        <v>0</v>
      </c>
      <c r="E78" s="152">
        <f t="shared" si="20"/>
        <v>0</v>
      </c>
      <c r="F78" s="3">
        <f t="shared" si="20"/>
        <v>0</v>
      </c>
    </row>
    <row r="79" spans="2:6" ht="17.25" x14ac:dyDescent="0.25">
      <c r="B79" s="2" t="s">
        <v>110</v>
      </c>
      <c r="C79" s="3">
        <f t="shared" si="20"/>
        <v>250.85</v>
      </c>
      <c r="D79" s="152">
        <f t="shared" si="20"/>
        <v>0.1582895</v>
      </c>
      <c r="E79" s="152">
        <f t="shared" si="20"/>
        <v>0.13</v>
      </c>
      <c r="F79" s="3">
        <f t="shared" si="20"/>
        <v>8467.4499999999989</v>
      </c>
    </row>
    <row r="80" spans="2:6" ht="17.25" x14ac:dyDescent="0.25">
      <c r="B80" s="2" t="s">
        <v>111</v>
      </c>
      <c r="C80" s="3">
        <f t="shared" si="20"/>
        <v>278.39999999999998</v>
      </c>
      <c r="D80" s="152">
        <f t="shared" si="20"/>
        <v>0.12936349999999999</v>
      </c>
      <c r="E80" s="152">
        <f t="shared" si="20"/>
        <v>0.126</v>
      </c>
      <c r="F80" s="3">
        <f t="shared" si="20"/>
        <v>7823.45</v>
      </c>
    </row>
    <row r="81" spans="2:6" ht="17.25" x14ac:dyDescent="0.25">
      <c r="B81" s="2" t="s">
        <v>112</v>
      </c>
      <c r="C81" s="3">
        <f t="shared" si="20"/>
        <v>311.02500000000003</v>
      </c>
      <c r="D81" s="152">
        <f t="shared" si="20"/>
        <v>0.10365150000000001</v>
      </c>
      <c r="E81" s="152">
        <f t="shared" si="20"/>
        <v>0.122</v>
      </c>
      <c r="F81" s="3">
        <f t="shared" si="20"/>
        <v>7235.7999999999993</v>
      </c>
    </row>
    <row r="82" spans="2:6" ht="17.25" x14ac:dyDescent="0.25">
      <c r="B82" s="2" t="s">
        <v>113</v>
      </c>
      <c r="C82" s="3">
        <f t="shared" si="20"/>
        <v>362.5</v>
      </c>
      <c r="D82" s="152">
        <f t="shared" si="20"/>
        <v>8.0350000000000005E-2</v>
      </c>
      <c r="E82" s="152">
        <f t="shared" si="20"/>
        <v>0.12</v>
      </c>
      <c r="F82" s="3">
        <f t="shared" si="20"/>
        <v>7190.95</v>
      </c>
    </row>
    <row r="83" spans="2:6" ht="17.25" x14ac:dyDescent="0.25">
      <c r="B83" s="2" t="s">
        <v>114</v>
      </c>
      <c r="C83" s="3">
        <f t="shared" si="20"/>
        <v>395.125</v>
      </c>
      <c r="D83" s="152">
        <f t="shared" si="20"/>
        <v>6.5083500000000002E-2</v>
      </c>
      <c r="E83" s="152">
        <f t="shared" si="20"/>
        <v>0.11700000000000001</v>
      </c>
      <c r="F83" s="3">
        <f t="shared" si="20"/>
        <v>6607.9</v>
      </c>
    </row>
    <row r="84" spans="2:6" ht="17.25" x14ac:dyDescent="0.25">
      <c r="B84" s="2" t="s">
        <v>115</v>
      </c>
      <c r="C84" s="3">
        <f t="shared" si="20"/>
        <v>435</v>
      </c>
      <c r="D84" s="152">
        <f t="shared" si="20"/>
        <v>5.3031000000000002E-2</v>
      </c>
      <c r="E84" s="152">
        <f t="shared" si="20"/>
        <v>0.112</v>
      </c>
      <c r="F84" s="3">
        <f t="shared" si="20"/>
        <v>5870.75</v>
      </c>
    </row>
    <row r="85" spans="2:6" ht="17.25" x14ac:dyDescent="0.25">
      <c r="B85" s="2" t="s">
        <v>116</v>
      </c>
      <c r="C85" s="3">
        <f t="shared" si="20"/>
        <v>0</v>
      </c>
      <c r="D85" s="152">
        <f t="shared" si="20"/>
        <v>0</v>
      </c>
      <c r="E85" s="152">
        <f t="shared" si="20"/>
        <v>0</v>
      </c>
      <c r="F85" s="3">
        <f t="shared" si="2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3"/>
  <sheetViews>
    <sheetView view="pageBreakPreview" topLeftCell="V49" zoomScaleNormal="90" zoomScaleSheetLayoutView="100" workbookViewId="0">
      <selection activeCell="AN56" sqref="AN56"/>
    </sheetView>
  </sheetViews>
  <sheetFormatPr defaultColWidth="5.85546875" defaultRowHeight="15" customHeight="1" x14ac:dyDescent="0.25"/>
  <cols>
    <col min="1" max="1" width="1.7109375" style="9" customWidth="1"/>
    <col min="2" max="8" width="5.85546875" style="9" customWidth="1"/>
    <col min="9" max="9" width="3.85546875" style="71" customWidth="1"/>
    <col min="10" max="16" width="5.85546875" style="71" customWidth="1"/>
    <col min="17" max="18" width="1.7109375" style="15" customWidth="1"/>
    <col min="19" max="23" width="5.7109375" style="9" customWidth="1"/>
    <col min="24" max="24" width="6.7109375" style="9" customWidth="1"/>
    <col min="25" max="25" width="5.85546875" style="9" customWidth="1"/>
    <col min="26" max="26" width="3.85546875" style="71" customWidth="1"/>
    <col min="27" max="31" width="5.7109375" style="71" customWidth="1"/>
    <col min="32" max="32" width="6.7109375" style="71" customWidth="1"/>
    <col min="33" max="33" width="5.85546875" style="71" customWidth="1"/>
    <col min="34" max="35" width="1.7109375" style="15" customWidth="1"/>
    <col min="36" max="38" width="5.7109375" style="15" customWidth="1"/>
    <col min="39" max="39" width="12" style="15" bestFit="1" customWidth="1"/>
    <col min="40" max="50" width="5.7109375" style="15" customWidth="1"/>
    <col min="51" max="52" width="1.7109375" style="15" customWidth="1"/>
    <col min="53" max="67" width="5.7109375" style="15" customWidth="1"/>
    <col min="68" max="68" width="1.7109375" style="15" customWidth="1"/>
    <col min="69" max="256" width="5.85546875" style="9"/>
    <col min="257" max="257" width="1.7109375" style="9" customWidth="1"/>
    <col min="258" max="264" width="5.85546875" style="9" customWidth="1"/>
    <col min="265" max="265" width="3.85546875" style="9" customWidth="1"/>
    <col min="266" max="272" width="5.85546875" style="9" customWidth="1"/>
    <col min="273" max="274" width="1.7109375" style="9" customWidth="1"/>
    <col min="275" max="279" width="5.7109375" style="9" customWidth="1"/>
    <col min="280" max="280" width="6.7109375" style="9" customWidth="1"/>
    <col min="281" max="281" width="5.85546875" style="9" customWidth="1"/>
    <col min="282" max="282" width="3.85546875" style="9" customWidth="1"/>
    <col min="283" max="287" width="5.7109375" style="9" customWidth="1"/>
    <col min="288" max="288" width="6.7109375" style="9" customWidth="1"/>
    <col min="289" max="289" width="5.85546875" style="9" customWidth="1"/>
    <col min="290" max="291" width="1.7109375" style="9" customWidth="1"/>
    <col min="292" max="306" width="5.7109375" style="9" customWidth="1"/>
    <col min="307" max="308" width="1.7109375" style="9" customWidth="1"/>
    <col min="309" max="323" width="5.7109375" style="9" customWidth="1"/>
    <col min="324" max="324" width="1.7109375" style="9" customWidth="1"/>
    <col min="325" max="512" width="5.85546875" style="9"/>
    <col min="513" max="513" width="1.7109375" style="9" customWidth="1"/>
    <col min="514" max="520" width="5.85546875" style="9" customWidth="1"/>
    <col min="521" max="521" width="3.85546875" style="9" customWidth="1"/>
    <col min="522" max="528" width="5.85546875" style="9" customWidth="1"/>
    <col min="529" max="530" width="1.7109375" style="9" customWidth="1"/>
    <col min="531" max="535" width="5.7109375" style="9" customWidth="1"/>
    <col min="536" max="536" width="6.7109375" style="9" customWidth="1"/>
    <col min="537" max="537" width="5.85546875" style="9" customWidth="1"/>
    <col min="538" max="538" width="3.85546875" style="9" customWidth="1"/>
    <col min="539" max="543" width="5.7109375" style="9" customWidth="1"/>
    <col min="544" max="544" width="6.7109375" style="9" customWidth="1"/>
    <col min="545" max="545" width="5.85546875" style="9" customWidth="1"/>
    <col min="546" max="547" width="1.7109375" style="9" customWidth="1"/>
    <col min="548" max="562" width="5.7109375" style="9" customWidth="1"/>
    <col min="563" max="564" width="1.7109375" style="9" customWidth="1"/>
    <col min="565" max="579" width="5.7109375" style="9" customWidth="1"/>
    <col min="580" max="580" width="1.7109375" style="9" customWidth="1"/>
    <col min="581" max="768" width="5.85546875" style="9"/>
    <col min="769" max="769" width="1.7109375" style="9" customWidth="1"/>
    <col min="770" max="776" width="5.85546875" style="9" customWidth="1"/>
    <col min="777" max="777" width="3.85546875" style="9" customWidth="1"/>
    <col min="778" max="784" width="5.85546875" style="9" customWidth="1"/>
    <col min="785" max="786" width="1.7109375" style="9" customWidth="1"/>
    <col min="787" max="791" width="5.7109375" style="9" customWidth="1"/>
    <col min="792" max="792" width="6.7109375" style="9" customWidth="1"/>
    <col min="793" max="793" width="5.85546875" style="9" customWidth="1"/>
    <col min="794" max="794" width="3.85546875" style="9" customWidth="1"/>
    <col min="795" max="799" width="5.7109375" style="9" customWidth="1"/>
    <col min="800" max="800" width="6.7109375" style="9" customWidth="1"/>
    <col min="801" max="801" width="5.85546875" style="9" customWidth="1"/>
    <col min="802" max="803" width="1.7109375" style="9" customWidth="1"/>
    <col min="804" max="818" width="5.7109375" style="9" customWidth="1"/>
    <col min="819" max="820" width="1.7109375" style="9" customWidth="1"/>
    <col min="821" max="835" width="5.7109375" style="9" customWidth="1"/>
    <col min="836" max="836" width="1.7109375" style="9" customWidth="1"/>
    <col min="837" max="1024" width="5.85546875" style="9"/>
    <col min="1025" max="1025" width="1.7109375" style="9" customWidth="1"/>
    <col min="1026" max="1032" width="5.85546875" style="9" customWidth="1"/>
    <col min="1033" max="1033" width="3.85546875" style="9" customWidth="1"/>
    <col min="1034" max="1040" width="5.85546875" style="9" customWidth="1"/>
    <col min="1041" max="1042" width="1.7109375" style="9" customWidth="1"/>
    <col min="1043" max="1047" width="5.7109375" style="9" customWidth="1"/>
    <col min="1048" max="1048" width="6.7109375" style="9" customWidth="1"/>
    <col min="1049" max="1049" width="5.85546875" style="9" customWidth="1"/>
    <col min="1050" max="1050" width="3.85546875" style="9" customWidth="1"/>
    <col min="1051" max="1055" width="5.7109375" style="9" customWidth="1"/>
    <col min="1056" max="1056" width="6.7109375" style="9" customWidth="1"/>
    <col min="1057" max="1057" width="5.85546875" style="9" customWidth="1"/>
    <col min="1058" max="1059" width="1.7109375" style="9" customWidth="1"/>
    <col min="1060" max="1074" width="5.7109375" style="9" customWidth="1"/>
    <col min="1075" max="1076" width="1.7109375" style="9" customWidth="1"/>
    <col min="1077" max="1091" width="5.7109375" style="9" customWidth="1"/>
    <col min="1092" max="1092" width="1.7109375" style="9" customWidth="1"/>
    <col min="1093" max="1280" width="5.85546875" style="9"/>
    <col min="1281" max="1281" width="1.7109375" style="9" customWidth="1"/>
    <col min="1282" max="1288" width="5.85546875" style="9" customWidth="1"/>
    <col min="1289" max="1289" width="3.85546875" style="9" customWidth="1"/>
    <col min="1290" max="1296" width="5.85546875" style="9" customWidth="1"/>
    <col min="1297" max="1298" width="1.7109375" style="9" customWidth="1"/>
    <col min="1299" max="1303" width="5.7109375" style="9" customWidth="1"/>
    <col min="1304" max="1304" width="6.7109375" style="9" customWidth="1"/>
    <col min="1305" max="1305" width="5.85546875" style="9" customWidth="1"/>
    <col min="1306" max="1306" width="3.85546875" style="9" customWidth="1"/>
    <col min="1307" max="1311" width="5.7109375" style="9" customWidth="1"/>
    <col min="1312" max="1312" width="6.7109375" style="9" customWidth="1"/>
    <col min="1313" max="1313" width="5.85546875" style="9" customWidth="1"/>
    <col min="1314" max="1315" width="1.7109375" style="9" customWidth="1"/>
    <col min="1316" max="1330" width="5.7109375" style="9" customWidth="1"/>
    <col min="1331" max="1332" width="1.7109375" style="9" customWidth="1"/>
    <col min="1333" max="1347" width="5.7109375" style="9" customWidth="1"/>
    <col min="1348" max="1348" width="1.7109375" style="9" customWidth="1"/>
    <col min="1349" max="1536" width="5.85546875" style="9"/>
    <col min="1537" max="1537" width="1.7109375" style="9" customWidth="1"/>
    <col min="1538" max="1544" width="5.85546875" style="9" customWidth="1"/>
    <col min="1545" max="1545" width="3.85546875" style="9" customWidth="1"/>
    <col min="1546" max="1552" width="5.85546875" style="9" customWidth="1"/>
    <col min="1553" max="1554" width="1.7109375" style="9" customWidth="1"/>
    <col min="1555" max="1559" width="5.7109375" style="9" customWidth="1"/>
    <col min="1560" max="1560" width="6.7109375" style="9" customWidth="1"/>
    <col min="1561" max="1561" width="5.85546875" style="9" customWidth="1"/>
    <col min="1562" max="1562" width="3.85546875" style="9" customWidth="1"/>
    <col min="1563" max="1567" width="5.7109375" style="9" customWidth="1"/>
    <col min="1568" max="1568" width="6.7109375" style="9" customWidth="1"/>
    <col min="1569" max="1569" width="5.85546875" style="9" customWidth="1"/>
    <col min="1570" max="1571" width="1.7109375" style="9" customWidth="1"/>
    <col min="1572" max="1586" width="5.7109375" style="9" customWidth="1"/>
    <col min="1587" max="1588" width="1.7109375" style="9" customWidth="1"/>
    <col min="1589" max="1603" width="5.7109375" style="9" customWidth="1"/>
    <col min="1604" max="1604" width="1.7109375" style="9" customWidth="1"/>
    <col min="1605" max="1792" width="5.85546875" style="9"/>
    <col min="1793" max="1793" width="1.7109375" style="9" customWidth="1"/>
    <col min="1794" max="1800" width="5.85546875" style="9" customWidth="1"/>
    <col min="1801" max="1801" width="3.85546875" style="9" customWidth="1"/>
    <col min="1802" max="1808" width="5.85546875" style="9" customWidth="1"/>
    <col min="1809" max="1810" width="1.7109375" style="9" customWidth="1"/>
    <col min="1811" max="1815" width="5.7109375" style="9" customWidth="1"/>
    <col min="1816" max="1816" width="6.7109375" style="9" customWidth="1"/>
    <col min="1817" max="1817" width="5.85546875" style="9" customWidth="1"/>
    <col min="1818" max="1818" width="3.85546875" style="9" customWidth="1"/>
    <col min="1819" max="1823" width="5.7109375" style="9" customWidth="1"/>
    <col min="1824" max="1824" width="6.7109375" style="9" customWidth="1"/>
    <col min="1825" max="1825" width="5.85546875" style="9" customWidth="1"/>
    <col min="1826" max="1827" width="1.7109375" style="9" customWidth="1"/>
    <col min="1828" max="1842" width="5.7109375" style="9" customWidth="1"/>
    <col min="1843" max="1844" width="1.7109375" style="9" customWidth="1"/>
    <col min="1845" max="1859" width="5.7109375" style="9" customWidth="1"/>
    <col min="1860" max="1860" width="1.7109375" style="9" customWidth="1"/>
    <col min="1861" max="2048" width="5.85546875" style="9"/>
    <col min="2049" max="2049" width="1.7109375" style="9" customWidth="1"/>
    <col min="2050" max="2056" width="5.85546875" style="9" customWidth="1"/>
    <col min="2057" max="2057" width="3.85546875" style="9" customWidth="1"/>
    <col min="2058" max="2064" width="5.85546875" style="9" customWidth="1"/>
    <col min="2065" max="2066" width="1.7109375" style="9" customWidth="1"/>
    <col min="2067" max="2071" width="5.7109375" style="9" customWidth="1"/>
    <col min="2072" max="2072" width="6.7109375" style="9" customWidth="1"/>
    <col min="2073" max="2073" width="5.85546875" style="9" customWidth="1"/>
    <col min="2074" max="2074" width="3.85546875" style="9" customWidth="1"/>
    <col min="2075" max="2079" width="5.7109375" style="9" customWidth="1"/>
    <col min="2080" max="2080" width="6.7109375" style="9" customWidth="1"/>
    <col min="2081" max="2081" width="5.85546875" style="9" customWidth="1"/>
    <col min="2082" max="2083" width="1.7109375" style="9" customWidth="1"/>
    <col min="2084" max="2098" width="5.7109375" style="9" customWidth="1"/>
    <col min="2099" max="2100" width="1.7109375" style="9" customWidth="1"/>
    <col min="2101" max="2115" width="5.7109375" style="9" customWidth="1"/>
    <col min="2116" max="2116" width="1.7109375" style="9" customWidth="1"/>
    <col min="2117" max="2304" width="5.85546875" style="9"/>
    <col min="2305" max="2305" width="1.7109375" style="9" customWidth="1"/>
    <col min="2306" max="2312" width="5.85546875" style="9" customWidth="1"/>
    <col min="2313" max="2313" width="3.85546875" style="9" customWidth="1"/>
    <col min="2314" max="2320" width="5.85546875" style="9" customWidth="1"/>
    <col min="2321" max="2322" width="1.7109375" style="9" customWidth="1"/>
    <col min="2323" max="2327" width="5.7109375" style="9" customWidth="1"/>
    <col min="2328" max="2328" width="6.7109375" style="9" customWidth="1"/>
    <col min="2329" max="2329" width="5.85546875" style="9" customWidth="1"/>
    <col min="2330" max="2330" width="3.85546875" style="9" customWidth="1"/>
    <col min="2331" max="2335" width="5.7109375" style="9" customWidth="1"/>
    <col min="2336" max="2336" width="6.7109375" style="9" customWidth="1"/>
    <col min="2337" max="2337" width="5.85546875" style="9" customWidth="1"/>
    <col min="2338" max="2339" width="1.7109375" style="9" customWidth="1"/>
    <col min="2340" max="2354" width="5.7109375" style="9" customWidth="1"/>
    <col min="2355" max="2356" width="1.7109375" style="9" customWidth="1"/>
    <col min="2357" max="2371" width="5.7109375" style="9" customWidth="1"/>
    <col min="2372" max="2372" width="1.7109375" style="9" customWidth="1"/>
    <col min="2373" max="2560" width="5.85546875" style="9"/>
    <col min="2561" max="2561" width="1.7109375" style="9" customWidth="1"/>
    <col min="2562" max="2568" width="5.85546875" style="9" customWidth="1"/>
    <col min="2569" max="2569" width="3.85546875" style="9" customWidth="1"/>
    <col min="2570" max="2576" width="5.85546875" style="9" customWidth="1"/>
    <col min="2577" max="2578" width="1.7109375" style="9" customWidth="1"/>
    <col min="2579" max="2583" width="5.7109375" style="9" customWidth="1"/>
    <col min="2584" max="2584" width="6.7109375" style="9" customWidth="1"/>
    <col min="2585" max="2585" width="5.85546875" style="9" customWidth="1"/>
    <col min="2586" max="2586" width="3.85546875" style="9" customWidth="1"/>
    <col min="2587" max="2591" width="5.7109375" style="9" customWidth="1"/>
    <col min="2592" max="2592" width="6.7109375" style="9" customWidth="1"/>
    <col min="2593" max="2593" width="5.85546875" style="9" customWidth="1"/>
    <col min="2594" max="2595" width="1.7109375" style="9" customWidth="1"/>
    <col min="2596" max="2610" width="5.7109375" style="9" customWidth="1"/>
    <col min="2611" max="2612" width="1.7109375" style="9" customWidth="1"/>
    <col min="2613" max="2627" width="5.7109375" style="9" customWidth="1"/>
    <col min="2628" max="2628" width="1.7109375" style="9" customWidth="1"/>
    <col min="2629" max="2816" width="5.85546875" style="9"/>
    <col min="2817" max="2817" width="1.7109375" style="9" customWidth="1"/>
    <col min="2818" max="2824" width="5.85546875" style="9" customWidth="1"/>
    <col min="2825" max="2825" width="3.85546875" style="9" customWidth="1"/>
    <col min="2826" max="2832" width="5.85546875" style="9" customWidth="1"/>
    <col min="2833" max="2834" width="1.7109375" style="9" customWidth="1"/>
    <col min="2835" max="2839" width="5.7109375" style="9" customWidth="1"/>
    <col min="2840" max="2840" width="6.7109375" style="9" customWidth="1"/>
    <col min="2841" max="2841" width="5.85546875" style="9" customWidth="1"/>
    <col min="2842" max="2842" width="3.85546875" style="9" customWidth="1"/>
    <col min="2843" max="2847" width="5.7109375" style="9" customWidth="1"/>
    <col min="2848" max="2848" width="6.7109375" style="9" customWidth="1"/>
    <col min="2849" max="2849" width="5.85546875" style="9" customWidth="1"/>
    <col min="2850" max="2851" width="1.7109375" style="9" customWidth="1"/>
    <col min="2852" max="2866" width="5.7109375" style="9" customWidth="1"/>
    <col min="2867" max="2868" width="1.7109375" style="9" customWidth="1"/>
    <col min="2869" max="2883" width="5.7109375" style="9" customWidth="1"/>
    <col min="2884" max="2884" width="1.7109375" style="9" customWidth="1"/>
    <col min="2885" max="3072" width="5.85546875" style="9"/>
    <col min="3073" max="3073" width="1.7109375" style="9" customWidth="1"/>
    <col min="3074" max="3080" width="5.85546875" style="9" customWidth="1"/>
    <col min="3081" max="3081" width="3.85546875" style="9" customWidth="1"/>
    <col min="3082" max="3088" width="5.85546875" style="9" customWidth="1"/>
    <col min="3089" max="3090" width="1.7109375" style="9" customWidth="1"/>
    <col min="3091" max="3095" width="5.7109375" style="9" customWidth="1"/>
    <col min="3096" max="3096" width="6.7109375" style="9" customWidth="1"/>
    <col min="3097" max="3097" width="5.85546875" style="9" customWidth="1"/>
    <col min="3098" max="3098" width="3.85546875" style="9" customWidth="1"/>
    <col min="3099" max="3103" width="5.7109375" style="9" customWidth="1"/>
    <col min="3104" max="3104" width="6.7109375" style="9" customWidth="1"/>
    <col min="3105" max="3105" width="5.85546875" style="9" customWidth="1"/>
    <col min="3106" max="3107" width="1.7109375" style="9" customWidth="1"/>
    <col min="3108" max="3122" width="5.7109375" style="9" customWidth="1"/>
    <col min="3123" max="3124" width="1.7109375" style="9" customWidth="1"/>
    <col min="3125" max="3139" width="5.7109375" style="9" customWidth="1"/>
    <col min="3140" max="3140" width="1.7109375" style="9" customWidth="1"/>
    <col min="3141" max="3328" width="5.85546875" style="9"/>
    <col min="3329" max="3329" width="1.7109375" style="9" customWidth="1"/>
    <col min="3330" max="3336" width="5.85546875" style="9" customWidth="1"/>
    <col min="3337" max="3337" width="3.85546875" style="9" customWidth="1"/>
    <col min="3338" max="3344" width="5.85546875" style="9" customWidth="1"/>
    <col min="3345" max="3346" width="1.7109375" style="9" customWidth="1"/>
    <col min="3347" max="3351" width="5.7109375" style="9" customWidth="1"/>
    <col min="3352" max="3352" width="6.7109375" style="9" customWidth="1"/>
    <col min="3353" max="3353" width="5.85546875" style="9" customWidth="1"/>
    <col min="3354" max="3354" width="3.85546875" style="9" customWidth="1"/>
    <col min="3355" max="3359" width="5.7109375" style="9" customWidth="1"/>
    <col min="3360" max="3360" width="6.7109375" style="9" customWidth="1"/>
    <col min="3361" max="3361" width="5.85546875" style="9" customWidth="1"/>
    <col min="3362" max="3363" width="1.7109375" style="9" customWidth="1"/>
    <col min="3364" max="3378" width="5.7109375" style="9" customWidth="1"/>
    <col min="3379" max="3380" width="1.7109375" style="9" customWidth="1"/>
    <col min="3381" max="3395" width="5.7109375" style="9" customWidth="1"/>
    <col min="3396" max="3396" width="1.7109375" style="9" customWidth="1"/>
    <col min="3397" max="3584" width="5.85546875" style="9"/>
    <col min="3585" max="3585" width="1.7109375" style="9" customWidth="1"/>
    <col min="3586" max="3592" width="5.85546875" style="9" customWidth="1"/>
    <col min="3593" max="3593" width="3.85546875" style="9" customWidth="1"/>
    <col min="3594" max="3600" width="5.85546875" style="9" customWidth="1"/>
    <col min="3601" max="3602" width="1.7109375" style="9" customWidth="1"/>
    <col min="3603" max="3607" width="5.7109375" style="9" customWidth="1"/>
    <col min="3608" max="3608" width="6.7109375" style="9" customWidth="1"/>
    <col min="3609" max="3609" width="5.85546875" style="9" customWidth="1"/>
    <col min="3610" max="3610" width="3.85546875" style="9" customWidth="1"/>
    <col min="3611" max="3615" width="5.7109375" style="9" customWidth="1"/>
    <col min="3616" max="3616" width="6.7109375" style="9" customWidth="1"/>
    <col min="3617" max="3617" width="5.85546875" style="9" customWidth="1"/>
    <col min="3618" max="3619" width="1.7109375" style="9" customWidth="1"/>
    <col min="3620" max="3634" width="5.7109375" style="9" customWidth="1"/>
    <col min="3635" max="3636" width="1.7109375" style="9" customWidth="1"/>
    <col min="3637" max="3651" width="5.7109375" style="9" customWidth="1"/>
    <col min="3652" max="3652" width="1.7109375" style="9" customWidth="1"/>
    <col min="3653" max="3840" width="5.85546875" style="9"/>
    <col min="3841" max="3841" width="1.7109375" style="9" customWidth="1"/>
    <col min="3842" max="3848" width="5.85546875" style="9" customWidth="1"/>
    <col min="3849" max="3849" width="3.85546875" style="9" customWidth="1"/>
    <col min="3850" max="3856" width="5.85546875" style="9" customWidth="1"/>
    <col min="3857" max="3858" width="1.7109375" style="9" customWidth="1"/>
    <col min="3859" max="3863" width="5.7109375" style="9" customWidth="1"/>
    <col min="3864" max="3864" width="6.7109375" style="9" customWidth="1"/>
    <col min="3865" max="3865" width="5.85546875" style="9" customWidth="1"/>
    <col min="3866" max="3866" width="3.85546875" style="9" customWidth="1"/>
    <col min="3867" max="3871" width="5.7109375" style="9" customWidth="1"/>
    <col min="3872" max="3872" width="6.7109375" style="9" customWidth="1"/>
    <col min="3873" max="3873" width="5.85546875" style="9" customWidth="1"/>
    <col min="3874" max="3875" width="1.7109375" style="9" customWidth="1"/>
    <col min="3876" max="3890" width="5.7109375" style="9" customWidth="1"/>
    <col min="3891" max="3892" width="1.7109375" style="9" customWidth="1"/>
    <col min="3893" max="3907" width="5.7109375" style="9" customWidth="1"/>
    <col min="3908" max="3908" width="1.7109375" style="9" customWidth="1"/>
    <col min="3909" max="4096" width="5.85546875" style="9"/>
    <col min="4097" max="4097" width="1.7109375" style="9" customWidth="1"/>
    <col min="4098" max="4104" width="5.85546875" style="9" customWidth="1"/>
    <col min="4105" max="4105" width="3.85546875" style="9" customWidth="1"/>
    <col min="4106" max="4112" width="5.85546875" style="9" customWidth="1"/>
    <col min="4113" max="4114" width="1.7109375" style="9" customWidth="1"/>
    <col min="4115" max="4119" width="5.7109375" style="9" customWidth="1"/>
    <col min="4120" max="4120" width="6.7109375" style="9" customWidth="1"/>
    <col min="4121" max="4121" width="5.85546875" style="9" customWidth="1"/>
    <col min="4122" max="4122" width="3.85546875" style="9" customWidth="1"/>
    <col min="4123" max="4127" width="5.7109375" style="9" customWidth="1"/>
    <col min="4128" max="4128" width="6.7109375" style="9" customWidth="1"/>
    <col min="4129" max="4129" width="5.85546875" style="9" customWidth="1"/>
    <col min="4130" max="4131" width="1.7109375" style="9" customWidth="1"/>
    <col min="4132" max="4146" width="5.7109375" style="9" customWidth="1"/>
    <col min="4147" max="4148" width="1.7109375" style="9" customWidth="1"/>
    <col min="4149" max="4163" width="5.7109375" style="9" customWidth="1"/>
    <col min="4164" max="4164" width="1.7109375" style="9" customWidth="1"/>
    <col min="4165" max="4352" width="5.85546875" style="9"/>
    <col min="4353" max="4353" width="1.7109375" style="9" customWidth="1"/>
    <col min="4354" max="4360" width="5.85546875" style="9" customWidth="1"/>
    <col min="4361" max="4361" width="3.85546875" style="9" customWidth="1"/>
    <col min="4362" max="4368" width="5.85546875" style="9" customWidth="1"/>
    <col min="4369" max="4370" width="1.7109375" style="9" customWidth="1"/>
    <col min="4371" max="4375" width="5.7109375" style="9" customWidth="1"/>
    <col min="4376" max="4376" width="6.7109375" style="9" customWidth="1"/>
    <col min="4377" max="4377" width="5.85546875" style="9" customWidth="1"/>
    <col min="4378" max="4378" width="3.85546875" style="9" customWidth="1"/>
    <col min="4379" max="4383" width="5.7109375" style="9" customWidth="1"/>
    <col min="4384" max="4384" width="6.7109375" style="9" customWidth="1"/>
    <col min="4385" max="4385" width="5.85546875" style="9" customWidth="1"/>
    <col min="4386" max="4387" width="1.7109375" style="9" customWidth="1"/>
    <col min="4388" max="4402" width="5.7109375" style="9" customWidth="1"/>
    <col min="4403" max="4404" width="1.7109375" style="9" customWidth="1"/>
    <col min="4405" max="4419" width="5.7109375" style="9" customWidth="1"/>
    <col min="4420" max="4420" width="1.7109375" style="9" customWidth="1"/>
    <col min="4421" max="4608" width="5.85546875" style="9"/>
    <col min="4609" max="4609" width="1.7109375" style="9" customWidth="1"/>
    <col min="4610" max="4616" width="5.85546875" style="9" customWidth="1"/>
    <col min="4617" max="4617" width="3.85546875" style="9" customWidth="1"/>
    <col min="4618" max="4624" width="5.85546875" style="9" customWidth="1"/>
    <col min="4625" max="4626" width="1.7109375" style="9" customWidth="1"/>
    <col min="4627" max="4631" width="5.7109375" style="9" customWidth="1"/>
    <col min="4632" max="4632" width="6.7109375" style="9" customWidth="1"/>
    <col min="4633" max="4633" width="5.85546875" style="9" customWidth="1"/>
    <col min="4634" max="4634" width="3.85546875" style="9" customWidth="1"/>
    <col min="4635" max="4639" width="5.7109375" style="9" customWidth="1"/>
    <col min="4640" max="4640" width="6.7109375" style="9" customWidth="1"/>
    <col min="4641" max="4641" width="5.85546875" style="9" customWidth="1"/>
    <col min="4642" max="4643" width="1.7109375" style="9" customWidth="1"/>
    <col min="4644" max="4658" width="5.7109375" style="9" customWidth="1"/>
    <col min="4659" max="4660" width="1.7109375" style="9" customWidth="1"/>
    <col min="4661" max="4675" width="5.7109375" style="9" customWidth="1"/>
    <col min="4676" max="4676" width="1.7109375" style="9" customWidth="1"/>
    <col min="4677" max="4864" width="5.85546875" style="9"/>
    <col min="4865" max="4865" width="1.7109375" style="9" customWidth="1"/>
    <col min="4866" max="4872" width="5.85546875" style="9" customWidth="1"/>
    <col min="4873" max="4873" width="3.85546875" style="9" customWidth="1"/>
    <col min="4874" max="4880" width="5.85546875" style="9" customWidth="1"/>
    <col min="4881" max="4882" width="1.7109375" style="9" customWidth="1"/>
    <col min="4883" max="4887" width="5.7109375" style="9" customWidth="1"/>
    <col min="4888" max="4888" width="6.7109375" style="9" customWidth="1"/>
    <col min="4889" max="4889" width="5.85546875" style="9" customWidth="1"/>
    <col min="4890" max="4890" width="3.85546875" style="9" customWidth="1"/>
    <col min="4891" max="4895" width="5.7109375" style="9" customWidth="1"/>
    <col min="4896" max="4896" width="6.7109375" style="9" customWidth="1"/>
    <col min="4897" max="4897" width="5.85546875" style="9" customWidth="1"/>
    <col min="4898" max="4899" width="1.7109375" style="9" customWidth="1"/>
    <col min="4900" max="4914" width="5.7109375" style="9" customWidth="1"/>
    <col min="4915" max="4916" width="1.7109375" style="9" customWidth="1"/>
    <col min="4917" max="4931" width="5.7109375" style="9" customWidth="1"/>
    <col min="4932" max="4932" width="1.7109375" style="9" customWidth="1"/>
    <col min="4933" max="5120" width="5.85546875" style="9"/>
    <col min="5121" max="5121" width="1.7109375" style="9" customWidth="1"/>
    <col min="5122" max="5128" width="5.85546875" style="9" customWidth="1"/>
    <col min="5129" max="5129" width="3.85546875" style="9" customWidth="1"/>
    <col min="5130" max="5136" width="5.85546875" style="9" customWidth="1"/>
    <col min="5137" max="5138" width="1.7109375" style="9" customWidth="1"/>
    <col min="5139" max="5143" width="5.7109375" style="9" customWidth="1"/>
    <col min="5144" max="5144" width="6.7109375" style="9" customWidth="1"/>
    <col min="5145" max="5145" width="5.85546875" style="9" customWidth="1"/>
    <col min="5146" max="5146" width="3.85546875" style="9" customWidth="1"/>
    <col min="5147" max="5151" width="5.7109375" style="9" customWidth="1"/>
    <col min="5152" max="5152" width="6.7109375" style="9" customWidth="1"/>
    <col min="5153" max="5153" width="5.85546875" style="9" customWidth="1"/>
    <col min="5154" max="5155" width="1.7109375" style="9" customWidth="1"/>
    <col min="5156" max="5170" width="5.7109375" style="9" customWidth="1"/>
    <col min="5171" max="5172" width="1.7109375" style="9" customWidth="1"/>
    <col min="5173" max="5187" width="5.7109375" style="9" customWidth="1"/>
    <col min="5188" max="5188" width="1.7109375" style="9" customWidth="1"/>
    <col min="5189" max="5376" width="5.85546875" style="9"/>
    <col min="5377" max="5377" width="1.7109375" style="9" customWidth="1"/>
    <col min="5378" max="5384" width="5.85546875" style="9" customWidth="1"/>
    <col min="5385" max="5385" width="3.85546875" style="9" customWidth="1"/>
    <col min="5386" max="5392" width="5.85546875" style="9" customWidth="1"/>
    <col min="5393" max="5394" width="1.7109375" style="9" customWidth="1"/>
    <col min="5395" max="5399" width="5.7109375" style="9" customWidth="1"/>
    <col min="5400" max="5400" width="6.7109375" style="9" customWidth="1"/>
    <col min="5401" max="5401" width="5.85546875" style="9" customWidth="1"/>
    <col min="5402" max="5402" width="3.85546875" style="9" customWidth="1"/>
    <col min="5403" max="5407" width="5.7109375" style="9" customWidth="1"/>
    <col min="5408" max="5408" width="6.7109375" style="9" customWidth="1"/>
    <col min="5409" max="5409" width="5.85546875" style="9" customWidth="1"/>
    <col min="5410" max="5411" width="1.7109375" style="9" customWidth="1"/>
    <col min="5412" max="5426" width="5.7109375" style="9" customWidth="1"/>
    <col min="5427" max="5428" width="1.7109375" style="9" customWidth="1"/>
    <col min="5429" max="5443" width="5.7109375" style="9" customWidth="1"/>
    <col min="5444" max="5444" width="1.7109375" style="9" customWidth="1"/>
    <col min="5445" max="5632" width="5.85546875" style="9"/>
    <col min="5633" max="5633" width="1.7109375" style="9" customWidth="1"/>
    <col min="5634" max="5640" width="5.85546875" style="9" customWidth="1"/>
    <col min="5641" max="5641" width="3.85546875" style="9" customWidth="1"/>
    <col min="5642" max="5648" width="5.85546875" style="9" customWidth="1"/>
    <col min="5649" max="5650" width="1.7109375" style="9" customWidth="1"/>
    <col min="5651" max="5655" width="5.7109375" style="9" customWidth="1"/>
    <col min="5656" max="5656" width="6.7109375" style="9" customWidth="1"/>
    <col min="5657" max="5657" width="5.85546875" style="9" customWidth="1"/>
    <col min="5658" max="5658" width="3.85546875" style="9" customWidth="1"/>
    <col min="5659" max="5663" width="5.7109375" style="9" customWidth="1"/>
    <col min="5664" max="5664" width="6.7109375" style="9" customWidth="1"/>
    <col min="5665" max="5665" width="5.85546875" style="9" customWidth="1"/>
    <col min="5666" max="5667" width="1.7109375" style="9" customWidth="1"/>
    <col min="5668" max="5682" width="5.7109375" style="9" customWidth="1"/>
    <col min="5683" max="5684" width="1.7109375" style="9" customWidth="1"/>
    <col min="5685" max="5699" width="5.7109375" style="9" customWidth="1"/>
    <col min="5700" max="5700" width="1.7109375" style="9" customWidth="1"/>
    <col min="5701" max="5888" width="5.85546875" style="9"/>
    <col min="5889" max="5889" width="1.7109375" style="9" customWidth="1"/>
    <col min="5890" max="5896" width="5.85546875" style="9" customWidth="1"/>
    <col min="5897" max="5897" width="3.85546875" style="9" customWidth="1"/>
    <col min="5898" max="5904" width="5.85546875" style="9" customWidth="1"/>
    <col min="5905" max="5906" width="1.7109375" style="9" customWidth="1"/>
    <col min="5907" max="5911" width="5.7109375" style="9" customWidth="1"/>
    <col min="5912" max="5912" width="6.7109375" style="9" customWidth="1"/>
    <col min="5913" max="5913" width="5.85546875" style="9" customWidth="1"/>
    <col min="5914" max="5914" width="3.85546875" style="9" customWidth="1"/>
    <col min="5915" max="5919" width="5.7109375" style="9" customWidth="1"/>
    <col min="5920" max="5920" width="6.7109375" style="9" customWidth="1"/>
    <col min="5921" max="5921" width="5.85546875" style="9" customWidth="1"/>
    <col min="5922" max="5923" width="1.7109375" style="9" customWidth="1"/>
    <col min="5924" max="5938" width="5.7109375" style="9" customWidth="1"/>
    <col min="5939" max="5940" width="1.7109375" style="9" customWidth="1"/>
    <col min="5941" max="5955" width="5.7109375" style="9" customWidth="1"/>
    <col min="5956" max="5956" width="1.7109375" style="9" customWidth="1"/>
    <col min="5957" max="6144" width="5.85546875" style="9"/>
    <col min="6145" max="6145" width="1.7109375" style="9" customWidth="1"/>
    <col min="6146" max="6152" width="5.85546875" style="9" customWidth="1"/>
    <col min="6153" max="6153" width="3.85546875" style="9" customWidth="1"/>
    <col min="6154" max="6160" width="5.85546875" style="9" customWidth="1"/>
    <col min="6161" max="6162" width="1.7109375" style="9" customWidth="1"/>
    <col min="6163" max="6167" width="5.7109375" style="9" customWidth="1"/>
    <col min="6168" max="6168" width="6.7109375" style="9" customWidth="1"/>
    <col min="6169" max="6169" width="5.85546875" style="9" customWidth="1"/>
    <col min="6170" max="6170" width="3.85546875" style="9" customWidth="1"/>
    <col min="6171" max="6175" width="5.7109375" style="9" customWidth="1"/>
    <col min="6176" max="6176" width="6.7109375" style="9" customWidth="1"/>
    <col min="6177" max="6177" width="5.85546875" style="9" customWidth="1"/>
    <col min="6178" max="6179" width="1.7109375" style="9" customWidth="1"/>
    <col min="6180" max="6194" width="5.7109375" style="9" customWidth="1"/>
    <col min="6195" max="6196" width="1.7109375" style="9" customWidth="1"/>
    <col min="6197" max="6211" width="5.7109375" style="9" customWidth="1"/>
    <col min="6212" max="6212" width="1.7109375" style="9" customWidth="1"/>
    <col min="6213" max="6400" width="5.85546875" style="9"/>
    <col min="6401" max="6401" width="1.7109375" style="9" customWidth="1"/>
    <col min="6402" max="6408" width="5.85546875" style="9" customWidth="1"/>
    <col min="6409" max="6409" width="3.85546875" style="9" customWidth="1"/>
    <col min="6410" max="6416" width="5.85546875" style="9" customWidth="1"/>
    <col min="6417" max="6418" width="1.7109375" style="9" customWidth="1"/>
    <col min="6419" max="6423" width="5.7109375" style="9" customWidth="1"/>
    <col min="6424" max="6424" width="6.7109375" style="9" customWidth="1"/>
    <col min="6425" max="6425" width="5.85546875" style="9" customWidth="1"/>
    <col min="6426" max="6426" width="3.85546875" style="9" customWidth="1"/>
    <col min="6427" max="6431" width="5.7109375" style="9" customWidth="1"/>
    <col min="6432" max="6432" width="6.7109375" style="9" customWidth="1"/>
    <col min="6433" max="6433" width="5.85546875" style="9" customWidth="1"/>
    <col min="6434" max="6435" width="1.7109375" style="9" customWidth="1"/>
    <col min="6436" max="6450" width="5.7109375" style="9" customWidth="1"/>
    <col min="6451" max="6452" width="1.7109375" style="9" customWidth="1"/>
    <col min="6453" max="6467" width="5.7109375" style="9" customWidth="1"/>
    <col min="6468" max="6468" width="1.7109375" style="9" customWidth="1"/>
    <col min="6469" max="6656" width="5.85546875" style="9"/>
    <col min="6657" max="6657" width="1.7109375" style="9" customWidth="1"/>
    <col min="6658" max="6664" width="5.85546875" style="9" customWidth="1"/>
    <col min="6665" max="6665" width="3.85546875" style="9" customWidth="1"/>
    <col min="6666" max="6672" width="5.85546875" style="9" customWidth="1"/>
    <col min="6673" max="6674" width="1.7109375" style="9" customWidth="1"/>
    <col min="6675" max="6679" width="5.7109375" style="9" customWidth="1"/>
    <col min="6680" max="6680" width="6.7109375" style="9" customWidth="1"/>
    <col min="6681" max="6681" width="5.85546875" style="9" customWidth="1"/>
    <col min="6682" max="6682" width="3.85546875" style="9" customWidth="1"/>
    <col min="6683" max="6687" width="5.7109375" style="9" customWidth="1"/>
    <col min="6688" max="6688" width="6.7109375" style="9" customWidth="1"/>
    <col min="6689" max="6689" width="5.85546875" style="9" customWidth="1"/>
    <col min="6690" max="6691" width="1.7109375" style="9" customWidth="1"/>
    <col min="6692" max="6706" width="5.7109375" style="9" customWidth="1"/>
    <col min="6707" max="6708" width="1.7109375" style="9" customWidth="1"/>
    <col min="6709" max="6723" width="5.7109375" style="9" customWidth="1"/>
    <col min="6724" max="6724" width="1.7109375" style="9" customWidth="1"/>
    <col min="6725" max="6912" width="5.85546875" style="9"/>
    <col min="6913" max="6913" width="1.7109375" style="9" customWidth="1"/>
    <col min="6914" max="6920" width="5.85546875" style="9" customWidth="1"/>
    <col min="6921" max="6921" width="3.85546875" style="9" customWidth="1"/>
    <col min="6922" max="6928" width="5.85546875" style="9" customWidth="1"/>
    <col min="6929" max="6930" width="1.7109375" style="9" customWidth="1"/>
    <col min="6931" max="6935" width="5.7109375" style="9" customWidth="1"/>
    <col min="6936" max="6936" width="6.7109375" style="9" customWidth="1"/>
    <col min="6937" max="6937" width="5.85546875" style="9" customWidth="1"/>
    <col min="6938" max="6938" width="3.85546875" style="9" customWidth="1"/>
    <col min="6939" max="6943" width="5.7109375" style="9" customWidth="1"/>
    <col min="6944" max="6944" width="6.7109375" style="9" customWidth="1"/>
    <col min="6945" max="6945" width="5.85546875" style="9" customWidth="1"/>
    <col min="6946" max="6947" width="1.7109375" style="9" customWidth="1"/>
    <col min="6948" max="6962" width="5.7109375" style="9" customWidth="1"/>
    <col min="6963" max="6964" width="1.7109375" style="9" customWidth="1"/>
    <col min="6965" max="6979" width="5.7109375" style="9" customWidth="1"/>
    <col min="6980" max="6980" width="1.7109375" style="9" customWidth="1"/>
    <col min="6981" max="7168" width="5.85546875" style="9"/>
    <col min="7169" max="7169" width="1.7109375" style="9" customWidth="1"/>
    <col min="7170" max="7176" width="5.85546875" style="9" customWidth="1"/>
    <col min="7177" max="7177" width="3.85546875" style="9" customWidth="1"/>
    <col min="7178" max="7184" width="5.85546875" style="9" customWidth="1"/>
    <col min="7185" max="7186" width="1.7109375" style="9" customWidth="1"/>
    <col min="7187" max="7191" width="5.7109375" style="9" customWidth="1"/>
    <col min="7192" max="7192" width="6.7109375" style="9" customWidth="1"/>
    <col min="7193" max="7193" width="5.85546875" style="9" customWidth="1"/>
    <col min="7194" max="7194" width="3.85546875" style="9" customWidth="1"/>
    <col min="7195" max="7199" width="5.7109375" style="9" customWidth="1"/>
    <col min="7200" max="7200" width="6.7109375" style="9" customWidth="1"/>
    <col min="7201" max="7201" width="5.85546875" style="9" customWidth="1"/>
    <col min="7202" max="7203" width="1.7109375" style="9" customWidth="1"/>
    <col min="7204" max="7218" width="5.7109375" style="9" customWidth="1"/>
    <col min="7219" max="7220" width="1.7109375" style="9" customWidth="1"/>
    <col min="7221" max="7235" width="5.7109375" style="9" customWidth="1"/>
    <col min="7236" max="7236" width="1.7109375" style="9" customWidth="1"/>
    <col min="7237" max="7424" width="5.85546875" style="9"/>
    <col min="7425" max="7425" width="1.7109375" style="9" customWidth="1"/>
    <col min="7426" max="7432" width="5.85546875" style="9" customWidth="1"/>
    <col min="7433" max="7433" width="3.85546875" style="9" customWidth="1"/>
    <col min="7434" max="7440" width="5.85546875" style="9" customWidth="1"/>
    <col min="7441" max="7442" width="1.7109375" style="9" customWidth="1"/>
    <col min="7443" max="7447" width="5.7109375" style="9" customWidth="1"/>
    <col min="7448" max="7448" width="6.7109375" style="9" customWidth="1"/>
    <col min="7449" max="7449" width="5.85546875" style="9" customWidth="1"/>
    <col min="7450" max="7450" width="3.85546875" style="9" customWidth="1"/>
    <col min="7451" max="7455" width="5.7109375" style="9" customWidth="1"/>
    <col min="7456" max="7456" width="6.7109375" style="9" customWidth="1"/>
    <col min="7457" max="7457" width="5.85546875" style="9" customWidth="1"/>
    <col min="7458" max="7459" width="1.7109375" style="9" customWidth="1"/>
    <col min="7460" max="7474" width="5.7109375" style="9" customWidth="1"/>
    <col min="7475" max="7476" width="1.7109375" style="9" customWidth="1"/>
    <col min="7477" max="7491" width="5.7109375" style="9" customWidth="1"/>
    <col min="7492" max="7492" width="1.7109375" style="9" customWidth="1"/>
    <col min="7493" max="7680" width="5.85546875" style="9"/>
    <col min="7681" max="7681" width="1.7109375" style="9" customWidth="1"/>
    <col min="7682" max="7688" width="5.85546875" style="9" customWidth="1"/>
    <col min="7689" max="7689" width="3.85546875" style="9" customWidth="1"/>
    <col min="7690" max="7696" width="5.85546875" style="9" customWidth="1"/>
    <col min="7697" max="7698" width="1.7109375" style="9" customWidth="1"/>
    <col min="7699" max="7703" width="5.7109375" style="9" customWidth="1"/>
    <col min="7704" max="7704" width="6.7109375" style="9" customWidth="1"/>
    <col min="7705" max="7705" width="5.85546875" style="9" customWidth="1"/>
    <col min="7706" max="7706" width="3.85546875" style="9" customWidth="1"/>
    <col min="7707" max="7711" width="5.7109375" style="9" customWidth="1"/>
    <col min="7712" max="7712" width="6.7109375" style="9" customWidth="1"/>
    <col min="7713" max="7713" width="5.85546875" style="9" customWidth="1"/>
    <col min="7714" max="7715" width="1.7109375" style="9" customWidth="1"/>
    <col min="7716" max="7730" width="5.7109375" style="9" customWidth="1"/>
    <col min="7731" max="7732" width="1.7109375" style="9" customWidth="1"/>
    <col min="7733" max="7747" width="5.7109375" style="9" customWidth="1"/>
    <col min="7748" max="7748" width="1.7109375" style="9" customWidth="1"/>
    <col min="7749" max="7936" width="5.85546875" style="9"/>
    <col min="7937" max="7937" width="1.7109375" style="9" customWidth="1"/>
    <col min="7938" max="7944" width="5.85546875" style="9" customWidth="1"/>
    <col min="7945" max="7945" width="3.85546875" style="9" customWidth="1"/>
    <col min="7946" max="7952" width="5.85546875" style="9" customWidth="1"/>
    <col min="7953" max="7954" width="1.7109375" style="9" customWidth="1"/>
    <col min="7955" max="7959" width="5.7109375" style="9" customWidth="1"/>
    <col min="7960" max="7960" width="6.7109375" style="9" customWidth="1"/>
    <col min="7961" max="7961" width="5.85546875" style="9" customWidth="1"/>
    <col min="7962" max="7962" width="3.85546875" style="9" customWidth="1"/>
    <col min="7963" max="7967" width="5.7109375" style="9" customWidth="1"/>
    <col min="7968" max="7968" width="6.7109375" style="9" customWidth="1"/>
    <col min="7969" max="7969" width="5.85546875" style="9" customWidth="1"/>
    <col min="7970" max="7971" width="1.7109375" style="9" customWidth="1"/>
    <col min="7972" max="7986" width="5.7109375" style="9" customWidth="1"/>
    <col min="7987" max="7988" width="1.7109375" style="9" customWidth="1"/>
    <col min="7989" max="8003" width="5.7109375" style="9" customWidth="1"/>
    <col min="8004" max="8004" width="1.7109375" style="9" customWidth="1"/>
    <col min="8005" max="8192" width="5.85546875" style="9"/>
    <col min="8193" max="8193" width="1.7109375" style="9" customWidth="1"/>
    <col min="8194" max="8200" width="5.85546875" style="9" customWidth="1"/>
    <col min="8201" max="8201" width="3.85546875" style="9" customWidth="1"/>
    <col min="8202" max="8208" width="5.85546875" style="9" customWidth="1"/>
    <col min="8209" max="8210" width="1.7109375" style="9" customWidth="1"/>
    <col min="8211" max="8215" width="5.7109375" style="9" customWidth="1"/>
    <col min="8216" max="8216" width="6.7109375" style="9" customWidth="1"/>
    <col min="8217" max="8217" width="5.85546875" style="9" customWidth="1"/>
    <col min="8218" max="8218" width="3.85546875" style="9" customWidth="1"/>
    <col min="8219" max="8223" width="5.7109375" style="9" customWidth="1"/>
    <col min="8224" max="8224" width="6.7109375" style="9" customWidth="1"/>
    <col min="8225" max="8225" width="5.85546875" style="9" customWidth="1"/>
    <col min="8226" max="8227" width="1.7109375" style="9" customWidth="1"/>
    <col min="8228" max="8242" width="5.7109375" style="9" customWidth="1"/>
    <col min="8243" max="8244" width="1.7109375" style="9" customWidth="1"/>
    <col min="8245" max="8259" width="5.7109375" style="9" customWidth="1"/>
    <col min="8260" max="8260" width="1.7109375" style="9" customWidth="1"/>
    <col min="8261" max="8448" width="5.85546875" style="9"/>
    <col min="8449" max="8449" width="1.7109375" style="9" customWidth="1"/>
    <col min="8450" max="8456" width="5.85546875" style="9" customWidth="1"/>
    <col min="8457" max="8457" width="3.85546875" style="9" customWidth="1"/>
    <col min="8458" max="8464" width="5.85546875" style="9" customWidth="1"/>
    <col min="8465" max="8466" width="1.7109375" style="9" customWidth="1"/>
    <col min="8467" max="8471" width="5.7109375" style="9" customWidth="1"/>
    <col min="8472" max="8472" width="6.7109375" style="9" customWidth="1"/>
    <col min="8473" max="8473" width="5.85546875" style="9" customWidth="1"/>
    <col min="8474" max="8474" width="3.85546875" style="9" customWidth="1"/>
    <col min="8475" max="8479" width="5.7109375" style="9" customWidth="1"/>
    <col min="8480" max="8480" width="6.7109375" style="9" customWidth="1"/>
    <col min="8481" max="8481" width="5.85546875" style="9" customWidth="1"/>
    <col min="8482" max="8483" width="1.7109375" style="9" customWidth="1"/>
    <col min="8484" max="8498" width="5.7109375" style="9" customWidth="1"/>
    <col min="8499" max="8500" width="1.7109375" style="9" customWidth="1"/>
    <col min="8501" max="8515" width="5.7109375" style="9" customWidth="1"/>
    <col min="8516" max="8516" width="1.7109375" style="9" customWidth="1"/>
    <col min="8517" max="8704" width="5.85546875" style="9"/>
    <col min="8705" max="8705" width="1.7109375" style="9" customWidth="1"/>
    <col min="8706" max="8712" width="5.85546875" style="9" customWidth="1"/>
    <col min="8713" max="8713" width="3.85546875" style="9" customWidth="1"/>
    <col min="8714" max="8720" width="5.85546875" style="9" customWidth="1"/>
    <col min="8721" max="8722" width="1.7109375" style="9" customWidth="1"/>
    <col min="8723" max="8727" width="5.7109375" style="9" customWidth="1"/>
    <col min="8728" max="8728" width="6.7109375" style="9" customWidth="1"/>
    <col min="8729" max="8729" width="5.85546875" style="9" customWidth="1"/>
    <col min="8730" max="8730" width="3.85546875" style="9" customWidth="1"/>
    <col min="8731" max="8735" width="5.7109375" style="9" customWidth="1"/>
    <col min="8736" max="8736" width="6.7109375" style="9" customWidth="1"/>
    <col min="8737" max="8737" width="5.85546875" style="9" customWidth="1"/>
    <col min="8738" max="8739" width="1.7109375" style="9" customWidth="1"/>
    <col min="8740" max="8754" width="5.7109375" style="9" customWidth="1"/>
    <col min="8755" max="8756" width="1.7109375" style="9" customWidth="1"/>
    <col min="8757" max="8771" width="5.7109375" style="9" customWidth="1"/>
    <col min="8772" max="8772" width="1.7109375" style="9" customWidth="1"/>
    <col min="8773" max="8960" width="5.85546875" style="9"/>
    <col min="8961" max="8961" width="1.7109375" style="9" customWidth="1"/>
    <col min="8962" max="8968" width="5.85546875" style="9" customWidth="1"/>
    <col min="8969" max="8969" width="3.85546875" style="9" customWidth="1"/>
    <col min="8970" max="8976" width="5.85546875" style="9" customWidth="1"/>
    <col min="8977" max="8978" width="1.7109375" style="9" customWidth="1"/>
    <col min="8979" max="8983" width="5.7109375" style="9" customWidth="1"/>
    <col min="8984" max="8984" width="6.7109375" style="9" customWidth="1"/>
    <col min="8985" max="8985" width="5.85546875" style="9" customWidth="1"/>
    <col min="8986" max="8986" width="3.85546875" style="9" customWidth="1"/>
    <col min="8987" max="8991" width="5.7109375" style="9" customWidth="1"/>
    <col min="8992" max="8992" width="6.7109375" style="9" customWidth="1"/>
    <col min="8993" max="8993" width="5.85546875" style="9" customWidth="1"/>
    <col min="8994" max="8995" width="1.7109375" style="9" customWidth="1"/>
    <col min="8996" max="9010" width="5.7109375" style="9" customWidth="1"/>
    <col min="9011" max="9012" width="1.7109375" style="9" customWidth="1"/>
    <col min="9013" max="9027" width="5.7109375" style="9" customWidth="1"/>
    <col min="9028" max="9028" width="1.7109375" style="9" customWidth="1"/>
    <col min="9029" max="9216" width="5.85546875" style="9"/>
    <col min="9217" max="9217" width="1.7109375" style="9" customWidth="1"/>
    <col min="9218" max="9224" width="5.85546875" style="9" customWidth="1"/>
    <col min="9225" max="9225" width="3.85546875" style="9" customWidth="1"/>
    <col min="9226" max="9232" width="5.85546875" style="9" customWidth="1"/>
    <col min="9233" max="9234" width="1.7109375" style="9" customWidth="1"/>
    <col min="9235" max="9239" width="5.7109375" style="9" customWidth="1"/>
    <col min="9240" max="9240" width="6.7109375" style="9" customWidth="1"/>
    <col min="9241" max="9241" width="5.85546875" style="9" customWidth="1"/>
    <col min="9242" max="9242" width="3.85546875" style="9" customWidth="1"/>
    <col min="9243" max="9247" width="5.7109375" style="9" customWidth="1"/>
    <col min="9248" max="9248" width="6.7109375" style="9" customWidth="1"/>
    <col min="9249" max="9249" width="5.85546875" style="9" customWidth="1"/>
    <col min="9250" max="9251" width="1.7109375" style="9" customWidth="1"/>
    <col min="9252" max="9266" width="5.7109375" style="9" customWidth="1"/>
    <col min="9267" max="9268" width="1.7109375" style="9" customWidth="1"/>
    <col min="9269" max="9283" width="5.7109375" style="9" customWidth="1"/>
    <col min="9284" max="9284" width="1.7109375" style="9" customWidth="1"/>
    <col min="9285" max="9472" width="5.85546875" style="9"/>
    <col min="9473" max="9473" width="1.7109375" style="9" customWidth="1"/>
    <col min="9474" max="9480" width="5.85546875" style="9" customWidth="1"/>
    <col min="9481" max="9481" width="3.85546875" style="9" customWidth="1"/>
    <col min="9482" max="9488" width="5.85546875" style="9" customWidth="1"/>
    <col min="9489" max="9490" width="1.7109375" style="9" customWidth="1"/>
    <col min="9491" max="9495" width="5.7109375" style="9" customWidth="1"/>
    <col min="9496" max="9496" width="6.7109375" style="9" customWidth="1"/>
    <col min="9497" max="9497" width="5.85546875" style="9" customWidth="1"/>
    <col min="9498" max="9498" width="3.85546875" style="9" customWidth="1"/>
    <col min="9499" max="9503" width="5.7109375" style="9" customWidth="1"/>
    <col min="9504" max="9504" width="6.7109375" style="9" customWidth="1"/>
    <col min="9505" max="9505" width="5.85546875" style="9" customWidth="1"/>
    <col min="9506" max="9507" width="1.7109375" style="9" customWidth="1"/>
    <col min="9508" max="9522" width="5.7109375" style="9" customWidth="1"/>
    <col min="9523" max="9524" width="1.7109375" style="9" customWidth="1"/>
    <col min="9525" max="9539" width="5.7109375" style="9" customWidth="1"/>
    <col min="9540" max="9540" width="1.7109375" style="9" customWidth="1"/>
    <col min="9541" max="9728" width="5.85546875" style="9"/>
    <col min="9729" max="9729" width="1.7109375" style="9" customWidth="1"/>
    <col min="9730" max="9736" width="5.85546875" style="9" customWidth="1"/>
    <col min="9737" max="9737" width="3.85546875" style="9" customWidth="1"/>
    <col min="9738" max="9744" width="5.85546875" style="9" customWidth="1"/>
    <col min="9745" max="9746" width="1.7109375" style="9" customWidth="1"/>
    <col min="9747" max="9751" width="5.7109375" style="9" customWidth="1"/>
    <col min="9752" max="9752" width="6.7109375" style="9" customWidth="1"/>
    <col min="9753" max="9753" width="5.85546875" style="9" customWidth="1"/>
    <col min="9754" max="9754" width="3.85546875" style="9" customWidth="1"/>
    <col min="9755" max="9759" width="5.7109375" style="9" customWidth="1"/>
    <col min="9760" max="9760" width="6.7109375" style="9" customWidth="1"/>
    <col min="9761" max="9761" width="5.85546875" style="9" customWidth="1"/>
    <col min="9762" max="9763" width="1.7109375" style="9" customWidth="1"/>
    <col min="9764" max="9778" width="5.7109375" style="9" customWidth="1"/>
    <col min="9779" max="9780" width="1.7109375" style="9" customWidth="1"/>
    <col min="9781" max="9795" width="5.7109375" style="9" customWidth="1"/>
    <col min="9796" max="9796" width="1.7109375" style="9" customWidth="1"/>
    <col min="9797" max="9984" width="5.85546875" style="9"/>
    <col min="9985" max="9985" width="1.7109375" style="9" customWidth="1"/>
    <col min="9986" max="9992" width="5.85546875" style="9" customWidth="1"/>
    <col min="9993" max="9993" width="3.85546875" style="9" customWidth="1"/>
    <col min="9994" max="10000" width="5.85546875" style="9" customWidth="1"/>
    <col min="10001" max="10002" width="1.7109375" style="9" customWidth="1"/>
    <col min="10003" max="10007" width="5.7109375" style="9" customWidth="1"/>
    <col min="10008" max="10008" width="6.7109375" style="9" customWidth="1"/>
    <col min="10009" max="10009" width="5.85546875" style="9" customWidth="1"/>
    <col min="10010" max="10010" width="3.85546875" style="9" customWidth="1"/>
    <col min="10011" max="10015" width="5.7109375" style="9" customWidth="1"/>
    <col min="10016" max="10016" width="6.7109375" style="9" customWidth="1"/>
    <col min="10017" max="10017" width="5.85546875" style="9" customWidth="1"/>
    <col min="10018" max="10019" width="1.7109375" style="9" customWidth="1"/>
    <col min="10020" max="10034" width="5.7109375" style="9" customWidth="1"/>
    <col min="10035" max="10036" width="1.7109375" style="9" customWidth="1"/>
    <col min="10037" max="10051" width="5.7109375" style="9" customWidth="1"/>
    <col min="10052" max="10052" width="1.7109375" style="9" customWidth="1"/>
    <col min="10053" max="10240" width="5.85546875" style="9"/>
    <col min="10241" max="10241" width="1.7109375" style="9" customWidth="1"/>
    <col min="10242" max="10248" width="5.85546875" style="9" customWidth="1"/>
    <col min="10249" max="10249" width="3.85546875" style="9" customWidth="1"/>
    <col min="10250" max="10256" width="5.85546875" style="9" customWidth="1"/>
    <col min="10257" max="10258" width="1.7109375" style="9" customWidth="1"/>
    <col min="10259" max="10263" width="5.7109375" style="9" customWidth="1"/>
    <col min="10264" max="10264" width="6.7109375" style="9" customWidth="1"/>
    <col min="10265" max="10265" width="5.85546875" style="9" customWidth="1"/>
    <col min="10266" max="10266" width="3.85546875" style="9" customWidth="1"/>
    <col min="10267" max="10271" width="5.7109375" style="9" customWidth="1"/>
    <col min="10272" max="10272" width="6.7109375" style="9" customWidth="1"/>
    <col min="10273" max="10273" width="5.85546875" style="9" customWidth="1"/>
    <col min="10274" max="10275" width="1.7109375" style="9" customWidth="1"/>
    <col min="10276" max="10290" width="5.7109375" style="9" customWidth="1"/>
    <col min="10291" max="10292" width="1.7109375" style="9" customWidth="1"/>
    <col min="10293" max="10307" width="5.7109375" style="9" customWidth="1"/>
    <col min="10308" max="10308" width="1.7109375" style="9" customWidth="1"/>
    <col min="10309" max="10496" width="5.85546875" style="9"/>
    <col min="10497" max="10497" width="1.7109375" style="9" customWidth="1"/>
    <col min="10498" max="10504" width="5.85546875" style="9" customWidth="1"/>
    <col min="10505" max="10505" width="3.85546875" style="9" customWidth="1"/>
    <col min="10506" max="10512" width="5.85546875" style="9" customWidth="1"/>
    <col min="10513" max="10514" width="1.7109375" style="9" customWidth="1"/>
    <col min="10515" max="10519" width="5.7109375" style="9" customWidth="1"/>
    <col min="10520" max="10520" width="6.7109375" style="9" customWidth="1"/>
    <col min="10521" max="10521" width="5.85546875" style="9" customWidth="1"/>
    <col min="10522" max="10522" width="3.85546875" style="9" customWidth="1"/>
    <col min="10523" max="10527" width="5.7109375" style="9" customWidth="1"/>
    <col min="10528" max="10528" width="6.7109375" style="9" customWidth="1"/>
    <col min="10529" max="10529" width="5.85546875" style="9" customWidth="1"/>
    <col min="10530" max="10531" width="1.7109375" style="9" customWidth="1"/>
    <col min="10532" max="10546" width="5.7109375" style="9" customWidth="1"/>
    <col min="10547" max="10548" width="1.7109375" style="9" customWidth="1"/>
    <col min="10549" max="10563" width="5.7109375" style="9" customWidth="1"/>
    <col min="10564" max="10564" width="1.7109375" style="9" customWidth="1"/>
    <col min="10565" max="10752" width="5.85546875" style="9"/>
    <col min="10753" max="10753" width="1.7109375" style="9" customWidth="1"/>
    <col min="10754" max="10760" width="5.85546875" style="9" customWidth="1"/>
    <col min="10761" max="10761" width="3.85546875" style="9" customWidth="1"/>
    <col min="10762" max="10768" width="5.85546875" style="9" customWidth="1"/>
    <col min="10769" max="10770" width="1.7109375" style="9" customWidth="1"/>
    <col min="10771" max="10775" width="5.7109375" style="9" customWidth="1"/>
    <col min="10776" max="10776" width="6.7109375" style="9" customWidth="1"/>
    <col min="10777" max="10777" width="5.85546875" style="9" customWidth="1"/>
    <col min="10778" max="10778" width="3.85546875" style="9" customWidth="1"/>
    <col min="10779" max="10783" width="5.7109375" style="9" customWidth="1"/>
    <col min="10784" max="10784" width="6.7109375" style="9" customWidth="1"/>
    <col min="10785" max="10785" width="5.85546875" style="9" customWidth="1"/>
    <col min="10786" max="10787" width="1.7109375" style="9" customWidth="1"/>
    <col min="10788" max="10802" width="5.7109375" style="9" customWidth="1"/>
    <col min="10803" max="10804" width="1.7109375" style="9" customWidth="1"/>
    <col min="10805" max="10819" width="5.7109375" style="9" customWidth="1"/>
    <col min="10820" max="10820" width="1.7109375" style="9" customWidth="1"/>
    <col min="10821" max="11008" width="5.85546875" style="9"/>
    <col min="11009" max="11009" width="1.7109375" style="9" customWidth="1"/>
    <col min="11010" max="11016" width="5.85546875" style="9" customWidth="1"/>
    <col min="11017" max="11017" width="3.85546875" style="9" customWidth="1"/>
    <col min="11018" max="11024" width="5.85546875" style="9" customWidth="1"/>
    <col min="11025" max="11026" width="1.7109375" style="9" customWidth="1"/>
    <col min="11027" max="11031" width="5.7109375" style="9" customWidth="1"/>
    <col min="11032" max="11032" width="6.7109375" style="9" customWidth="1"/>
    <col min="11033" max="11033" width="5.85546875" style="9" customWidth="1"/>
    <col min="11034" max="11034" width="3.85546875" style="9" customWidth="1"/>
    <col min="11035" max="11039" width="5.7109375" style="9" customWidth="1"/>
    <col min="11040" max="11040" width="6.7109375" style="9" customWidth="1"/>
    <col min="11041" max="11041" width="5.85546875" style="9" customWidth="1"/>
    <col min="11042" max="11043" width="1.7109375" style="9" customWidth="1"/>
    <col min="11044" max="11058" width="5.7109375" style="9" customWidth="1"/>
    <col min="11059" max="11060" width="1.7109375" style="9" customWidth="1"/>
    <col min="11061" max="11075" width="5.7109375" style="9" customWidth="1"/>
    <col min="11076" max="11076" width="1.7109375" style="9" customWidth="1"/>
    <col min="11077" max="11264" width="5.85546875" style="9"/>
    <col min="11265" max="11265" width="1.7109375" style="9" customWidth="1"/>
    <col min="11266" max="11272" width="5.85546875" style="9" customWidth="1"/>
    <col min="11273" max="11273" width="3.85546875" style="9" customWidth="1"/>
    <col min="11274" max="11280" width="5.85546875" style="9" customWidth="1"/>
    <col min="11281" max="11282" width="1.7109375" style="9" customWidth="1"/>
    <col min="11283" max="11287" width="5.7109375" style="9" customWidth="1"/>
    <col min="11288" max="11288" width="6.7109375" style="9" customWidth="1"/>
    <col min="11289" max="11289" width="5.85546875" style="9" customWidth="1"/>
    <col min="11290" max="11290" width="3.85546875" style="9" customWidth="1"/>
    <col min="11291" max="11295" width="5.7109375" style="9" customWidth="1"/>
    <col min="11296" max="11296" width="6.7109375" style="9" customWidth="1"/>
    <col min="11297" max="11297" width="5.85546875" style="9" customWidth="1"/>
    <col min="11298" max="11299" width="1.7109375" style="9" customWidth="1"/>
    <col min="11300" max="11314" width="5.7109375" style="9" customWidth="1"/>
    <col min="11315" max="11316" width="1.7109375" style="9" customWidth="1"/>
    <col min="11317" max="11331" width="5.7109375" style="9" customWidth="1"/>
    <col min="11332" max="11332" width="1.7109375" style="9" customWidth="1"/>
    <col min="11333" max="11520" width="5.85546875" style="9"/>
    <col min="11521" max="11521" width="1.7109375" style="9" customWidth="1"/>
    <col min="11522" max="11528" width="5.85546875" style="9" customWidth="1"/>
    <col min="11529" max="11529" width="3.85546875" style="9" customWidth="1"/>
    <col min="11530" max="11536" width="5.85546875" style="9" customWidth="1"/>
    <col min="11537" max="11538" width="1.7109375" style="9" customWidth="1"/>
    <col min="11539" max="11543" width="5.7109375" style="9" customWidth="1"/>
    <col min="11544" max="11544" width="6.7109375" style="9" customWidth="1"/>
    <col min="11545" max="11545" width="5.85546875" style="9" customWidth="1"/>
    <col min="11546" max="11546" width="3.85546875" style="9" customWidth="1"/>
    <col min="11547" max="11551" width="5.7109375" style="9" customWidth="1"/>
    <col min="11552" max="11552" width="6.7109375" style="9" customWidth="1"/>
    <col min="11553" max="11553" width="5.85546875" style="9" customWidth="1"/>
    <col min="11554" max="11555" width="1.7109375" style="9" customWidth="1"/>
    <col min="11556" max="11570" width="5.7109375" style="9" customWidth="1"/>
    <col min="11571" max="11572" width="1.7109375" style="9" customWidth="1"/>
    <col min="11573" max="11587" width="5.7109375" style="9" customWidth="1"/>
    <col min="11588" max="11588" width="1.7109375" style="9" customWidth="1"/>
    <col min="11589" max="11776" width="5.85546875" style="9"/>
    <col min="11777" max="11777" width="1.7109375" style="9" customWidth="1"/>
    <col min="11778" max="11784" width="5.85546875" style="9" customWidth="1"/>
    <col min="11785" max="11785" width="3.85546875" style="9" customWidth="1"/>
    <col min="11786" max="11792" width="5.85546875" style="9" customWidth="1"/>
    <col min="11793" max="11794" width="1.7109375" style="9" customWidth="1"/>
    <col min="11795" max="11799" width="5.7109375" style="9" customWidth="1"/>
    <col min="11800" max="11800" width="6.7109375" style="9" customWidth="1"/>
    <col min="11801" max="11801" width="5.85546875" style="9" customWidth="1"/>
    <col min="11802" max="11802" width="3.85546875" style="9" customWidth="1"/>
    <col min="11803" max="11807" width="5.7109375" style="9" customWidth="1"/>
    <col min="11808" max="11808" width="6.7109375" style="9" customWidth="1"/>
    <col min="11809" max="11809" width="5.85546875" style="9" customWidth="1"/>
    <col min="11810" max="11811" width="1.7109375" style="9" customWidth="1"/>
    <col min="11812" max="11826" width="5.7109375" style="9" customWidth="1"/>
    <col min="11827" max="11828" width="1.7109375" style="9" customWidth="1"/>
    <col min="11829" max="11843" width="5.7109375" style="9" customWidth="1"/>
    <col min="11844" max="11844" width="1.7109375" style="9" customWidth="1"/>
    <col min="11845" max="12032" width="5.85546875" style="9"/>
    <col min="12033" max="12033" width="1.7109375" style="9" customWidth="1"/>
    <col min="12034" max="12040" width="5.85546875" style="9" customWidth="1"/>
    <col min="12041" max="12041" width="3.85546875" style="9" customWidth="1"/>
    <col min="12042" max="12048" width="5.85546875" style="9" customWidth="1"/>
    <col min="12049" max="12050" width="1.7109375" style="9" customWidth="1"/>
    <col min="12051" max="12055" width="5.7109375" style="9" customWidth="1"/>
    <col min="12056" max="12056" width="6.7109375" style="9" customWidth="1"/>
    <col min="12057" max="12057" width="5.85546875" style="9" customWidth="1"/>
    <col min="12058" max="12058" width="3.85546875" style="9" customWidth="1"/>
    <col min="12059" max="12063" width="5.7109375" style="9" customWidth="1"/>
    <col min="12064" max="12064" width="6.7109375" style="9" customWidth="1"/>
    <col min="12065" max="12065" width="5.85546875" style="9" customWidth="1"/>
    <col min="12066" max="12067" width="1.7109375" style="9" customWidth="1"/>
    <col min="12068" max="12082" width="5.7109375" style="9" customWidth="1"/>
    <col min="12083" max="12084" width="1.7109375" style="9" customWidth="1"/>
    <col min="12085" max="12099" width="5.7109375" style="9" customWidth="1"/>
    <col min="12100" max="12100" width="1.7109375" style="9" customWidth="1"/>
    <col min="12101" max="12288" width="5.85546875" style="9"/>
    <col min="12289" max="12289" width="1.7109375" style="9" customWidth="1"/>
    <col min="12290" max="12296" width="5.85546875" style="9" customWidth="1"/>
    <col min="12297" max="12297" width="3.85546875" style="9" customWidth="1"/>
    <col min="12298" max="12304" width="5.85546875" style="9" customWidth="1"/>
    <col min="12305" max="12306" width="1.7109375" style="9" customWidth="1"/>
    <col min="12307" max="12311" width="5.7109375" style="9" customWidth="1"/>
    <col min="12312" max="12312" width="6.7109375" style="9" customWidth="1"/>
    <col min="12313" max="12313" width="5.85546875" style="9" customWidth="1"/>
    <col min="12314" max="12314" width="3.85546875" style="9" customWidth="1"/>
    <col min="12315" max="12319" width="5.7109375" style="9" customWidth="1"/>
    <col min="12320" max="12320" width="6.7109375" style="9" customWidth="1"/>
    <col min="12321" max="12321" width="5.85546875" style="9" customWidth="1"/>
    <col min="12322" max="12323" width="1.7109375" style="9" customWidth="1"/>
    <col min="12324" max="12338" width="5.7109375" style="9" customWidth="1"/>
    <col min="12339" max="12340" width="1.7109375" style="9" customWidth="1"/>
    <col min="12341" max="12355" width="5.7109375" style="9" customWidth="1"/>
    <col min="12356" max="12356" width="1.7109375" style="9" customWidth="1"/>
    <col min="12357" max="12544" width="5.85546875" style="9"/>
    <col min="12545" max="12545" width="1.7109375" style="9" customWidth="1"/>
    <col min="12546" max="12552" width="5.85546875" style="9" customWidth="1"/>
    <col min="12553" max="12553" width="3.85546875" style="9" customWidth="1"/>
    <col min="12554" max="12560" width="5.85546875" style="9" customWidth="1"/>
    <col min="12561" max="12562" width="1.7109375" style="9" customWidth="1"/>
    <col min="12563" max="12567" width="5.7109375" style="9" customWidth="1"/>
    <col min="12568" max="12568" width="6.7109375" style="9" customWidth="1"/>
    <col min="12569" max="12569" width="5.85546875" style="9" customWidth="1"/>
    <col min="12570" max="12570" width="3.85546875" style="9" customWidth="1"/>
    <col min="12571" max="12575" width="5.7109375" style="9" customWidth="1"/>
    <col min="12576" max="12576" width="6.7109375" style="9" customWidth="1"/>
    <col min="12577" max="12577" width="5.85546875" style="9" customWidth="1"/>
    <col min="12578" max="12579" width="1.7109375" style="9" customWidth="1"/>
    <col min="12580" max="12594" width="5.7109375" style="9" customWidth="1"/>
    <col min="12595" max="12596" width="1.7109375" style="9" customWidth="1"/>
    <col min="12597" max="12611" width="5.7109375" style="9" customWidth="1"/>
    <col min="12612" max="12612" width="1.7109375" style="9" customWidth="1"/>
    <col min="12613" max="12800" width="5.85546875" style="9"/>
    <col min="12801" max="12801" width="1.7109375" style="9" customWidth="1"/>
    <col min="12802" max="12808" width="5.85546875" style="9" customWidth="1"/>
    <col min="12809" max="12809" width="3.85546875" style="9" customWidth="1"/>
    <col min="12810" max="12816" width="5.85546875" style="9" customWidth="1"/>
    <col min="12817" max="12818" width="1.7109375" style="9" customWidth="1"/>
    <col min="12819" max="12823" width="5.7109375" style="9" customWidth="1"/>
    <col min="12824" max="12824" width="6.7109375" style="9" customWidth="1"/>
    <col min="12825" max="12825" width="5.85546875" style="9" customWidth="1"/>
    <col min="12826" max="12826" width="3.85546875" style="9" customWidth="1"/>
    <col min="12827" max="12831" width="5.7109375" style="9" customWidth="1"/>
    <col min="12832" max="12832" width="6.7109375" style="9" customWidth="1"/>
    <col min="12833" max="12833" width="5.85546875" style="9" customWidth="1"/>
    <col min="12834" max="12835" width="1.7109375" style="9" customWidth="1"/>
    <col min="12836" max="12850" width="5.7109375" style="9" customWidth="1"/>
    <col min="12851" max="12852" width="1.7109375" style="9" customWidth="1"/>
    <col min="12853" max="12867" width="5.7109375" style="9" customWidth="1"/>
    <col min="12868" max="12868" width="1.7109375" style="9" customWidth="1"/>
    <col min="12869" max="13056" width="5.85546875" style="9"/>
    <col min="13057" max="13057" width="1.7109375" style="9" customWidth="1"/>
    <col min="13058" max="13064" width="5.85546875" style="9" customWidth="1"/>
    <col min="13065" max="13065" width="3.85546875" style="9" customWidth="1"/>
    <col min="13066" max="13072" width="5.85546875" style="9" customWidth="1"/>
    <col min="13073" max="13074" width="1.7109375" style="9" customWidth="1"/>
    <col min="13075" max="13079" width="5.7109375" style="9" customWidth="1"/>
    <col min="13080" max="13080" width="6.7109375" style="9" customWidth="1"/>
    <col min="13081" max="13081" width="5.85546875" style="9" customWidth="1"/>
    <col min="13082" max="13082" width="3.85546875" style="9" customWidth="1"/>
    <col min="13083" max="13087" width="5.7109375" style="9" customWidth="1"/>
    <col min="13088" max="13088" width="6.7109375" style="9" customWidth="1"/>
    <col min="13089" max="13089" width="5.85546875" style="9" customWidth="1"/>
    <col min="13090" max="13091" width="1.7109375" style="9" customWidth="1"/>
    <col min="13092" max="13106" width="5.7109375" style="9" customWidth="1"/>
    <col min="13107" max="13108" width="1.7109375" style="9" customWidth="1"/>
    <col min="13109" max="13123" width="5.7109375" style="9" customWidth="1"/>
    <col min="13124" max="13124" width="1.7109375" style="9" customWidth="1"/>
    <col min="13125" max="13312" width="5.85546875" style="9"/>
    <col min="13313" max="13313" width="1.7109375" style="9" customWidth="1"/>
    <col min="13314" max="13320" width="5.85546875" style="9" customWidth="1"/>
    <col min="13321" max="13321" width="3.85546875" style="9" customWidth="1"/>
    <col min="13322" max="13328" width="5.85546875" style="9" customWidth="1"/>
    <col min="13329" max="13330" width="1.7109375" style="9" customWidth="1"/>
    <col min="13331" max="13335" width="5.7109375" style="9" customWidth="1"/>
    <col min="13336" max="13336" width="6.7109375" style="9" customWidth="1"/>
    <col min="13337" max="13337" width="5.85546875" style="9" customWidth="1"/>
    <col min="13338" max="13338" width="3.85546875" style="9" customWidth="1"/>
    <col min="13339" max="13343" width="5.7109375" style="9" customWidth="1"/>
    <col min="13344" max="13344" width="6.7109375" style="9" customWidth="1"/>
    <col min="13345" max="13345" width="5.85546875" style="9" customWidth="1"/>
    <col min="13346" max="13347" width="1.7109375" style="9" customWidth="1"/>
    <col min="13348" max="13362" width="5.7109375" style="9" customWidth="1"/>
    <col min="13363" max="13364" width="1.7109375" style="9" customWidth="1"/>
    <col min="13365" max="13379" width="5.7109375" style="9" customWidth="1"/>
    <col min="13380" max="13380" width="1.7109375" style="9" customWidth="1"/>
    <col min="13381" max="13568" width="5.85546875" style="9"/>
    <col min="13569" max="13569" width="1.7109375" style="9" customWidth="1"/>
    <col min="13570" max="13576" width="5.85546875" style="9" customWidth="1"/>
    <col min="13577" max="13577" width="3.85546875" style="9" customWidth="1"/>
    <col min="13578" max="13584" width="5.85546875" style="9" customWidth="1"/>
    <col min="13585" max="13586" width="1.7109375" style="9" customWidth="1"/>
    <col min="13587" max="13591" width="5.7109375" style="9" customWidth="1"/>
    <col min="13592" max="13592" width="6.7109375" style="9" customWidth="1"/>
    <col min="13593" max="13593" width="5.85546875" style="9" customWidth="1"/>
    <col min="13594" max="13594" width="3.85546875" style="9" customWidth="1"/>
    <col min="13595" max="13599" width="5.7109375" style="9" customWidth="1"/>
    <col min="13600" max="13600" width="6.7109375" style="9" customWidth="1"/>
    <col min="13601" max="13601" width="5.85546875" style="9" customWidth="1"/>
    <col min="13602" max="13603" width="1.7109375" style="9" customWidth="1"/>
    <col min="13604" max="13618" width="5.7109375" style="9" customWidth="1"/>
    <col min="13619" max="13620" width="1.7109375" style="9" customWidth="1"/>
    <col min="13621" max="13635" width="5.7109375" style="9" customWidth="1"/>
    <col min="13636" max="13636" width="1.7109375" style="9" customWidth="1"/>
    <col min="13637" max="13824" width="5.85546875" style="9"/>
    <col min="13825" max="13825" width="1.7109375" style="9" customWidth="1"/>
    <col min="13826" max="13832" width="5.85546875" style="9" customWidth="1"/>
    <col min="13833" max="13833" width="3.85546875" style="9" customWidth="1"/>
    <col min="13834" max="13840" width="5.85546875" style="9" customWidth="1"/>
    <col min="13841" max="13842" width="1.7109375" style="9" customWidth="1"/>
    <col min="13843" max="13847" width="5.7109375" style="9" customWidth="1"/>
    <col min="13848" max="13848" width="6.7109375" style="9" customWidth="1"/>
    <col min="13849" max="13849" width="5.85546875" style="9" customWidth="1"/>
    <col min="13850" max="13850" width="3.85546875" style="9" customWidth="1"/>
    <col min="13851" max="13855" width="5.7109375" style="9" customWidth="1"/>
    <col min="13856" max="13856" width="6.7109375" style="9" customWidth="1"/>
    <col min="13857" max="13857" width="5.85546875" style="9" customWidth="1"/>
    <col min="13858" max="13859" width="1.7109375" style="9" customWidth="1"/>
    <col min="13860" max="13874" width="5.7109375" style="9" customWidth="1"/>
    <col min="13875" max="13876" width="1.7109375" style="9" customWidth="1"/>
    <col min="13877" max="13891" width="5.7109375" style="9" customWidth="1"/>
    <col min="13892" max="13892" width="1.7109375" style="9" customWidth="1"/>
    <col min="13893" max="14080" width="5.85546875" style="9"/>
    <col min="14081" max="14081" width="1.7109375" style="9" customWidth="1"/>
    <col min="14082" max="14088" width="5.85546875" style="9" customWidth="1"/>
    <col min="14089" max="14089" width="3.85546875" style="9" customWidth="1"/>
    <col min="14090" max="14096" width="5.85546875" style="9" customWidth="1"/>
    <col min="14097" max="14098" width="1.7109375" style="9" customWidth="1"/>
    <col min="14099" max="14103" width="5.7109375" style="9" customWidth="1"/>
    <col min="14104" max="14104" width="6.7109375" style="9" customWidth="1"/>
    <col min="14105" max="14105" width="5.85546875" style="9" customWidth="1"/>
    <col min="14106" max="14106" width="3.85546875" style="9" customWidth="1"/>
    <col min="14107" max="14111" width="5.7109375" style="9" customWidth="1"/>
    <col min="14112" max="14112" width="6.7109375" style="9" customWidth="1"/>
    <col min="14113" max="14113" width="5.85546875" style="9" customWidth="1"/>
    <col min="14114" max="14115" width="1.7109375" style="9" customWidth="1"/>
    <col min="14116" max="14130" width="5.7109375" style="9" customWidth="1"/>
    <col min="14131" max="14132" width="1.7109375" style="9" customWidth="1"/>
    <col min="14133" max="14147" width="5.7109375" style="9" customWidth="1"/>
    <col min="14148" max="14148" width="1.7109375" style="9" customWidth="1"/>
    <col min="14149" max="14336" width="5.85546875" style="9"/>
    <col min="14337" max="14337" width="1.7109375" style="9" customWidth="1"/>
    <col min="14338" max="14344" width="5.85546875" style="9" customWidth="1"/>
    <col min="14345" max="14345" width="3.85546875" style="9" customWidth="1"/>
    <col min="14346" max="14352" width="5.85546875" style="9" customWidth="1"/>
    <col min="14353" max="14354" width="1.7109375" style="9" customWidth="1"/>
    <col min="14355" max="14359" width="5.7109375" style="9" customWidth="1"/>
    <col min="14360" max="14360" width="6.7109375" style="9" customWidth="1"/>
    <col min="14361" max="14361" width="5.85546875" style="9" customWidth="1"/>
    <col min="14362" max="14362" width="3.85546875" style="9" customWidth="1"/>
    <col min="14363" max="14367" width="5.7109375" style="9" customWidth="1"/>
    <col min="14368" max="14368" width="6.7109375" style="9" customWidth="1"/>
    <col min="14369" max="14369" width="5.85546875" style="9" customWidth="1"/>
    <col min="14370" max="14371" width="1.7109375" style="9" customWidth="1"/>
    <col min="14372" max="14386" width="5.7109375" style="9" customWidth="1"/>
    <col min="14387" max="14388" width="1.7109375" style="9" customWidth="1"/>
    <col min="14389" max="14403" width="5.7109375" style="9" customWidth="1"/>
    <col min="14404" max="14404" width="1.7109375" style="9" customWidth="1"/>
    <col min="14405" max="14592" width="5.85546875" style="9"/>
    <col min="14593" max="14593" width="1.7109375" style="9" customWidth="1"/>
    <col min="14594" max="14600" width="5.85546875" style="9" customWidth="1"/>
    <col min="14601" max="14601" width="3.85546875" style="9" customWidth="1"/>
    <col min="14602" max="14608" width="5.85546875" style="9" customWidth="1"/>
    <col min="14609" max="14610" width="1.7109375" style="9" customWidth="1"/>
    <col min="14611" max="14615" width="5.7109375" style="9" customWidth="1"/>
    <col min="14616" max="14616" width="6.7109375" style="9" customWidth="1"/>
    <col min="14617" max="14617" width="5.85546875" style="9" customWidth="1"/>
    <col min="14618" max="14618" width="3.85546875" style="9" customWidth="1"/>
    <col min="14619" max="14623" width="5.7109375" style="9" customWidth="1"/>
    <col min="14624" max="14624" width="6.7109375" style="9" customWidth="1"/>
    <col min="14625" max="14625" width="5.85546875" style="9" customWidth="1"/>
    <col min="14626" max="14627" width="1.7109375" style="9" customWidth="1"/>
    <col min="14628" max="14642" width="5.7109375" style="9" customWidth="1"/>
    <col min="14643" max="14644" width="1.7109375" style="9" customWidth="1"/>
    <col min="14645" max="14659" width="5.7109375" style="9" customWidth="1"/>
    <col min="14660" max="14660" width="1.7109375" style="9" customWidth="1"/>
    <col min="14661" max="14848" width="5.85546875" style="9"/>
    <col min="14849" max="14849" width="1.7109375" style="9" customWidth="1"/>
    <col min="14850" max="14856" width="5.85546875" style="9" customWidth="1"/>
    <col min="14857" max="14857" width="3.85546875" style="9" customWidth="1"/>
    <col min="14858" max="14864" width="5.85546875" style="9" customWidth="1"/>
    <col min="14865" max="14866" width="1.7109375" style="9" customWidth="1"/>
    <col min="14867" max="14871" width="5.7109375" style="9" customWidth="1"/>
    <col min="14872" max="14872" width="6.7109375" style="9" customWidth="1"/>
    <col min="14873" max="14873" width="5.85546875" style="9" customWidth="1"/>
    <col min="14874" max="14874" width="3.85546875" style="9" customWidth="1"/>
    <col min="14875" max="14879" width="5.7109375" style="9" customWidth="1"/>
    <col min="14880" max="14880" width="6.7109375" style="9" customWidth="1"/>
    <col min="14881" max="14881" width="5.85546875" style="9" customWidth="1"/>
    <col min="14882" max="14883" width="1.7109375" style="9" customWidth="1"/>
    <col min="14884" max="14898" width="5.7109375" style="9" customWidth="1"/>
    <col min="14899" max="14900" width="1.7109375" style="9" customWidth="1"/>
    <col min="14901" max="14915" width="5.7109375" style="9" customWidth="1"/>
    <col min="14916" max="14916" width="1.7109375" style="9" customWidth="1"/>
    <col min="14917" max="15104" width="5.85546875" style="9"/>
    <col min="15105" max="15105" width="1.7109375" style="9" customWidth="1"/>
    <col min="15106" max="15112" width="5.85546875" style="9" customWidth="1"/>
    <col min="15113" max="15113" width="3.85546875" style="9" customWidth="1"/>
    <col min="15114" max="15120" width="5.85546875" style="9" customWidth="1"/>
    <col min="15121" max="15122" width="1.7109375" style="9" customWidth="1"/>
    <col min="15123" max="15127" width="5.7109375" style="9" customWidth="1"/>
    <col min="15128" max="15128" width="6.7109375" style="9" customWidth="1"/>
    <col min="15129" max="15129" width="5.85546875" style="9" customWidth="1"/>
    <col min="15130" max="15130" width="3.85546875" style="9" customWidth="1"/>
    <col min="15131" max="15135" width="5.7109375" style="9" customWidth="1"/>
    <col min="15136" max="15136" width="6.7109375" style="9" customWidth="1"/>
    <col min="15137" max="15137" width="5.85546875" style="9" customWidth="1"/>
    <col min="15138" max="15139" width="1.7109375" style="9" customWidth="1"/>
    <col min="15140" max="15154" width="5.7109375" style="9" customWidth="1"/>
    <col min="15155" max="15156" width="1.7109375" style="9" customWidth="1"/>
    <col min="15157" max="15171" width="5.7109375" style="9" customWidth="1"/>
    <col min="15172" max="15172" width="1.7109375" style="9" customWidth="1"/>
    <col min="15173" max="15360" width="5.85546875" style="9"/>
    <col min="15361" max="15361" width="1.7109375" style="9" customWidth="1"/>
    <col min="15362" max="15368" width="5.85546875" style="9" customWidth="1"/>
    <col min="15369" max="15369" width="3.85546875" style="9" customWidth="1"/>
    <col min="15370" max="15376" width="5.85546875" style="9" customWidth="1"/>
    <col min="15377" max="15378" width="1.7109375" style="9" customWidth="1"/>
    <col min="15379" max="15383" width="5.7109375" style="9" customWidth="1"/>
    <col min="15384" max="15384" width="6.7109375" style="9" customWidth="1"/>
    <col min="15385" max="15385" width="5.85546875" style="9" customWidth="1"/>
    <col min="15386" max="15386" width="3.85546875" style="9" customWidth="1"/>
    <col min="15387" max="15391" width="5.7109375" style="9" customWidth="1"/>
    <col min="15392" max="15392" width="6.7109375" style="9" customWidth="1"/>
    <col min="15393" max="15393" width="5.85546875" style="9" customWidth="1"/>
    <col min="15394" max="15395" width="1.7109375" style="9" customWidth="1"/>
    <col min="15396" max="15410" width="5.7109375" style="9" customWidth="1"/>
    <col min="15411" max="15412" width="1.7109375" style="9" customWidth="1"/>
    <col min="15413" max="15427" width="5.7109375" style="9" customWidth="1"/>
    <col min="15428" max="15428" width="1.7109375" style="9" customWidth="1"/>
    <col min="15429" max="15616" width="5.85546875" style="9"/>
    <col min="15617" max="15617" width="1.7109375" style="9" customWidth="1"/>
    <col min="15618" max="15624" width="5.85546875" style="9" customWidth="1"/>
    <col min="15625" max="15625" width="3.85546875" style="9" customWidth="1"/>
    <col min="15626" max="15632" width="5.85546875" style="9" customWidth="1"/>
    <col min="15633" max="15634" width="1.7109375" style="9" customWidth="1"/>
    <col min="15635" max="15639" width="5.7109375" style="9" customWidth="1"/>
    <col min="15640" max="15640" width="6.7109375" style="9" customWidth="1"/>
    <col min="15641" max="15641" width="5.85546875" style="9" customWidth="1"/>
    <col min="15642" max="15642" width="3.85546875" style="9" customWidth="1"/>
    <col min="15643" max="15647" width="5.7109375" style="9" customWidth="1"/>
    <col min="15648" max="15648" width="6.7109375" style="9" customWidth="1"/>
    <col min="15649" max="15649" width="5.85546875" style="9" customWidth="1"/>
    <col min="15650" max="15651" width="1.7109375" style="9" customWidth="1"/>
    <col min="15652" max="15666" width="5.7109375" style="9" customWidth="1"/>
    <col min="15667" max="15668" width="1.7109375" style="9" customWidth="1"/>
    <col min="15669" max="15683" width="5.7109375" style="9" customWidth="1"/>
    <col min="15684" max="15684" width="1.7109375" style="9" customWidth="1"/>
    <col min="15685" max="15872" width="5.85546875" style="9"/>
    <col min="15873" max="15873" width="1.7109375" style="9" customWidth="1"/>
    <col min="15874" max="15880" width="5.85546875" style="9" customWidth="1"/>
    <col min="15881" max="15881" width="3.85546875" style="9" customWidth="1"/>
    <col min="15882" max="15888" width="5.85546875" style="9" customWidth="1"/>
    <col min="15889" max="15890" width="1.7109375" style="9" customWidth="1"/>
    <col min="15891" max="15895" width="5.7109375" style="9" customWidth="1"/>
    <col min="15896" max="15896" width="6.7109375" style="9" customWidth="1"/>
    <col min="15897" max="15897" width="5.85546875" style="9" customWidth="1"/>
    <col min="15898" max="15898" width="3.85546875" style="9" customWidth="1"/>
    <col min="15899" max="15903" width="5.7109375" style="9" customWidth="1"/>
    <col min="15904" max="15904" width="6.7109375" style="9" customWidth="1"/>
    <col min="15905" max="15905" width="5.85546875" style="9" customWidth="1"/>
    <col min="15906" max="15907" width="1.7109375" style="9" customWidth="1"/>
    <col min="15908" max="15922" width="5.7109375" style="9" customWidth="1"/>
    <col min="15923" max="15924" width="1.7109375" style="9" customWidth="1"/>
    <col min="15925" max="15939" width="5.7109375" style="9" customWidth="1"/>
    <col min="15940" max="15940" width="1.7109375" style="9" customWidth="1"/>
    <col min="15941" max="16128" width="5.85546875" style="9"/>
    <col min="16129" max="16129" width="1.7109375" style="9" customWidth="1"/>
    <col min="16130" max="16136" width="5.85546875" style="9" customWidth="1"/>
    <col min="16137" max="16137" width="3.85546875" style="9" customWidth="1"/>
    <col min="16138" max="16144" width="5.85546875" style="9" customWidth="1"/>
    <col min="16145" max="16146" width="1.7109375" style="9" customWidth="1"/>
    <col min="16147" max="16151" width="5.7109375" style="9" customWidth="1"/>
    <col min="16152" max="16152" width="6.7109375" style="9" customWidth="1"/>
    <col min="16153" max="16153" width="5.85546875" style="9" customWidth="1"/>
    <col min="16154" max="16154" width="3.85546875" style="9" customWidth="1"/>
    <col min="16155" max="16159" width="5.7109375" style="9" customWidth="1"/>
    <col min="16160" max="16160" width="6.7109375" style="9" customWidth="1"/>
    <col min="16161" max="16161" width="5.85546875" style="9" customWidth="1"/>
    <col min="16162" max="16163" width="1.7109375" style="9" customWidth="1"/>
    <col min="16164" max="16178" width="5.7109375" style="9" customWidth="1"/>
    <col min="16179" max="16180" width="1.7109375" style="9" customWidth="1"/>
    <col min="16181" max="16195" width="5.7109375" style="9" customWidth="1"/>
    <col min="16196" max="16196" width="1.7109375" style="9" customWidth="1"/>
    <col min="16197" max="16384" width="5.85546875" style="9"/>
  </cols>
  <sheetData>
    <row r="1" spans="1:68" ht="5.0999999999999996" customHeight="1" thickBot="1" x14ac:dyDescent="0.3">
      <c r="A1" s="4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7"/>
      <c r="S1" s="5"/>
      <c r="T1" s="5"/>
      <c r="U1" s="5"/>
      <c r="V1" s="5"/>
      <c r="W1" s="5"/>
      <c r="X1" s="5"/>
      <c r="Y1" s="5"/>
      <c r="Z1" s="6"/>
      <c r="AA1" s="6"/>
      <c r="AB1" s="6"/>
      <c r="AC1" s="6"/>
      <c r="AD1" s="6"/>
      <c r="AE1" s="6"/>
      <c r="AF1" s="6"/>
      <c r="AG1" s="6"/>
      <c r="AH1" s="8"/>
      <c r="AI1" s="7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8"/>
      <c r="AZ1" s="7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8"/>
    </row>
    <row r="2" spans="1:68" ht="15" customHeight="1" thickBot="1" x14ac:dyDescent="0.3">
      <c r="A2" s="10"/>
      <c r="B2" s="260" t="s">
        <v>28</v>
      </c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2"/>
      <c r="Q2" s="11"/>
      <c r="R2" s="12"/>
      <c r="S2" s="260" t="s">
        <v>29</v>
      </c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13"/>
      <c r="AI2" s="12"/>
      <c r="AJ2" s="251" t="s">
        <v>30</v>
      </c>
      <c r="AK2" s="252"/>
      <c r="AL2" s="252"/>
      <c r="AM2" s="252"/>
      <c r="AN2" s="252"/>
      <c r="AO2" s="252"/>
      <c r="AP2" s="252"/>
      <c r="AQ2" s="252"/>
      <c r="AR2" s="252"/>
      <c r="AS2" s="252"/>
      <c r="AT2" s="252"/>
      <c r="AU2" s="252"/>
      <c r="AV2" s="252"/>
      <c r="AW2" s="252"/>
      <c r="AX2" s="253"/>
      <c r="AY2" s="13"/>
      <c r="AZ2" s="12"/>
      <c r="BA2" s="260" t="s">
        <v>31</v>
      </c>
      <c r="BB2" s="261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2"/>
      <c r="BP2" s="13"/>
    </row>
    <row r="3" spans="1:68" ht="15" customHeight="1" thickBot="1" x14ac:dyDescent="0.3">
      <c r="A3" s="10"/>
      <c r="B3" s="14"/>
      <c r="C3" s="14"/>
      <c r="D3" s="14"/>
      <c r="E3" s="14"/>
      <c r="F3" s="14"/>
      <c r="G3" s="14"/>
      <c r="H3" s="14"/>
      <c r="I3" s="15"/>
      <c r="J3" s="15"/>
      <c r="K3" s="15"/>
      <c r="L3" s="15"/>
      <c r="M3" s="15"/>
      <c r="N3" s="15"/>
      <c r="O3" s="15"/>
      <c r="P3" s="15"/>
      <c r="R3" s="16"/>
      <c r="S3" s="14"/>
      <c r="T3" s="14"/>
      <c r="U3" s="14"/>
      <c r="V3" s="14"/>
      <c r="W3" s="14"/>
      <c r="X3" s="14"/>
      <c r="Y3" s="14"/>
      <c r="Z3" s="15"/>
      <c r="AA3" s="15"/>
      <c r="AB3" s="15"/>
      <c r="AC3" s="15"/>
      <c r="AD3" s="15"/>
      <c r="AE3" s="15"/>
      <c r="AF3" s="15"/>
      <c r="AG3" s="15"/>
      <c r="AH3" s="17"/>
      <c r="AI3" s="16"/>
      <c r="AJ3" s="263"/>
      <c r="AK3" s="264"/>
      <c r="AL3" s="264"/>
      <c r="AM3" s="264"/>
      <c r="AN3" s="264"/>
      <c r="AO3" s="264"/>
      <c r="AP3" s="264"/>
      <c r="AQ3" s="264"/>
      <c r="AR3" s="264"/>
      <c r="AS3" s="264"/>
      <c r="AT3" s="264"/>
      <c r="AU3" s="264"/>
      <c r="AV3" s="264"/>
      <c r="AW3" s="264"/>
      <c r="AX3" s="265"/>
      <c r="AY3" s="17"/>
      <c r="AZ3" s="16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7"/>
    </row>
    <row r="4" spans="1:68" s="23" customFormat="1" ht="15" customHeight="1" thickBot="1" x14ac:dyDescent="0.3">
      <c r="A4" s="19"/>
      <c r="B4" s="266" t="s">
        <v>32</v>
      </c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8"/>
      <c r="Q4" s="20"/>
      <c r="R4" s="21"/>
      <c r="S4" s="266" t="s">
        <v>33</v>
      </c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6"/>
      <c r="AH4" s="22"/>
      <c r="AI4" s="21"/>
      <c r="AJ4" s="254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255"/>
      <c r="AV4" s="255"/>
      <c r="AW4" s="255"/>
      <c r="AX4" s="256"/>
      <c r="AY4" s="22"/>
      <c r="AZ4" s="21"/>
      <c r="BA4" s="283" t="s">
        <v>34</v>
      </c>
      <c r="BB4" s="283"/>
      <c r="BC4" s="283"/>
      <c r="BD4" s="283"/>
      <c r="BE4" s="283"/>
      <c r="BF4" s="283"/>
      <c r="BG4" s="283"/>
      <c r="BH4" s="283"/>
      <c r="BI4" s="283"/>
      <c r="BJ4" s="283"/>
      <c r="BK4" s="283"/>
      <c r="BL4" s="283"/>
      <c r="BM4" s="283"/>
      <c r="BN4" s="283"/>
      <c r="BO4" s="283"/>
      <c r="BP4" s="22"/>
    </row>
    <row r="5" spans="1:68" s="23" customFormat="1" ht="15" customHeight="1" thickBot="1" x14ac:dyDescent="0.3">
      <c r="A5" s="19"/>
      <c r="B5" s="269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1"/>
      <c r="Q5" s="20"/>
      <c r="R5" s="21"/>
      <c r="S5" s="277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78"/>
      <c r="AG5" s="279"/>
      <c r="AH5" s="22"/>
      <c r="AI5" s="21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2"/>
      <c r="AZ5" s="21"/>
      <c r="BA5" s="283" t="s">
        <v>35</v>
      </c>
      <c r="BB5" s="283"/>
      <c r="BC5" s="283" t="s">
        <v>36</v>
      </c>
      <c r="BD5" s="283"/>
      <c r="BE5" s="283"/>
      <c r="BF5" s="283"/>
      <c r="BG5" s="283"/>
      <c r="BH5" s="283"/>
      <c r="BI5" s="283"/>
      <c r="BJ5" s="283"/>
      <c r="BK5" s="283"/>
      <c r="BL5" s="283"/>
      <c r="BM5" s="283"/>
      <c r="BN5" s="283"/>
      <c r="BO5" s="283"/>
      <c r="BP5" s="22"/>
    </row>
    <row r="6" spans="1:68" s="23" customFormat="1" ht="15" customHeight="1" thickBot="1" x14ac:dyDescent="0.3">
      <c r="A6" s="19"/>
      <c r="B6" s="269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1"/>
      <c r="Q6" s="20"/>
      <c r="R6" s="21"/>
      <c r="S6" s="277"/>
      <c r="T6" s="278"/>
      <c r="U6" s="278"/>
      <c r="V6" s="278"/>
      <c r="W6" s="278"/>
      <c r="X6" s="278"/>
      <c r="Y6" s="278"/>
      <c r="Z6" s="278"/>
      <c r="AA6" s="278"/>
      <c r="AB6" s="278"/>
      <c r="AC6" s="278"/>
      <c r="AD6" s="278"/>
      <c r="AE6" s="278"/>
      <c r="AF6" s="278"/>
      <c r="AG6" s="279"/>
      <c r="AH6" s="22"/>
      <c r="AI6" s="21"/>
      <c r="AJ6" s="239" t="s">
        <v>37</v>
      </c>
      <c r="AK6" s="240"/>
      <c r="AL6" s="240"/>
      <c r="AM6" s="240"/>
      <c r="AN6" s="240"/>
      <c r="AO6" s="241"/>
      <c r="AP6" s="20"/>
      <c r="AQ6" s="20"/>
      <c r="AR6" s="20"/>
      <c r="AS6" s="20"/>
      <c r="AT6" s="20"/>
      <c r="AU6" s="20"/>
      <c r="AV6" s="20"/>
      <c r="AW6" s="20"/>
      <c r="AX6" s="20"/>
      <c r="AY6" s="22"/>
      <c r="AZ6" s="21"/>
      <c r="BA6" s="24"/>
      <c r="BB6" s="24"/>
      <c r="BC6" s="24" t="s">
        <v>38</v>
      </c>
      <c r="BD6" s="24"/>
      <c r="BE6" s="24"/>
      <c r="BF6" s="24"/>
      <c r="BG6" s="20"/>
      <c r="BH6" s="20"/>
      <c r="BI6" s="20"/>
      <c r="BJ6" s="20"/>
      <c r="BK6" s="20"/>
      <c r="BL6" s="20"/>
      <c r="BM6" s="20"/>
      <c r="BN6" s="20"/>
      <c r="BO6" s="20"/>
      <c r="BP6" s="22"/>
    </row>
    <row r="7" spans="1:68" s="23" customFormat="1" ht="15" customHeight="1" thickBot="1" x14ac:dyDescent="0.3">
      <c r="A7" s="19"/>
      <c r="B7" s="272"/>
      <c r="C7" s="273"/>
      <c r="D7" s="273"/>
      <c r="E7" s="273"/>
      <c r="F7" s="273"/>
      <c r="G7" s="273"/>
      <c r="H7" s="273"/>
      <c r="I7" s="273"/>
      <c r="J7" s="273"/>
      <c r="K7" s="273"/>
      <c r="L7" s="273"/>
      <c r="M7" s="273"/>
      <c r="N7" s="273"/>
      <c r="O7" s="273"/>
      <c r="P7" s="274"/>
      <c r="Q7" s="20"/>
      <c r="R7" s="21"/>
      <c r="S7" s="280"/>
      <c r="T7" s="281"/>
      <c r="U7" s="281"/>
      <c r="V7" s="281"/>
      <c r="W7" s="281"/>
      <c r="X7" s="281"/>
      <c r="Y7" s="281"/>
      <c r="Z7" s="281"/>
      <c r="AA7" s="281"/>
      <c r="AB7" s="281"/>
      <c r="AC7" s="281"/>
      <c r="AD7" s="281"/>
      <c r="AE7" s="281"/>
      <c r="AF7" s="281"/>
      <c r="AG7" s="282"/>
      <c r="AH7" s="22"/>
      <c r="AI7" s="21"/>
      <c r="AJ7" s="248" t="s">
        <v>39</v>
      </c>
      <c r="AK7" s="249"/>
      <c r="AL7" s="249"/>
      <c r="AM7" s="249"/>
      <c r="AN7" s="249"/>
      <c r="AO7" s="250"/>
      <c r="AP7" s="20"/>
      <c r="AQ7" s="20"/>
      <c r="AR7" s="20"/>
      <c r="AS7" s="20"/>
      <c r="AT7" s="20"/>
      <c r="AU7" s="20"/>
      <c r="AV7" s="20"/>
      <c r="AW7" s="20"/>
      <c r="AX7" s="20"/>
      <c r="AY7" s="22"/>
      <c r="AZ7" s="21"/>
      <c r="BA7" s="15"/>
      <c r="BB7" s="15"/>
      <c r="BC7" s="24" t="s">
        <v>40</v>
      </c>
      <c r="BD7" s="15"/>
      <c r="BE7" s="15"/>
      <c r="BF7" s="15"/>
      <c r="BG7" s="20"/>
      <c r="BH7" s="20"/>
      <c r="BI7" s="20"/>
      <c r="BJ7" s="20"/>
      <c r="BK7" s="20"/>
      <c r="BL7" s="20"/>
      <c r="BM7" s="20"/>
      <c r="BN7" s="20"/>
      <c r="BO7" s="20"/>
      <c r="BP7" s="22"/>
    </row>
    <row r="8" spans="1:68" s="23" customFormat="1" ht="15" customHeight="1" thickBot="1" x14ac:dyDescent="0.3">
      <c r="A8" s="19"/>
      <c r="B8" s="25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1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2"/>
      <c r="AI8" s="21"/>
      <c r="AJ8" s="218" t="s">
        <v>41</v>
      </c>
      <c r="AK8" s="219"/>
      <c r="AL8" s="219"/>
      <c r="AM8" s="219"/>
      <c r="AN8" s="26">
        <v>1500</v>
      </c>
      <c r="AO8" s="27" t="s">
        <v>42</v>
      </c>
      <c r="AP8" s="20"/>
      <c r="AQ8" s="20"/>
      <c r="AR8" s="20"/>
      <c r="AS8" s="20"/>
      <c r="AT8" s="20"/>
      <c r="AU8" s="20"/>
      <c r="AV8" s="20"/>
      <c r="AW8" s="20"/>
      <c r="AX8" s="20"/>
      <c r="AY8" s="22"/>
      <c r="AZ8" s="21"/>
      <c r="BA8" s="15"/>
      <c r="BB8" s="15"/>
      <c r="BC8" s="15"/>
      <c r="BD8" s="15"/>
      <c r="BE8" s="28"/>
      <c r="BF8" s="29"/>
      <c r="BG8" s="20"/>
      <c r="BH8" s="20"/>
      <c r="BI8" s="20"/>
      <c r="BJ8" s="20"/>
      <c r="BK8" s="20"/>
      <c r="BL8" s="20"/>
      <c r="BM8" s="20"/>
      <c r="BN8" s="20"/>
      <c r="BO8" s="20"/>
      <c r="BP8" s="22"/>
    </row>
    <row r="9" spans="1:68" ht="15" customHeight="1" thickBot="1" x14ac:dyDescent="0.3">
      <c r="A9" s="10"/>
      <c r="B9" s="257" t="s">
        <v>43</v>
      </c>
      <c r="C9" s="258"/>
      <c r="D9" s="258"/>
      <c r="E9" s="258"/>
      <c r="F9" s="258"/>
      <c r="G9" s="258"/>
      <c r="H9" s="259"/>
      <c r="I9" s="11"/>
      <c r="J9" s="239" t="s">
        <v>44</v>
      </c>
      <c r="K9" s="240"/>
      <c r="L9" s="240"/>
      <c r="M9" s="240"/>
      <c r="N9" s="240"/>
      <c r="O9" s="240"/>
      <c r="P9" s="241"/>
      <c r="Q9" s="11"/>
      <c r="R9" s="12"/>
      <c r="S9" s="239" t="s">
        <v>43</v>
      </c>
      <c r="T9" s="240"/>
      <c r="U9" s="240"/>
      <c r="V9" s="240"/>
      <c r="W9" s="240"/>
      <c r="X9" s="240"/>
      <c r="Y9" s="241"/>
      <c r="Z9" s="11"/>
      <c r="AA9" s="239" t="s">
        <v>44</v>
      </c>
      <c r="AB9" s="240"/>
      <c r="AC9" s="240"/>
      <c r="AD9" s="240"/>
      <c r="AE9" s="240"/>
      <c r="AF9" s="240"/>
      <c r="AG9" s="241"/>
      <c r="AH9" s="13"/>
      <c r="AI9" s="12"/>
      <c r="AJ9" s="218" t="s">
        <v>5</v>
      </c>
      <c r="AK9" s="219"/>
      <c r="AL9" s="219"/>
      <c r="AM9" s="219"/>
      <c r="AN9" s="26">
        <v>4600</v>
      </c>
      <c r="AO9" s="27" t="s">
        <v>45</v>
      </c>
      <c r="AP9" s="11"/>
      <c r="AQ9" s="11"/>
      <c r="AR9" s="11"/>
      <c r="AS9" s="11"/>
      <c r="AT9" s="11"/>
      <c r="AU9" s="11"/>
      <c r="AV9" s="11"/>
      <c r="AW9" s="11"/>
      <c r="AX9" s="11"/>
      <c r="AY9" s="13"/>
      <c r="AZ9" s="12"/>
      <c r="BE9" s="28"/>
      <c r="BF9" s="29"/>
      <c r="BG9" s="11"/>
      <c r="BH9" s="11"/>
      <c r="BI9" s="11"/>
      <c r="BJ9" s="11"/>
      <c r="BK9" s="11"/>
      <c r="BL9" s="11"/>
      <c r="BM9" s="11"/>
      <c r="BN9" s="11"/>
      <c r="BO9" s="11"/>
      <c r="BP9" s="13"/>
    </row>
    <row r="10" spans="1:68" ht="15" customHeight="1" x14ac:dyDescent="0.25">
      <c r="A10" s="10"/>
      <c r="B10" s="216" t="s">
        <v>46</v>
      </c>
      <c r="C10" s="217"/>
      <c r="D10" s="217"/>
      <c r="E10" s="217"/>
      <c r="F10" s="217"/>
      <c r="G10" s="30">
        <v>35</v>
      </c>
      <c r="H10" s="31" t="s">
        <v>47</v>
      </c>
      <c r="I10" s="29"/>
      <c r="J10" s="216" t="s">
        <v>46</v>
      </c>
      <c r="K10" s="217"/>
      <c r="L10" s="217"/>
      <c r="M10" s="217"/>
      <c r="N10" s="217"/>
      <c r="O10" s="30">
        <v>50</v>
      </c>
      <c r="P10" s="31" t="s">
        <v>47</v>
      </c>
      <c r="Q10" s="29"/>
      <c r="R10" s="32"/>
      <c r="S10" s="230" t="s">
        <v>46</v>
      </c>
      <c r="T10" s="231"/>
      <c r="U10" s="231"/>
      <c r="V10" s="231"/>
      <c r="W10" s="232"/>
      <c r="X10" s="30">
        <v>35</v>
      </c>
      <c r="Y10" s="31" t="s">
        <v>47</v>
      </c>
      <c r="Z10" s="29"/>
      <c r="AA10" s="230" t="s">
        <v>46</v>
      </c>
      <c r="AB10" s="231"/>
      <c r="AC10" s="231"/>
      <c r="AD10" s="231"/>
      <c r="AE10" s="232"/>
      <c r="AF10" s="30">
        <v>50</v>
      </c>
      <c r="AG10" s="31" t="s">
        <v>47</v>
      </c>
      <c r="AH10" s="33"/>
      <c r="AI10" s="32"/>
      <c r="AJ10" s="218" t="s">
        <v>41</v>
      </c>
      <c r="AK10" s="219"/>
      <c r="AL10" s="219"/>
      <c r="AM10" s="219"/>
      <c r="AN10" s="26">
        <f>AN8*0.7457</f>
        <v>1118.55</v>
      </c>
      <c r="AO10" s="27" t="s">
        <v>48</v>
      </c>
      <c r="AP10" s="29"/>
      <c r="AQ10" s="29"/>
      <c r="AR10" s="29"/>
      <c r="AS10" s="29"/>
      <c r="AT10" s="29"/>
      <c r="AU10" s="29"/>
      <c r="AV10" s="29"/>
      <c r="AW10" s="29"/>
      <c r="AX10" s="29"/>
      <c r="AY10" s="33"/>
      <c r="AZ10" s="32"/>
      <c r="BE10" s="28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33"/>
    </row>
    <row r="11" spans="1:68" ht="15" customHeight="1" x14ac:dyDescent="0.25">
      <c r="A11" s="10"/>
      <c r="B11" s="218" t="s">
        <v>49</v>
      </c>
      <c r="C11" s="219"/>
      <c r="D11" s="219"/>
      <c r="E11" s="219"/>
      <c r="F11" s="219"/>
      <c r="G11" s="34">
        <v>180</v>
      </c>
      <c r="H11" s="27" t="s">
        <v>50</v>
      </c>
      <c r="I11" s="29"/>
      <c r="J11" s="218" t="s">
        <v>49</v>
      </c>
      <c r="K11" s="219"/>
      <c r="L11" s="219"/>
      <c r="M11" s="219"/>
      <c r="N11" s="219"/>
      <c r="O11" s="34">
        <v>212</v>
      </c>
      <c r="P11" s="27" t="s">
        <v>50</v>
      </c>
      <c r="Q11" s="29"/>
      <c r="R11" s="32"/>
      <c r="S11" s="35" t="s">
        <v>51</v>
      </c>
      <c r="T11" s="36"/>
      <c r="U11" s="36"/>
      <c r="V11" s="36"/>
      <c r="W11" s="37"/>
      <c r="X11" s="26">
        <v>11132</v>
      </c>
      <c r="Y11" s="27" t="s">
        <v>52</v>
      </c>
      <c r="Z11" s="29"/>
      <c r="AA11" s="35" t="s">
        <v>51</v>
      </c>
      <c r="AB11" s="36"/>
      <c r="AC11" s="36"/>
      <c r="AD11" s="36"/>
      <c r="AE11" s="37"/>
      <c r="AF11" s="26">
        <v>9958</v>
      </c>
      <c r="AG11" s="27" t="s">
        <v>52</v>
      </c>
      <c r="AH11" s="33"/>
      <c r="AI11" s="32"/>
      <c r="AJ11" s="218" t="s">
        <v>53</v>
      </c>
      <c r="AK11" s="219"/>
      <c r="AL11" s="219"/>
      <c r="AM11" s="219"/>
      <c r="AN11" s="38">
        <v>80</v>
      </c>
      <c r="AO11" s="27" t="s">
        <v>54</v>
      </c>
      <c r="AP11" s="29"/>
      <c r="AQ11" s="29"/>
      <c r="AR11" s="29"/>
      <c r="AS11" s="29"/>
      <c r="AT11" s="29"/>
      <c r="AU11" s="29"/>
      <c r="AV11" s="29"/>
      <c r="AW11" s="29"/>
      <c r="AX11" s="29"/>
      <c r="AY11" s="33"/>
      <c r="AZ11" s="32"/>
      <c r="BE11" s="3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33"/>
    </row>
    <row r="12" spans="1:68" ht="15" customHeight="1" x14ac:dyDescent="0.25">
      <c r="A12" s="10"/>
      <c r="B12" s="218" t="s">
        <v>55</v>
      </c>
      <c r="C12" s="219"/>
      <c r="D12" s="219"/>
      <c r="E12" s="219"/>
      <c r="F12" s="219"/>
      <c r="G12" s="38">
        <f>G11/1.2</f>
        <v>150</v>
      </c>
      <c r="H12" s="27" t="s">
        <v>50</v>
      </c>
      <c r="I12" s="29"/>
      <c r="J12" s="218" t="s">
        <v>55</v>
      </c>
      <c r="K12" s="219"/>
      <c r="L12" s="219"/>
      <c r="M12" s="219"/>
      <c r="N12" s="219"/>
      <c r="O12" s="38">
        <f>O11/1.2</f>
        <v>176.66666666666669</v>
      </c>
      <c r="P12" s="27" t="s">
        <v>50</v>
      </c>
      <c r="Q12" s="29"/>
      <c r="R12" s="32"/>
      <c r="S12" s="35" t="s">
        <v>56</v>
      </c>
      <c r="T12" s="36"/>
      <c r="U12" s="36"/>
      <c r="V12" s="36"/>
      <c r="W12" s="37"/>
      <c r="X12" s="40">
        <f>0.67*0.8035</f>
        <v>0.53834500000000007</v>
      </c>
      <c r="Y12" s="27" t="s">
        <v>52</v>
      </c>
      <c r="Z12" s="29"/>
      <c r="AA12" s="35" t="s">
        <v>56</v>
      </c>
      <c r="AB12" s="36"/>
      <c r="AC12" s="36"/>
      <c r="AD12" s="36"/>
      <c r="AE12" s="37"/>
      <c r="AF12" s="40">
        <f>0.495*0.8035</f>
        <v>0.39773249999999999</v>
      </c>
      <c r="AG12" s="27" t="s">
        <v>52</v>
      </c>
      <c r="AH12" s="33"/>
      <c r="AI12" s="32"/>
      <c r="AJ12" s="218" t="s">
        <v>57</v>
      </c>
      <c r="AK12" s="219"/>
      <c r="AL12" s="219"/>
      <c r="AM12" s="219"/>
      <c r="AN12" s="38">
        <v>90</v>
      </c>
      <c r="AO12" s="27" t="s">
        <v>54</v>
      </c>
      <c r="AP12" s="29"/>
      <c r="AQ12" s="29"/>
      <c r="AR12" s="29"/>
      <c r="AS12" s="29"/>
      <c r="AT12" s="29"/>
      <c r="AU12" s="29"/>
      <c r="AV12" s="29"/>
      <c r="AW12" s="29"/>
      <c r="AX12" s="29"/>
      <c r="AY12" s="33"/>
      <c r="AZ12" s="32"/>
      <c r="BE12" s="3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33"/>
    </row>
    <row r="13" spans="1:68" ht="15" customHeight="1" thickBot="1" x14ac:dyDescent="0.3">
      <c r="A13" s="10"/>
      <c r="B13" s="214" t="s">
        <v>58</v>
      </c>
      <c r="C13" s="215"/>
      <c r="D13" s="215"/>
      <c r="E13" s="215"/>
      <c r="F13" s="215"/>
      <c r="G13" s="41">
        <f>G11*0.87</f>
        <v>156.6</v>
      </c>
      <c r="H13" s="42" t="s">
        <v>50</v>
      </c>
      <c r="I13" s="29"/>
      <c r="J13" s="214" t="s">
        <v>58</v>
      </c>
      <c r="K13" s="215"/>
      <c r="L13" s="215"/>
      <c r="M13" s="215"/>
      <c r="N13" s="215"/>
      <c r="O13" s="41">
        <f>O11*0.87</f>
        <v>184.44</v>
      </c>
      <c r="P13" s="42" t="s">
        <v>50</v>
      </c>
      <c r="Q13" s="43"/>
      <c r="R13" s="44"/>
      <c r="S13" s="227" t="s">
        <v>59</v>
      </c>
      <c r="T13" s="228"/>
      <c r="U13" s="228"/>
      <c r="V13" s="228"/>
      <c r="W13" s="229"/>
      <c r="X13" s="45">
        <v>0.157</v>
      </c>
      <c r="Y13" s="46" t="s">
        <v>52</v>
      </c>
      <c r="Z13" s="29"/>
      <c r="AA13" s="227" t="s">
        <v>59</v>
      </c>
      <c r="AB13" s="228"/>
      <c r="AC13" s="228"/>
      <c r="AD13" s="228"/>
      <c r="AE13" s="229"/>
      <c r="AF13" s="45">
        <v>0.14899999999999999</v>
      </c>
      <c r="AG13" s="46" t="s">
        <v>52</v>
      </c>
      <c r="AH13" s="47"/>
      <c r="AI13" s="44"/>
      <c r="AJ13" s="218" t="s">
        <v>60</v>
      </c>
      <c r="AK13" s="219"/>
      <c r="AL13" s="219"/>
      <c r="AM13" s="219"/>
      <c r="AN13" s="26">
        <f>AN10/AN11/AN12*10000</f>
        <v>1553.5416666666665</v>
      </c>
      <c r="AO13" s="27" t="s">
        <v>61</v>
      </c>
      <c r="AP13" s="43"/>
      <c r="AQ13" s="43"/>
      <c r="AR13" s="43"/>
      <c r="AS13" s="43"/>
      <c r="AT13" s="43"/>
      <c r="AU13" s="43"/>
      <c r="AV13" s="43"/>
      <c r="AW13" s="43"/>
      <c r="AX13" s="43"/>
      <c r="AY13" s="47"/>
      <c r="AZ13" s="44"/>
      <c r="BE13" s="28"/>
      <c r="BF13" s="29"/>
      <c r="BG13" s="43"/>
      <c r="BH13" s="43"/>
      <c r="BI13" s="43"/>
      <c r="BJ13" s="43"/>
      <c r="BK13" s="43"/>
      <c r="BL13" s="43"/>
      <c r="BM13" s="43"/>
      <c r="BN13" s="43"/>
      <c r="BO13" s="43"/>
      <c r="BP13" s="47"/>
    </row>
    <row r="14" spans="1:68" ht="15" customHeight="1" x14ac:dyDescent="0.25">
      <c r="A14" s="10"/>
      <c r="B14" s="214" t="s">
        <v>62</v>
      </c>
      <c r="C14" s="215"/>
      <c r="D14" s="215"/>
      <c r="E14" s="215"/>
      <c r="F14" s="215"/>
      <c r="G14" s="41">
        <f>G13/1.2</f>
        <v>130.5</v>
      </c>
      <c r="H14" s="42" t="s">
        <v>50</v>
      </c>
      <c r="I14" s="29"/>
      <c r="J14" s="214" t="s">
        <v>62</v>
      </c>
      <c r="K14" s="215"/>
      <c r="L14" s="215"/>
      <c r="M14" s="215"/>
      <c r="N14" s="215"/>
      <c r="O14" s="41">
        <f>O13/1.2</f>
        <v>153.70000000000002</v>
      </c>
      <c r="P14" s="42" t="s">
        <v>50</v>
      </c>
      <c r="Q14" s="43"/>
      <c r="R14" s="44"/>
      <c r="S14" s="224">
        <v>60</v>
      </c>
      <c r="T14" s="224"/>
      <c r="U14" s="224"/>
      <c r="V14" s="224"/>
      <c r="W14" s="224"/>
      <c r="X14" s="48"/>
      <c r="Y14" s="29"/>
      <c r="Z14" s="29"/>
      <c r="AA14" s="224"/>
      <c r="AB14" s="224"/>
      <c r="AC14" s="224"/>
      <c r="AD14" s="224"/>
      <c r="AE14" s="224"/>
      <c r="AF14" s="48"/>
      <c r="AG14" s="29"/>
      <c r="AH14" s="47"/>
      <c r="AI14" s="44"/>
      <c r="AJ14" s="218" t="s">
        <v>63</v>
      </c>
      <c r="AK14" s="219"/>
      <c r="AL14" s="219"/>
      <c r="AM14" s="219"/>
      <c r="AN14" s="49">
        <f>AN13/SQRT(3)/AN9*1000</f>
        <v>194.98645640158691</v>
      </c>
      <c r="AO14" s="27" t="s">
        <v>50</v>
      </c>
      <c r="AP14" s="43"/>
      <c r="AQ14" s="43"/>
      <c r="AR14" s="43"/>
      <c r="AS14" s="43"/>
      <c r="AT14" s="43"/>
      <c r="AU14" s="43"/>
      <c r="AV14" s="43"/>
      <c r="AW14" s="43"/>
      <c r="AX14" s="43"/>
      <c r="AY14" s="47"/>
      <c r="AZ14" s="44"/>
      <c r="BE14" s="50"/>
      <c r="BF14" s="29"/>
      <c r="BG14" s="43"/>
      <c r="BH14" s="43"/>
      <c r="BI14" s="43"/>
      <c r="BJ14" s="43"/>
      <c r="BK14" s="43"/>
      <c r="BL14" s="43"/>
      <c r="BM14" s="43"/>
      <c r="BN14" s="43"/>
      <c r="BO14" s="43"/>
      <c r="BP14" s="47"/>
    </row>
    <row r="15" spans="1:68" ht="15" customHeight="1" x14ac:dyDescent="0.25">
      <c r="A15" s="10"/>
      <c r="B15" s="225" t="s">
        <v>64</v>
      </c>
      <c r="C15" s="226"/>
      <c r="D15" s="226"/>
      <c r="E15" s="226"/>
      <c r="F15" s="226"/>
      <c r="G15" s="51">
        <f>G11*0.76</f>
        <v>136.80000000000001</v>
      </c>
      <c r="H15" s="52" t="s">
        <v>50</v>
      </c>
      <c r="I15" s="29"/>
      <c r="J15" s="225" t="s">
        <v>64</v>
      </c>
      <c r="K15" s="226"/>
      <c r="L15" s="226"/>
      <c r="M15" s="226"/>
      <c r="N15" s="226"/>
      <c r="O15" s="51">
        <f>O11*0.76</f>
        <v>161.12</v>
      </c>
      <c r="P15" s="52" t="s">
        <v>50</v>
      </c>
      <c r="Q15" s="53"/>
      <c r="R15" s="54"/>
      <c r="S15" s="14"/>
      <c r="T15" s="14"/>
      <c r="U15" s="14" t="s">
        <v>146</v>
      </c>
      <c r="V15" s="14">
        <v>0.5</v>
      </c>
      <c r="W15" s="14"/>
      <c r="X15" s="48"/>
      <c r="Y15" s="29"/>
      <c r="Z15" s="29"/>
      <c r="AA15" s="14"/>
      <c r="AB15" s="14"/>
      <c r="AC15" s="14"/>
      <c r="AD15" s="14"/>
      <c r="AE15" s="14"/>
      <c r="AF15" s="48"/>
      <c r="AG15" s="29"/>
      <c r="AH15" s="55"/>
      <c r="AI15" s="54"/>
      <c r="AJ15" s="218" t="s">
        <v>65</v>
      </c>
      <c r="AK15" s="219"/>
      <c r="AL15" s="219"/>
      <c r="AM15" s="219"/>
      <c r="AN15" s="26">
        <f>AN10/AN12*100</f>
        <v>1242.8333333333333</v>
      </c>
      <c r="AO15" s="27" t="s">
        <v>48</v>
      </c>
      <c r="AP15" s="53"/>
      <c r="AQ15" s="53"/>
      <c r="AR15" s="53"/>
      <c r="AS15" s="53"/>
      <c r="AT15" s="53"/>
      <c r="AU15" s="53"/>
      <c r="AV15" s="53"/>
      <c r="AW15" s="53"/>
      <c r="AX15" s="53"/>
      <c r="AY15" s="55"/>
      <c r="AZ15" s="54"/>
      <c r="BE15" s="28"/>
      <c r="BF15" s="29"/>
      <c r="BG15" s="53"/>
      <c r="BH15" s="53"/>
      <c r="BI15" s="53"/>
      <c r="BJ15" s="53"/>
      <c r="BK15" s="53"/>
      <c r="BL15" s="53"/>
      <c r="BM15" s="53"/>
      <c r="BN15" s="53"/>
      <c r="BO15" s="53"/>
      <c r="BP15" s="55"/>
    </row>
    <row r="16" spans="1:68" ht="15" customHeight="1" thickBot="1" x14ac:dyDescent="0.3">
      <c r="A16" s="10"/>
      <c r="B16" s="212" t="s">
        <v>66</v>
      </c>
      <c r="C16" s="213"/>
      <c r="D16" s="213"/>
      <c r="E16" s="213"/>
      <c r="F16" s="213"/>
      <c r="G16" s="56">
        <f>G15/1.2</f>
        <v>114.00000000000001</v>
      </c>
      <c r="H16" s="57" t="s">
        <v>50</v>
      </c>
      <c r="I16" s="29"/>
      <c r="J16" s="212" t="s">
        <v>66</v>
      </c>
      <c r="K16" s="213"/>
      <c r="L16" s="213"/>
      <c r="M16" s="213"/>
      <c r="N16" s="213"/>
      <c r="O16" s="56">
        <f>O15/1.2</f>
        <v>134.26666666666668</v>
      </c>
      <c r="P16" s="57" t="s">
        <v>50</v>
      </c>
      <c r="Q16" s="53"/>
      <c r="R16" s="54"/>
      <c r="S16" s="14"/>
      <c r="T16" s="14"/>
      <c r="U16" s="14" t="s">
        <v>145</v>
      </c>
      <c r="V16" s="14">
        <f>2*PI()*60*V15</f>
        <v>188.49555921538757</v>
      </c>
      <c r="W16" s="14"/>
      <c r="X16" s="48">
        <f>V16/2/PI()/60</f>
        <v>0.49999999999999994</v>
      </c>
      <c r="Y16" s="29">
        <f>2*PI()*100*X16</f>
        <v>314.15926535897927</v>
      </c>
      <c r="Z16" s="29"/>
      <c r="AA16" s="14"/>
      <c r="AB16" s="14">
        <f>V16*100/60</f>
        <v>314.15926535897933</v>
      </c>
      <c r="AC16" s="14"/>
      <c r="AD16" s="14"/>
      <c r="AE16" s="14"/>
      <c r="AF16" s="48"/>
      <c r="AG16" s="29"/>
      <c r="AH16" s="55"/>
      <c r="AI16" s="54"/>
      <c r="AJ16" s="242" t="s">
        <v>67</v>
      </c>
      <c r="AK16" s="243"/>
      <c r="AL16" s="243"/>
      <c r="AM16" s="243"/>
      <c r="AN16" s="58">
        <f>SQRT(AN13^2-AN15^2)</f>
        <v>932.12499999999989</v>
      </c>
      <c r="AO16" s="46" t="s">
        <v>68</v>
      </c>
      <c r="AP16" s="53"/>
      <c r="AQ16" s="53"/>
      <c r="AR16" s="53"/>
      <c r="AS16" s="53"/>
      <c r="AT16" s="53"/>
      <c r="AU16" s="53"/>
      <c r="AV16" s="53"/>
      <c r="AW16" s="53"/>
      <c r="AX16" s="53"/>
      <c r="AY16" s="55"/>
      <c r="AZ16" s="54"/>
      <c r="BE16" s="59"/>
      <c r="BF16" s="29"/>
      <c r="BG16" s="53"/>
      <c r="BH16" s="53"/>
      <c r="BI16" s="53"/>
      <c r="BJ16" s="53"/>
      <c r="BK16" s="53"/>
      <c r="BL16" s="53"/>
      <c r="BM16" s="53"/>
      <c r="BN16" s="53"/>
      <c r="BO16" s="53"/>
      <c r="BP16" s="55"/>
    </row>
    <row r="17" spans="1:68" ht="15" customHeight="1" thickBot="1" x14ac:dyDescent="0.3">
      <c r="A17" s="10"/>
      <c r="B17" s="210" t="s">
        <v>158</v>
      </c>
      <c r="C17" s="211"/>
      <c r="D17" s="211"/>
      <c r="E17" s="211"/>
      <c r="F17" s="211"/>
      <c r="G17" s="191">
        <f>G11*0.708</f>
        <v>127.44</v>
      </c>
      <c r="H17" s="190" t="s">
        <v>50</v>
      </c>
      <c r="I17" s="29"/>
      <c r="J17" s="210" t="s">
        <v>158</v>
      </c>
      <c r="K17" s="211"/>
      <c r="L17" s="211"/>
      <c r="M17" s="211"/>
      <c r="N17" s="211"/>
      <c r="O17" s="191">
        <f>O11*0.708</f>
        <v>150.096</v>
      </c>
      <c r="P17" s="190" t="s">
        <v>50</v>
      </c>
      <c r="Q17" s="29"/>
      <c r="R17" s="32"/>
      <c r="S17" s="14"/>
      <c r="T17" s="14"/>
      <c r="U17" s="14"/>
      <c r="V17" s="14"/>
      <c r="W17" s="14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33"/>
      <c r="AI17" s="32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33"/>
      <c r="AZ17" s="32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33"/>
    </row>
    <row r="18" spans="1:68" ht="15" customHeight="1" thickBot="1" x14ac:dyDescent="0.3">
      <c r="A18" s="10"/>
      <c r="B18" s="239" t="s">
        <v>69</v>
      </c>
      <c r="C18" s="240"/>
      <c r="D18" s="240"/>
      <c r="E18" s="240"/>
      <c r="F18" s="240"/>
      <c r="G18" s="240"/>
      <c r="H18" s="241"/>
      <c r="I18" s="11"/>
      <c r="J18" s="239" t="s">
        <v>70</v>
      </c>
      <c r="K18" s="240"/>
      <c r="L18" s="240"/>
      <c r="M18" s="240"/>
      <c r="N18" s="240"/>
      <c r="O18" s="240"/>
      <c r="P18" s="241"/>
      <c r="Q18" s="11"/>
      <c r="R18" s="12"/>
      <c r="S18" s="239" t="s">
        <v>69</v>
      </c>
      <c r="T18" s="240"/>
      <c r="U18" s="240"/>
      <c r="V18" s="240"/>
      <c r="W18" s="240"/>
      <c r="X18" s="240"/>
      <c r="Y18" s="241"/>
      <c r="Z18" s="11"/>
      <c r="AA18" s="239" t="s">
        <v>70</v>
      </c>
      <c r="AB18" s="240"/>
      <c r="AC18" s="240"/>
      <c r="AD18" s="240"/>
      <c r="AE18" s="240"/>
      <c r="AF18" s="240"/>
      <c r="AG18" s="241"/>
      <c r="AH18" s="13"/>
      <c r="AI18" s="12"/>
      <c r="AJ18" s="251" t="s">
        <v>71</v>
      </c>
      <c r="AK18" s="252"/>
      <c r="AL18" s="252"/>
      <c r="AM18" s="252"/>
      <c r="AN18" s="252"/>
      <c r="AO18" s="252"/>
      <c r="AP18" s="252"/>
      <c r="AQ18" s="252"/>
      <c r="AR18" s="252"/>
      <c r="AS18" s="252"/>
      <c r="AT18" s="252"/>
      <c r="AU18" s="252"/>
      <c r="AV18" s="252"/>
      <c r="AW18" s="252"/>
      <c r="AX18" s="253"/>
      <c r="AY18" s="13"/>
      <c r="AZ18" s="12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3"/>
    </row>
    <row r="19" spans="1:68" ht="15" customHeight="1" thickBot="1" x14ac:dyDescent="0.3">
      <c r="A19" s="10"/>
      <c r="B19" s="216" t="s">
        <v>46</v>
      </c>
      <c r="C19" s="217"/>
      <c r="D19" s="217"/>
      <c r="E19" s="217"/>
      <c r="F19" s="217"/>
      <c r="G19" s="30">
        <v>70</v>
      </c>
      <c r="H19" s="31" t="s">
        <v>47</v>
      </c>
      <c r="I19" s="29"/>
      <c r="J19" s="216" t="s">
        <v>46</v>
      </c>
      <c r="K19" s="217"/>
      <c r="L19" s="217"/>
      <c r="M19" s="217"/>
      <c r="N19" s="217"/>
      <c r="O19" s="30">
        <v>95</v>
      </c>
      <c r="P19" s="31" t="s">
        <v>47</v>
      </c>
      <c r="Q19" s="29"/>
      <c r="R19" s="32"/>
      <c r="S19" s="230" t="s">
        <v>46</v>
      </c>
      <c r="T19" s="231"/>
      <c r="U19" s="231"/>
      <c r="V19" s="231"/>
      <c r="W19" s="232"/>
      <c r="X19" s="30">
        <v>70</v>
      </c>
      <c r="Y19" s="31" t="s">
        <v>47</v>
      </c>
      <c r="Z19" s="29"/>
      <c r="AA19" s="230" t="s">
        <v>46</v>
      </c>
      <c r="AB19" s="231"/>
      <c r="AC19" s="231"/>
      <c r="AD19" s="231"/>
      <c r="AE19" s="232"/>
      <c r="AF19" s="30">
        <v>95</v>
      </c>
      <c r="AG19" s="31" t="s">
        <v>47</v>
      </c>
      <c r="AH19" s="33"/>
      <c r="AI19" s="32"/>
      <c r="AJ19" s="254"/>
      <c r="AK19" s="255"/>
      <c r="AL19" s="255"/>
      <c r="AM19" s="255"/>
      <c r="AN19" s="255"/>
      <c r="AO19" s="255"/>
      <c r="AP19" s="255"/>
      <c r="AQ19" s="255"/>
      <c r="AR19" s="255"/>
      <c r="AS19" s="255"/>
      <c r="AT19" s="255"/>
      <c r="AU19" s="255"/>
      <c r="AV19" s="255"/>
      <c r="AW19" s="255"/>
      <c r="AX19" s="256"/>
      <c r="AY19" s="33"/>
      <c r="AZ19" s="32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33"/>
    </row>
    <row r="20" spans="1:68" ht="15" customHeight="1" thickBot="1" x14ac:dyDescent="0.3">
      <c r="A20" s="10"/>
      <c r="B20" s="218" t="s">
        <v>49</v>
      </c>
      <c r="C20" s="219"/>
      <c r="D20" s="219"/>
      <c r="E20" s="219"/>
      <c r="F20" s="219"/>
      <c r="G20" s="34">
        <v>258</v>
      </c>
      <c r="H20" s="27" t="s">
        <v>50</v>
      </c>
      <c r="I20" s="29"/>
      <c r="J20" s="218" t="s">
        <v>49</v>
      </c>
      <c r="K20" s="219"/>
      <c r="L20" s="219"/>
      <c r="M20" s="219"/>
      <c r="N20" s="219"/>
      <c r="O20" s="34">
        <v>306</v>
      </c>
      <c r="P20" s="27" t="s">
        <v>50</v>
      </c>
      <c r="Q20" s="29"/>
      <c r="R20" s="32"/>
      <c r="S20" s="35" t="s">
        <v>51</v>
      </c>
      <c r="T20" s="36"/>
      <c r="U20" s="36"/>
      <c r="V20" s="36"/>
      <c r="W20" s="37"/>
      <c r="X20" s="26">
        <v>8949</v>
      </c>
      <c r="Y20" s="27" t="s">
        <v>52</v>
      </c>
      <c r="Z20" s="29"/>
      <c r="AA20" s="35" t="s">
        <v>51</v>
      </c>
      <c r="AB20" s="36"/>
      <c r="AC20" s="36"/>
      <c r="AD20" s="36"/>
      <c r="AE20" s="37"/>
      <c r="AF20" s="26">
        <v>8025</v>
      </c>
      <c r="AG20" s="27" t="s">
        <v>52</v>
      </c>
      <c r="AH20" s="33"/>
      <c r="AI20" s="32"/>
      <c r="AJ20" s="20"/>
      <c r="AK20" s="20"/>
      <c r="AL20" s="20"/>
      <c r="AM20" s="20"/>
      <c r="AN20" s="20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3"/>
      <c r="AZ20" s="32"/>
      <c r="BA20" s="20"/>
      <c r="BB20" s="20"/>
      <c r="BC20" s="20"/>
      <c r="BD20" s="20"/>
      <c r="BE20" s="20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33"/>
    </row>
    <row r="21" spans="1:68" ht="15" customHeight="1" thickBot="1" x14ac:dyDescent="0.3">
      <c r="A21" s="10"/>
      <c r="B21" s="218" t="s">
        <v>55</v>
      </c>
      <c r="C21" s="219"/>
      <c r="D21" s="219"/>
      <c r="E21" s="219"/>
      <c r="F21" s="219"/>
      <c r="G21" s="38">
        <f>G20/1.2</f>
        <v>215</v>
      </c>
      <c r="H21" s="27" t="s">
        <v>50</v>
      </c>
      <c r="I21" s="29"/>
      <c r="J21" s="218" t="s">
        <v>55</v>
      </c>
      <c r="K21" s="219"/>
      <c r="L21" s="219"/>
      <c r="M21" s="219"/>
      <c r="N21" s="219"/>
      <c r="O21" s="38">
        <f>O20/1.2</f>
        <v>255</v>
      </c>
      <c r="P21" s="27" t="s">
        <v>50</v>
      </c>
      <c r="Q21" s="29"/>
      <c r="R21" s="44"/>
      <c r="S21" s="35" t="s">
        <v>56</v>
      </c>
      <c r="T21" s="36"/>
      <c r="U21" s="36"/>
      <c r="V21" s="36"/>
      <c r="W21" s="37"/>
      <c r="X21" s="40">
        <f>0.343*0.8035</f>
        <v>0.27560050000000003</v>
      </c>
      <c r="Y21" s="27" t="s">
        <v>52</v>
      </c>
      <c r="Z21" s="29"/>
      <c r="AA21" s="35" t="s">
        <v>56</v>
      </c>
      <c r="AB21" s="36"/>
      <c r="AC21" s="36"/>
      <c r="AD21" s="36"/>
      <c r="AE21" s="37"/>
      <c r="AF21" s="40">
        <f>0.248*0.8035</f>
        <v>0.199268</v>
      </c>
      <c r="AG21" s="27" t="s">
        <v>52</v>
      </c>
      <c r="AH21" s="47"/>
      <c r="AI21" s="32"/>
      <c r="AJ21" s="239" t="s">
        <v>72</v>
      </c>
      <c r="AK21" s="240"/>
      <c r="AL21" s="240"/>
      <c r="AM21" s="240"/>
      <c r="AN21" s="241"/>
      <c r="AO21" s="29"/>
      <c r="AP21" s="239" t="s">
        <v>73</v>
      </c>
      <c r="AQ21" s="240"/>
      <c r="AR21" s="240"/>
      <c r="AS21" s="240"/>
      <c r="AT21" s="241"/>
      <c r="AU21" s="29"/>
      <c r="AV21" s="29"/>
      <c r="AW21" s="29"/>
      <c r="AX21" s="29"/>
      <c r="AY21" s="33"/>
      <c r="AZ21" s="32"/>
      <c r="BA21" s="24"/>
      <c r="BB21" s="24"/>
      <c r="BC21" s="24"/>
      <c r="BD21" s="24"/>
      <c r="BE21" s="24"/>
      <c r="BF21" s="29"/>
      <c r="BG21" s="24"/>
      <c r="BH21" s="24"/>
      <c r="BI21" s="24"/>
      <c r="BJ21" s="24"/>
      <c r="BK21" s="24"/>
      <c r="BL21" s="29"/>
      <c r="BM21" s="29"/>
      <c r="BN21" s="29"/>
      <c r="BO21" s="29"/>
      <c r="BP21" s="33"/>
    </row>
    <row r="22" spans="1:68" ht="15" customHeight="1" thickBot="1" x14ac:dyDescent="0.3">
      <c r="A22" s="10"/>
      <c r="B22" s="214" t="s">
        <v>58</v>
      </c>
      <c r="C22" s="215"/>
      <c r="D22" s="215"/>
      <c r="E22" s="215"/>
      <c r="F22" s="215"/>
      <c r="G22" s="41">
        <f>G20*0.87</f>
        <v>224.46</v>
      </c>
      <c r="H22" s="42" t="s">
        <v>50</v>
      </c>
      <c r="I22" s="29"/>
      <c r="J22" s="214" t="s">
        <v>58</v>
      </c>
      <c r="K22" s="215"/>
      <c r="L22" s="215"/>
      <c r="M22" s="215"/>
      <c r="N22" s="215"/>
      <c r="O22" s="41">
        <f>O20*0.87</f>
        <v>266.21999999999997</v>
      </c>
      <c r="P22" s="42" t="s">
        <v>50</v>
      </c>
      <c r="Q22" s="43"/>
      <c r="R22" s="44"/>
      <c r="S22" s="227" t="s">
        <v>59</v>
      </c>
      <c r="T22" s="228"/>
      <c r="U22" s="228"/>
      <c r="V22" s="228"/>
      <c r="W22" s="229"/>
      <c r="X22" s="45">
        <v>0.14099999999999999</v>
      </c>
      <c r="Y22" s="46" t="s">
        <v>52</v>
      </c>
      <c r="Z22" s="29"/>
      <c r="AA22" s="227" t="s">
        <v>59</v>
      </c>
      <c r="AB22" s="228"/>
      <c r="AC22" s="228"/>
      <c r="AD22" s="228"/>
      <c r="AE22" s="229"/>
      <c r="AF22" s="45">
        <v>0.13500000000000001</v>
      </c>
      <c r="AG22" s="46" t="s">
        <v>52</v>
      </c>
      <c r="AH22" s="47"/>
      <c r="AI22" s="44"/>
      <c r="AJ22" s="248" t="s">
        <v>39</v>
      </c>
      <c r="AK22" s="249"/>
      <c r="AL22" s="249"/>
      <c r="AM22" s="249"/>
      <c r="AN22" s="250"/>
      <c r="AO22" s="43"/>
      <c r="AP22" s="248" t="s">
        <v>39</v>
      </c>
      <c r="AQ22" s="249"/>
      <c r="AR22" s="249"/>
      <c r="AS22" s="249"/>
      <c r="AT22" s="250"/>
      <c r="AU22" s="43"/>
      <c r="AV22" s="43"/>
      <c r="AW22" s="43"/>
      <c r="AX22" s="43"/>
      <c r="AY22" s="47"/>
      <c r="AZ22" s="44"/>
      <c r="BF22" s="43"/>
      <c r="BL22" s="43"/>
      <c r="BM22" s="43"/>
      <c r="BN22" s="43"/>
      <c r="BO22" s="43"/>
      <c r="BP22" s="47"/>
    </row>
    <row r="23" spans="1:68" ht="15" customHeight="1" x14ac:dyDescent="0.25">
      <c r="A23" s="10"/>
      <c r="B23" s="214" t="s">
        <v>62</v>
      </c>
      <c r="C23" s="215"/>
      <c r="D23" s="215"/>
      <c r="E23" s="215"/>
      <c r="F23" s="215"/>
      <c r="G23" s="41">
        <f>G22/1.2</f>
        <v>187.05</v>
      </c>
      <c r="H23" s="42" t="s">
        <v>50</v>
      </c>
      <c r="I23" s="29"/>
      <c r="J23" s="214" t="s">
        <v>62</v>
      </c>
      <c r="K23" s="215"/>
      <c r="L23" s="215"/>
      <c r="M23" s="215"/>
      <c r="N23" s="215"/>
      <c r="O23" s="41">
        <f>O22/1.2</f>
        <v>221.85</v>
      </c>
      <c r="P23" s="42" t="s">
        <v>50</v>
      </c>
      <c r="Q23" s="43"/>
      <c r="R23" s="44"/>
      <c r="S23" s="224"/>
      <c r="T23" s="224"/>
      <c r="U23" s="224"/>
      <c r="V23" s="224"/>
      <c r="W23" s="224"/>
      <c r="X23" s="48"/>
      <c r="Y23" s="29"/>
      <c r="Z23" s="29"/>
      <c r="AA23" s="224"/>
      <c r="AB23" s="224"/>
      <c r="AC23" s="224"/>
      <c r="AD23" s="224"/>
      <c r="AE23" s="224"/>
      <c r="AF23" s="48"/>
      <c r="AG23" s="29"/>
      <c r="AH23" s="47"/>
      <c r="AI23" s="44"/>
      <c r="AJ23" s="218" t="s">
        <v>41</v>
      </c>
      <c r="AK23" s="219"/>
      <c r="AL23" s="219"/>
      <c r="AM23" s="26">
        <v>1119</v>
      </c>
      <c r="AN23" s="60" t="s">
        <v>48</v>
      </c>
      <c r="AO23" s="43"/>
      <c r="AP23" s="218" t="s">
        <v>41</v>
      </c>
      <c r="AQ23" s="219"/>
      <c r="AR23" s="219"/>
      <c r="AS23" s="26">
        <v>1740</v>
      </c>
      <c r="AT23" s="60" t="s">
        <v>48</v>
      </c>
      <c r="AU23" s="43"/>
      <c r="AV23" s="43"/>
      <c r="AW23" s="43"/>
      <c r="AX23" s="43"/>
      <c r="AY23" s="47"/>
      <c r="AZ23" s="44"/>
      <c r="BD23" s="28"/>
      <c r="BE23" s="29"/>
      <c r="BF23" s="43"/>
      <c r="BJ23" s="28"/>
      <c r="BK23" s="29"/>
      <c r="BL23" s="43"/>
      <c r="BM23" s="43"/>
      <c r="BN23" s="43"/>
      <c r="BO23" s="43"/>
      <c r="BP23" s="47"/>
    </row>
    <row r="24" spans="1:68" ht="15" customHeight="1" x14ac:dyDescent="0.25">
      <c r="A24" s="10"/>
      <c r="B24" s="225" t="s">
        <v>64</v>
      </c>
      <c r="C24" s="226"/>
      <c r="D24" s="226"/>
      <c r="E24" s="226"/>
      <c r="F24" s="226"/>
      <c r="G24" s="51">
        <f>G20*0.76</f>
        <v>196.08</v>
      </c>
      <c r="H24" s="52" t="s">
        <v>50</v>
      </c>
      <c r="I24" s="29"/>
      <c r="J24" s="225" t="s">
        <v>64</v>
      </c>
      <c r="K24" s="226"/>
      <c r="L24" s="226"/>
      <c r="M24" s="226"/>
      <c r="N24" s="226"/>
      <c r="O24" s="51">
        <f>O20*0.76</f>
        <v>232.56</v>
      </c>
      <c r="P24" s="52" t="s">
        <v>50</v>
      </c>
      <c r="Q24" s="53"/>
      <c r="R24" s="54"/>
      <c r="S24" s="14"/>
      <c r="T24" s="14"/>
      <c r="U24" s="14"/>
      <c r="V24" s="14"/>
      <c r="W24" s="14"/>
      <c r="X24" s="48"/>
      <c r="Y24" s="29"/>
      <c r="Z24" s="29"/>
      <c r="AA24" s="14"/>
      <c r="AB24" s="14"/>
      <c r="AC24" s="14"/>
      <c r="AD24" s="14"/>
      <c r="AE24" s="14"/>
      <c r="AF24" s="48"/>
      <c r="AG24" s="29"/>
      <c r="AH24" s="55"/>
      <c r="AI24" s="54"/>
      <c r="AJ24" s="218" t="s">
        <v>5</v>
      </c>
      <c r="AK24" s="219"/>
      <c r="AL24" s="219"/>
      <c r="AM24" s="26">
        <v>6600</v>
      </c>
      <c r="AN24" s="60" t="s">
        <v>45</v>
      </c>
      <c r="AO24" s="53"/>
      <c r="AP24" s="218" t="s">
        <v>5</v>
      </c>
      <c r="AQ24" s="219"/>
      <c r="AR24" s="219"/>
      <c r="AS24" s="26">
        <v>6600</v>
      </c>
      <c r="AT24" s="60" t="s">
        <v>45</v>
      </c>
      <c r="AU24" s="53"/>
      <c r="AV24" s="53"/>
      <c r="AW24" s="53"/>
      <c r="AX24" s="53"/>
      <c r="AY24" s="55"/>
      <c r="AZ24" s="54"/>
      <c r="BD24" s="28"/>
      <c r="BE24" s="29"/>
      <c r="BF24" s="53"/>
      <c r="BJ24" s="28"/>
      <c r="BK24" s="29"/>
      <c r="BL24" s="53"/>
      <c r="BM24" s="53"/>
      <c r="BN24" s="53"/>
      <c r="BO24" s="53"/>
      <c r="BP24" s="55"/>
    </row>
    <row r="25" spans="1:68" ht="15" customHeight="1" thickBot="1" x14ac:dyDescent="0.3">
      <c r="A25" s="10"/>
      <c r="B25" s="212" t="s">
        <v>66</v>
      </c>
      <c r="C25" s="213"/>
      <c r="D25" s="213"/>
      <c r="E25" s="213"/>
      <c r="F25" s="213"/>
      <c r="G25" s="56">
        <f>G24/1.2</f>
        <v>163.4</v>
      </c>
      <c r="H25" s="57" t="s">
        <v>50</v>
      </c>
      <c r="I25" s="29"/>
      <c r="J25" s="212" t="s">
        <v>66</v>
      </c>
      <c r="K25" s="213"/>
      <c r="L25" s="213"/>
      <c r="M25" s="213"/>
      <c r="N25" s="213"/>
      <c r="O25" s="56">
        <f>O24/1.2</f>
        <v>193.8</v>
      </c>
      <c r="P25" s="57" t="s">
        <v>50</v>
      </c>
      <c r="Q25" s="53"/>
      <c r="R25" s="54"/>
      <c r="S25" s="14"/>
      <c r="T25" s="14"/>
      <c r="U25" s="14"/>
      <c r="V25" s="14"/>
      <c r="W25" s="14"/>
      <c r="X25" s="48"/>
      <c r="Y25" s="29"/>
      <c r="Z25" s="29"/>
      <c r="AA25" s="14"/>
      <c r="AB25" s="14"/>
      <c r="AC25" s="14"/>
      <c r="AD25" s="14"/>
      <c r="AE25" s="14"/>
      <c r="AF25" s="48"/>
      <c r="AG25" s="29"/>
      <c r="AH25" s="55"/>
      <c r="AI25" s="54"/>
      <c r="AJ25" s="218" t="s">
        <v>74</v>
      </c>
      <c r="AK25" s="219"/>
      <c r="AL25" s="219"/>
      <c r="AM25" s="61">
        <v>86</v>
      </c>
      <c r="AN25" s="60" t="s">
        <v>54</v>
      </c>
      <c r="AO25" s="53"/>
      <c r="AP25" s="218" t="s">
        <v>74</v>
      </c>
      <c r="AQ25" s="219"/>
      <c r="AR25" s="219"/>
      <c r="AS25" s="61">
        <v>86</v>
      </c>
      <c r="AT25" s="60" t="s">
        <v>54</v>
      </c>
      <c r="AU25" s="53"/>
      <c r="AV25" s="53"/>
      <c r="AW25" s="53"/>
      <c r="AX25" s="53"/>
      <c r="AY25" s="55"/>
      <c r="AZ25" s="54"/>
      <c r="BD25" s="29"/>
      <c r="BE25" s="29"/>
      <c r="BF25" s="53"/>
      <c r="BJ25" s="29"/>
      <c r="BK25" s="29"/>
      <c r="BL25" s="53"/>
      <c r="BM25" s="53"/>
      <c r="BN25" s="53"/>
      <c r="BO25" s="53"/>
      <c r="BP25" s="55"/>
    </row>
    <row r="26" spans="1:68" ht="15" customHeight="1" thickBot="1" x14ac:dyDescent="0.3">
      <c r="A26" s="10"/>
      <c r="B26" s="210" t="s">
        <v>158</v>
      </c>
      <c r="C26" s="211"/>
      <c r="D26" s="211"/>
      <c r="E26" s="211"/>
      <c r="F26" s="211"/>
      <c r="G26" s="191">
        <f>G20*0.708</f>
        <v>182.66399999999999</v>
      </c>
      <c r="H26" s="190" t="s">
        <v>50</v>
      </c>
      <c r="I26" s="29"/>
      <c r="J26" s="210" t="s">
        <v>158</v>
      </c>
      <c r="K26" s="211"/>
      <c r="L26" s="211"/>
      <c r="M26" s="211"/>
      <c r="N26" s="211"/>
      <c r="O26" s="191">
        <f>O20*0.708</f>
        <v>216.648</v>
      </c>
      <c r="P26" s="190" t="s">
        <v>50</v>
      </c>
      <c r="Q26" s="29"/>
      <c r="R26" s="32"/>
      <c r="S26" s="14">
        <f>O32*3</f>
        <v>835.19999999999993</v>
      </c>
      <c r="T26" s="14">
        <f>G32*3</f>
        <v>752.55</v>
      </c>
      <c r="U26" s="14"/>
      <c r="V26" s="14"/>
      <c r="W26" s="14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33"/>
      <c r="AI26" s="32"/>
      <c r="AJ26" s="244" t="s">
        <v>75</v>
      </c>
      <c r="AK26" s="245"/>
      <c r="AL26" s="246"/>
      <c r="AM26" s="61">
        <f>71/AM25*100</f>
        <v>82.558139534883722</v>
      </c>
      <c r="AN26" s="60" t="s">
        <v>54</v>
      </c>
      <c r="AO26" s="29"/>
      <c r="AP26" s="244" t="s">
        <v>75</v>
      </c>
      <c r="AQ26" s="245"/>
      <c r="AR26" s="246"/>
      <c r="AS26" s="61">
        <f>71/AS25*100</f>
        <v>82.558139534883722</v>
      </c>
      <c r="AT26" s="60" t="s">
        <v>54</v>
      </c>
      <c r="AU26" s="29"/>
      <c r="AV26" s="29"/>
      <c r="AW26" s="29"/>
      <c r="AX26" s="29"/>
      <c r="AY26" s="33"/>
      <c r="AZ26" s="32"/>
      <c r="BD26" s="29"/>
      <c r="BE26" s="29"/>
      <c r="BF26" s="29"/>
      <c r="BJ26" s="29"/>
      <c r="BK26" s="29"/>
      <c r="BL26" s="29"/>
      <c r="BM26" s="29"/>
      <c r="BN26" s="29"/>
      <c r="BO26" s="29"/>
      <c r="BP26" s="33"/>
    </row>
    <row r="27" spans="1:68" ht="15" customHeight="1" thickBot="1" x14ac:dyDescent="0.3">
      <c r="A27" s="10"/>
      <c r="B27" s="239" t="s">
        <v>76</v>
      </c>
      <c r="C27" s="240"/>
      <c r="D27" s="240"/>
      <c r="E27" s="240"/>
      <c r="F27" s="240"/>
      <c r="G27" s="240"/>
      <c r="H27" s="241"/>
      <c r="I27" s="11"/>
      <c r="J27" s="239" t="s">
        <v>77</v>
      </c>
      <c r="K27" s="240"/>
      <c r="L27" s="240"/>
      <c r="M27" s="240"/>
      <c r="N27" s="240"/>
      <c r="O27" s="240"/>
      <c r="P27" s="241"/>
      <c r="Q27" s="11"/>
      <c r="R27" s="12"/>
      <c r="S27" s="239" t="s">
        <v>76</v>
      </c>
      <c r="T27" s="240"/>
      <c r="U27" s="240"/>
      <c r="V27" s="240"/>
      <c r="W27" s="240"/>
      <c r="X27" s="240"/>
      <c r="Y27" s="241"/>
      <c r="Z27" s="11"/>
      <c r="AA27" s="239" t="s">
        <v>77</v>
      </c>
      <c r="AB27" s="240"/>
      <c r="AC27" s="240"/>
      <c r="AD27" s="240"/>
      <c r="AE27" s="240"/>
      <c r="AF27" s="240"/>
      <c r="AG27" s="241"/>
      <c r="AH27" s="13"/>
      <c r="AI27" s="12"/>
      <c r="AJ27" s="218" t="s">
        <v>60</v>
      </c>
      <c r="AK27" s="219"/>
      <c r="AL27" s="219"/>
      <c r="AM27" s="26">
        <f>AM23/AM25/AM26*10000</f>
        <v>1576.056338028169</v>
      </c>
      <c r="AN27" s="60" t="s">
        <v>61</v>
      </c>
      <c r="AO27" s="11"/>
      <c r="AP27" s="218" t="s">
        <v>60</v>
      </c>
      <c r="AQ27" s="219"/>
      <c r="AR27" s="219"/>
      <c r="AS27" s="26">
        <f>AS23/AS25/AS26*10000</f>
        <v>2450.7042253521126</v>
      </c>
      <c r="AT27" s="60" t="s">
        <v>61</v>
      </c>
      <c r="AU27" s="11"/>
      <c r="AV27" s="11"/>
      <c r="AW27" s="11"/>
      <c r="AX27" s="11"/>
      <c r="AY27" s="13"/>
      <c r="AZ27" s="12"/>
      <c r="BD27" s="28"/>
      <c r="BE27" s="29"/>
      <c r="BF27" s="11"/>
      <c r="BJ27" s="28"/>
      <c r="BK27" s="29"/>
      <c r="BL27" s="11"/>
      <c r="BM27" s="11"/>
      <c r="BN27" s="11"/>
      <c r="BO27" s="11"/>
      <c r="BP27" s="13"/>
    </row>
    <row r="28" spans="1:68" ht="15" customHeight="1" x14ac:dyDescent="0.25">
      <c r="A28" s="10"/>
      <c r="B28" s="216" t="s">
        <v>46</v>
      </c>
      <c r="C28" s="217"/>
      <c r="D28" s="217"/>
      <c r="E28" s="217"/>
      <c r="F28" s="217"/>
      <c r="G28" s="30">
        <v>120</v>
      </c>
      <c r="H28" s="31" t="s">
        <v>47</v>
      </c>
      <c r="I28" s="29"/>
      <c r="J28" s="216" t="s">
        <v>46</v>
      </c>
      <c r="K28" s="217"/>
      <c r="L28" s="217"/>
      <c r="M28" s="217"/>
      <c r="N28" s="217"/>
      <c r="O28" s="30">
        <v>150</v>
      </c>
      <c r="P28" s="31" t="s">
        <v>47</v>
      </c>
      <c r="Q28" s="29"/>
      <c r="R28" s="32"/>
      <c r="S28" s="230" t="s">
        <v>46</v>
      </c>
      <c r="T28" s="231"/>
      <c r="U28" s="231"/>
      <c r="V28" s="231"/>
      <c r="W28" s="232"/>
      <c r="X28" s="30">
        <v>120</v>
      </c>
      <c r="Y28" s="31" t="s">
        <v>47</v>
      </c>
      <c r="Z28" s="29"/>
      <c r="AA28" s="230" t="s">
        <v>46</v>
      </c>
      <c r="AB28" s="231"/>
      <c r="AC28" s="231"/>
      <c r="AD28" s="231"/>
      <c r="AE28" s="232"/>
      <c r="AF28" s="30">
        <v>150</v>
      </c>
      <c r="AG28" s="31" t="s">
        <v>47</v>
      </c>
      <c r="AH28" s="33"/>
      <c r="AI28" s="32"/>
      <c r="AJ28" s="218" t="s">
        <v>19</v>
      </c>
      <c r="AK28" s="219"/>
      <c r="AL28" s="219"/>
      <c r="AM28" s="62">
        <f>AM27/SQRT(3)/AM24*1000</f>
        <v>137.86917439675443</v>
      </c>
      <c r="AN28" s="60" t="s">
        <v>50</v>
      </c>
      <c r="AO28" s="29"/>
      <c r="AP28" s="218" t="s">
        <v>19</v>
      </c>
      <c r="AQ28" s="219"/>
      <c r="AR28" s="219"/>
      <c r="AS28" s="62">
        <f>AS27/SQRT(3)/AS24*1000</f>
        <v>214.38102185018113</v>
      </c>
      <c r="AT28" s="60" t="s">
        <v>50</v>
      </c>
      <c r="AU28" s="29"/>
      <c r="AV28" s="29"/>
      <c r="AW28" s="29"/>
      <c r="AX28" s="29"/>
      <c r="AY28" s="33"/>
      <c r="AZ28" s="32"/>
      <c r="BD28" s="63"/>
      <c r="BE28" s="29"/>
      <c r="BF28" s="29"/>
      <c r="BJ28" s="63"/>
      <c r="BK28" s="29"/>
      <c r="BL28" s="29"/>
      <c r="BM28" s="29"/>
      <c r="BN28" s="29"/>
      <c r="BO28" s="29"/>
      <c r="BP28" s="33"/>
    </row>
    <row r="29" spans="1:68" ht="15" customHeight="1" x14ac:dyDescent="0.25">
      <c r="A29" s="10"/>
      <c r="B29" s="218" t="s">
        <v>49</v>
      </c>
      <c r="C29" s="219"/>
      <c r="D29" s="219"/>
      <c r="E29" s="219"/>
      <c r="F29" s="219"/>
      <c r="G29" s="34">
        <v>346</v>
      </c>
      <c r="H29" s="27" t="s">
        <v>50</v>
      </c>
      <c r="I29" s="29"/>
      <c r="J29" s="218" t="s">
        <v>49</v>
      </c>
      <c r="K29" s="219"/>
      <c r="L29" s="219"/>
      <c r="M29" s="219"/>
      <c r="N29" s="219"/>
      <c r="O29" s="34">
        <v>384</v>
      </c>
      <c r="P29" s="27" t="s">
        <v>50</v>
      </c>
      <c r="Q29" s="29"/>
      <c r="R29" s="32"/>
      <c r="S29" s="35" t="s">
        <v>51</v>
      </c>
      <c r="T29" s="36"/>
      <c r="U29" s="36"/>
      <c r="V29" s="36"/>
      <c r="W29" s="37"/>
      <c r="X29" s="26">
        <v>7363</v>
      </c>
      <c r="Y29" s="27" t="s">
        <v>52</v>
      </c>
      <c r="Z29" s="29"/>
      <c r="AA29" s="35" t="s">
        <v>51</v>
      </c>
      <c r="AB29" s="36"/>
      <c r="AC29" s="36"/>
      <c r="AD29" s="36"/>
      <c r="AE29" s="37"/>
      <c r="AF29" s="26">
        <v>6803</v>
      </c>
      <c r="AG29" s="27" t="s">
        <v>52</v>
      </c>
      <c r="AH29" s="33"/>
      <c r="AI29" s="32"/>
      <c r="AJ29" s="218" t="s">
        <v>65</v>
      </c>
      <c r="AK29" s="219"/>
      <c r="AL29" s="219"/>
      <c r="AM29" s="64">
        <f>AM23/AM26*100</f>
        <v>1355.4084507042253</v>
      </c>
      <c r="AN29" s="60" t="s">
        <v>48</v>
      </c>
      <c r="AO29" s="29"/>
      <c r="AP29" s="218" t="s">
        <v>65</v>
      </c>
      <c r="AQ29" s="219"/>
      <c r="AR29" s="219"/>
      <c r="AS29" s="64">
        <f>AS23/AS26*100</f>
        <v>2107.605633802817</v>
      </c>
      <c r="AT29" s="60" t="s">
        <v>48</v>
      </c>
      <c r="AU29" s="29"/>
      <c r="AV29" s="29"/>
      <c r="AW29" s="29"/>
      <c r="AX29" s="29"/>
      <c r="AY29" s="33"/>
      <c r="AZ29" s="32"/>
      <c r="BD29" s="28"/>
      <c r="BE29" s="29"/>
      <c r="BF29" s="29"/>
      <c r="BJ29" s="28"/>
      <c r="BK29" s="29"/>
      <c r="BL29" s="29"/>
      <c r="BM29" s="29"/>
      <c r="BN29" s="29"/>
      <c r="BO29" s="29"/>
      <c r="BP29" s="33"/>
    </row>
    <row r="30" spans="1:68" ht="15" customHeight="1" thickBot="1" x14ac:dyDescent="0.3">
      <c r="A30" s="10"/>
      <c r="B30" s="218" t="s">
        <v>55</v>
      </c>
      <c r="C30" s="219"/>
      <c r="D30" s="219"/>
      <c r="E30" s="219"/>
      <c r="F30" s="219"/>
      <c r="G30" s="38">
        <f>G29/1.2</f>
        <v>288.33333333333337</v>
      </c>
      <c r="H30" s="27" t="s">
        <v>50</v>
      </c>
      <c r="I30" s="29"/>
      <c r="J30" s="218" t="s">
        <v>55</v>
      </c>
      <c r="K30" s="219"/>
      <c r="L30" s="219"/>
      <c r="M30" s="219"/>
      <c r="N30" s="219"/>
      <c r="O30" s="38">
        <f>O29/1.2</f>
        <v>320</v>
      </c>
      <c r="P30" s="27" t="s">
        <v>50</v>
      </c>
      <c r="Q30" s="29"/>
      <c r="R30" s="44"/>
      <c r="S30" s="35" t="s">
        <v>56</v>
      </c>
      <c r="T30" s="36"/>
      <c r="U30" s="36"/>
      <c r="V30" s="36"/>
      <c r="W30" s="37"/>
      <c r="X30" s="40">
        <f>0.197*0.8035</f>
        <v>0.1582895</v>
      </c>
      <c r="Y30" s="27" t="s">
        <v>52</v>
      </c>
      <c r="Z30" s="29"/>
      <c r="AA30" s="35" t="s">
        <v>56</v>
      </c>
      <c r="AB30" s="36"/>
      <c r="AC30" s="36"/>
      <c r="AD30" s="36"/>
      <c r="AE30" s="37"/>
      <c r="AF30" s="40">
        <f>0.161*0.8035</f>
        <v>0.12936349999999999</v>
      </c>
      <c r="AG30" s="27" t="s">
        <v>52</v>
      </c>
      <c r="AH30" s="47"/>
      <c r="AI30" s="32"/>
      <c r="AJ30" s="242" t="s">
        <v>67</v>
      </c>
      <c r="AK30" s="243"/>
      <c r="AL30" s="243"/>
      <c r="AM30" s="65">
        <f>SQRT(AM27^2-AM29^2)</f>
        <v>804.25214478938983</v>
      </c>
      <c r="AN30" s="66" t="s">
        <v>68</v>
      </c>
      <c r="AO30" s="29"/>
      <c r="AP30" s="242" t="s">
        <v>67</v>
      </c>
      <c r="AQ30" s="243"/>
      <c r="AR30" s="243"/>
      <c r="AS30" s="65">
        <f>SQRT(AS27^2-AS29^2)</f>
        <v>1250.5797425679518</v>
      </c>
      <c r="AT30" s="66" t="s">
        <v>68</v>
      </c>
      <c r="AU30" s="29"/>
      <c r="AV30" s="29"/>
      <c r="AW30" s="29"/>
      <c r="AX30" s="29"/>
      <c r="AY30" s="33"/>
      <c r="AZ30" s="32"/>
      <c r="BD30" s="28"/>
      <c r="BE30" s="29"/>
      <c r="BF30" s="29"/>
      <c r="BJ30" s="28"/>
      <c r="BK30" s="29"/>
      <c r="BL30" s="29"/>
      <c r="BM30" s="29"/>
      <c r="BN30" s="29"/>
      <c r="BO30" s="29"/>
      <c r="BP30" s="33"/>
    </row>
    <row r="31" spans="1:68" ht="15" customHeight="1" thickBot="1" x14ac:dyDescent="0.3">
      <c r="A31" s="10"/>
      <c r="B31" s="214" t="s">
        <v>58</v>
      </c>
      <c r="C31" s="215"/>
      <c r="D31" s="215"/>
      <c r="E31" s="215"/>
      <c r="F31" s="215"/>
      <c r="G31" s="41">
        <f>G29*0.87</f>
        <v>301.02</v>
      </c>
      <c r="H31" s="42" t="s">
        <v>50</v>
      </c>
      <c r="I31" s="29"/>
      <c r="J31" s="214" t="s">
        <v>58</v>
      </c>
      <c r="K31" s="215"/>
      <c r="L31" s="215"/>
      <c r="M31" s="215"/>
      <c r="N31" s="215"/>
      <c r="O31" s="41">
        <f>O29*0.87</f>
        <v>334.08</v>
      </c>
      <c r="P31" s="42" t="s">
        <v>50</v>
      </c>
      <c r="Q31" s="43"/>
      <c r="R31" s="44"/>
      <c r="S31" s="227" t="s">
        <v>59</v>
      </c>
      <c r="T31" s="228"/>
      <c r="U31" s="228"/>
      <c r="V31" s="228"/>
      <c r="W31" s="229"/>
      <c r="X31" s="45">
        <v>0.13</v>
      </c>
      <c r="Y31" s="46" t="s">
        <v>52</v>
      </c>
      <c r="Z31" s="29"/>
      <c r="AA31" s="227" t="s">
        <v>59</v>
      </c>
      <c r="AB31" s="228"/>
      <c r="AC31" s="228"/>
      <c r="AD31" s="228"/>
      <c r="AE31" s="229"/>
      <c r="AF31" s="45">
        <v>0.126</v>
      </c>
      <c r="AG31" s="46" t="s">
        <v>52</v>
      </c>
      <c r="AH31" s="47"/>
      <c r="AI31" s="44"/>
      <c r="AJ31" s="29"/>
      <c r="AK31" s="29"/>
      <c r="AL31" s="29"/>
      <c r="AM31" s="29"/>
      <c r="AN31" s="29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7"/>
      <c r="AZ31" s="44"/>
      <c r="BA31" s="29"/>
      <c r="BB31" s="29"/>
      <c r="BC31" s="29"/>
      <c r="BD31" s="29"/>
      <c r="BE31" s="29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7"/>
    </row>
    <row r="32" spans="1:68" ht="15" customHeight="1" thickBot="1" x14ac:dyDescent="0.3">
      <c r="A32" s="10"/>
      <c r="B32" s="214" t="s">
        <v>62</v>
      </c>
      <c r="C32" s="215"/>
      <c r="D32" s="215"/>
      <c r="E32" s="215"/>
      <c r="F32" s="215"/>
      <c r="G32" s="41">
        <f>G31/1.2</f>
        <v>250.85</v>
      </c>
      <c r="H32" s="42" t="s">
        <v>50</v>
      </c>
      <c r="I32" s="29"/>
      <c r="J32" s="214" t="s">
        <v>62</v>
      </c>
      <c r="K32" s="215"/>
      <c r="L32" s="215"/>
      <c r="M32" s="215"/>
      <c r="N32" s="215"/>
      <c r="O32" s="41">
        <f>O31/1.2</f>
        <v>278.39999999999998</v>
      </c>
      <c r="P32" s="42" t="s">
        <v>50</v>
      </c>
      <c r="Q32" s="43"/>
      <c r="R32" s="44"/>
      <c r="S32" s="224"/>
      <c r="T32" s="224"/>
      <c r="U32" s="224"/>
      <c r="V32" s="224"/>
      <c r="W32" s="224"/>
      <c r="X32" s="48"/>
      <c r="Y32" s="29"/>
      <c r="Z32" s="29"/>
      <c r="AA32" s="224"/>
      <c r="AB32" s="224"/>
      <c r="AC32" s="224"/>
      <c r="AD32" s="224"/>
      <c r="AE32" s="224"/>
      <c r="AF32" s="48"/>
      <c r="AG32" s="29"/>
      <c r="AH32" s="47"/>
      <c r="AI32" s="44"/>
      <c r="AJ32" s="43"/>
      <c r="AK32" s="43"/>
      <c r="AL32" s="43"/>
      <c r="AM32" s="43"/>
      <c r="AN32" s="43"/>
      <c r="AO32" s="43"/>
      <c r="AP32" s="239" t="s">
        <v>78</v>
      </c>
      <c r="AQ32" s="240"/>
      <c r="AR32" s="240"/>
      <c r="AS32" s="240"/>
      <c r="AT32" s="241"/>
      <c r="AU32" s="43"/>
      <c r="AV32" s="43"/>
      <c r="AW32" s="43"/>
      <c r="AX32" s="43"/>
      <c r="AY32" s="47"/>
      <c r="AZ32" s="44"/>
      <c r="BA32" s="43"/>
      <c r="BB32" s="43"/>
      <c r="BC32" s="43"/>
      <c r="BD32" s="43"/>
      <c r="BE32" s="43"/>
      <c r="BF32" s="43"/>
      <c r="BG32" s="24"/>
      <c r="BH32" s="24"/>
      <c r="BI32" s="24"/>
      <c r="BJ32" s="24"/>
      <c r="BK32" s="24"/>
      <c r="BL32" s="43"/>
      <c r="BM32" s="43"/>
      <c r="BN32" s="43"/>
      <c r="BO32" s="43"/>
      <c r="BP32" s="47"/>
    </row>
    <row r="33" spans="1:68" ht="15" customHeight="1" x14ac:dyDescent="0.25">
      <c r="A33" s="10"/>
      <c r="B33" s="225" t="s">
        <v>64</v>
      </c>
      <c r="C33" s="226"/>
      <c r="D33" s="226"/>
      <c r="E33" s="226"/>
      <c r="F33" s="226"/>
      <c r="G33" s="51">
        <f>G29*0.76</f>
        <v>262.95999999999998</v>
      </c>
      <c r="H33" s="52" t="s">
        <v>50</v>
      </c>
      <c r="I33" s="29"/>
      <c r="J33" s="225" t="s">
        <v>64</v>
      </c>
      <c r="K33" s="226"/>
      <c r="L33" s="226"/>
      <c r="M33" s="226"/>
      <c r="N33" s="226"/>
      <c r="O33" s="51">
        <f>O29*0.76</f>
        <v>291.84000000000003</v>
      </c>
      <c r="P33" s="52" t="s">
        <v>50</v>
      </c>
      <c r="Q33" s="53"/>
      <c r="R33" s="54"/>
      <c r="S33" s="14"/>
      <c r="T33" s="14"/>
      <c r="U33" s="14"/>
      <c r="V33" s="14"/>
      <c r="W33" s="14"/>
      <c r="X33" s="48"/>
      <c r="Y33" s="29"/>
      <c r="Z33" s="29"/>
      <c r="AA33" s="14"/>
      <c r="AB33" s="14"/>
      <c r="AC33" s="14"/>
      <c r="AD33" s="14"/>
      <c r="AE33" s="14"/>
      <c r="AF33" s="48"/>
      <c r="AG33" s="29"/>
      <c r="AH33" s="55"/>
      <c r="AI33" s="54"/>
      <c r="AJ33" s="43"/>
      <c r="AK33" s="43"/>
      <c r="AL33" s="43"/>
      <c r="AM33" s="247"/>
      <c r="AN33" s="247"/>
      <c r="AO33" s="53"/>
      <c r="AP33" s="248" t="s">
        <v>39</v>
      </c>
      <c r="AQ33" s="249"/>
      <c r="AR33" s="249"/>
      <c r="AS33" s="249"/>
      <c r="AT33" s="250"/>
      <c r="AU33" s="53"/>
      <c r="AV33" s="53"/>
      <c r="AW33" s="53"/>
      <c r="AX33" s="53"/>
      <c r="AY33" s="55"/>
      <c r="AZ33" s="54"/>
      <c r="BA33" s="43"/>
      <c r="BB33" s="43"/>
      <c r="BC33" s="43"/>
      <c r="BD33" s="67"/>
      <c r="BE33" s="67"/>
      <c r="BF33" s="53"/>
      <c r="BL33" s="53"/>
      <c r="BM33" s="53"/>
      <c r="BN33" s="53"/>
      <c r="BO33" s="53"/>
      <c r="BP33" s="55"/>
    </row>
    <row r="34" spans="1:68" ht="15" customHeight="1" thickBot="1" x14ac:dyDescent="0.3">
      <c r="A34" s="10"/>
      <c r="B34" s="212" t="s">
        <v>66</v>
      </c>
      <c r="C34" s="213"/>
      <c r="D34" s="213"/>
      <c r="E34" s="213"/>
      <c r="F34" s="213"/>
      <c r="G34" s="56">
        <f>G33/1.2</f>
        <v>219.13333333333333</v>
      </c>
      <c r="H34" s="57" t="s">
        <v>50</v>
      </c>
      <c r="I34" s="29"/>
      <c r="J34" s="212" t="s">
        <v>66</v>
      </c>
      <c r="K34" s="213"/>
      <c r="L34" s="213"/>
      <c r="M34" s="213"/>
      <c r="N34" s="213"/>
      <c r="O34" s="56">
        <f>O33/1.2</f>
        <v>243.20000000000005</v>
      </c>
      <c r="P34" s="57" t="s">
        <v>50</v>
      </c>
      <c r="Q34" s="53"/>
      <c r="R34" s="54"/>
      <c r="S34" s="14"/>
      <c r="T34" s="14"/>
      <c r="U34" s="14"/>
      <c r="V34" s="14"/>
      <c r="W34" s="14"/>
      <c r="X34" s="48"/>
      <c r="Y34" s="29"/>
      <c r="Z34" s="29"/>
      <c r="AA34" s="14"/>
      <c r="AB34" s="14"/>
      <c r="AC34" s="14"/>
      <c r="AD34" s="14"/>
      <c r="AE34" s="14"/>
      <c r="AF34" s="48"/>
      <c r="AG34" s="29"/>
      <c r="AH34" s="55"/>
      <c r="AI34" s="54"/>
      <c r="AJ34" s="53"/>
      <c r="AK34" s="53"/>
      <c r="AL34" s="53"/>
      <c r="AM34" s="53"/>
      <c r="AN34" s="53"/>
      <c r="AO34" s="53"/>
      <c r="AP34" s="218" t="s">
        <v>41</v>
      </c>
      <c r="AQ34" s="219"/>
      <c r="AR34" s="219"/>
      <c r="AS34" s="26">
        <v>2630</v>
      </c>
      <c r="AT34" s="60" t="s">
        <v>48</v>
      </c>
      <c r="AU34" s="53"/>
      <c r="AV34" s="53"/>
      <c r="AW34" s="53"/>
      <c r="AX34" s="53"/>
      <c r="AY34" s="55"/>
      <c r="AZ34" s="54"/>
      <c r="BA34" s="53"/>
      <c r="BB34" s="53"/>
      <c r="BC34" s="53"/>
      <c r="BD34" s="53"/>
      <c r="BE34" s="53"/>
      <c r="BF34" s="53"/>
      <c r="BJ34" s="28"/>
      <c r="BK34" s="29"/>
      <c r="BL34" s="53"/>
      <c r="BM34" s="53"/>
      <c r="BN34" s="53"/>
      <c r="BO34" s="53"/>
      <c r="BP34" s="55"/>
    </row>
    <row r="35" spans="1:68" ht="15" customHeight="1" thickBot="1" x14ac:dyDescent="0.3">
      <c r="A35" s="10"/>
      <c r="B35" s="210" t="s">
        <v>158</v>
      </c>
      <c r="C35" s="211"/>
      <c r="D35" s="211"/>
      <c r="E35" s="211"/>
      <c r="F35" s="211"/>
      <c r="G35" s="191">
        <f>G29*0.708</f>
        <v>244.96799999999999</v>
      </c>
      <c r="H35" s="190" t="s">
        <v>50</v>
      </c>
      <c r="I35" s="29"/>
      <c r="J35" s="210" t="s">
        <v>158</v>
      </c>
      <c r="K35" s="211"/>
      <c r="L35" s="211"/>
      <c r="M35" s="211"/>
      <c r="N35" s="211"/>
      <c r="O35" s="191">
        <f>O29*0.708</f>
        <v>271.87199999999996</v>
      </c>
      <c r="P35" s="190" t="s">
        <v>50</v>
      </c>
      <c r="Q35" s="29"/>
      <c r="R35" s="32"/>
      <c r="S35" s="14"/>
      <c r="T35" s="14"/>
      <c r="U35" s="14"/>
      <c r="V35" s="14"/>
      <c r="W35" s="14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33"/>
      <c r="AI35" s="32"/>
      <c r="AJ35" s="53"/>
      <c r="AK35" s="53"/>
      <c r="AL35" s="53"/>
      <c r="AM35" s="53"/>
      <c r="AN35" s="53"/>
      <c r="AO35" s="29"/>
      <c r="AP35" s="218" t="s">
        <v>5</v>
      </c>
      <c r="AQ35" s="219"/>
      <c r="AR35" s="219"/>
      <c r="AS35" s="26">
        <v>6600</v>
      </c>
      <c r="AT35" s="60" t="s">
        <v>45</v>
      </c>
      <c r="AU35" s="29"/>
      <c r="AV35" s="29"/>
      <c r="AW35" s="29"/>
      <c r="AX35" s="29"/>
      <c r="AY35" s="33"/>
      <c r="AZ35" s="32"/>
      <c r="BA35" s="53"/>
      <c r="BB35" s="53"/>
      <c r="BC35" s="53"/>
      <c r="BD35" s="53"/>
      <c r="BE35" s="53"/>
      <c r="BF35" s="29"/>
      <c r="BJ35" s="28"/>
      <c r="BK35" s="29"/>
      <c r="BL35" s="29"/>
      <c r="BM35" s="29"/>
      <c r="BN35" s="29"/>
      <c r="BO35" s="29"/>
      <c r="BP35" s="33"/>
    </row>
    <row r="36" spans="1:68" ht="15" customHeight="1" thickBot="1" x14ac:dyDescent="0.3">
      <c r="A36" s="10"/>
      <c r="B36" s="239" t="s">
        <v>79</v>
      </c>
      <c r="C36" s="240"/>
      <c r="D36" s="240"/>
      <c r="E36" s="240"/>
      <c r="F36" s="240"/>
      <c r="G36" s="240"/>
      <c r="H36" s="241"/>
      <c r="I36" s="11"/>
      <c r="J36" s="239" t="s">
        <v>80</v>
      </c>
      <c r="K36" s="240"/>
      <c r="L36" s="240"/>
      <c r="M36" s="240"/>
      <c r="N36" s="240"/>
      <c r="O36" s="240"/>
      <c r="P36" s="241"/>
      <c r="Q36" s="11"/>
      <c r="R36" s="12"/>
      <c r="S36" s="239" t="s">
        <v>79</v>
      </c>
      <c r="T36" s="240"/>
      <c r="U36" s="240"/>
      <c r="V36" s="240"/>
      <c r="W36" s="240"/>
      <c r="X36" s="240"/>
      <c r="Y36" s="241"/>
      <c r="Z36" s="11"/>
      <c r="AA36" s="239" t="s">
        <v>80</v>
      </c>
      <c r="AB36" s="240"/>
      <c r="AC36" s="240"/>
      <c r="AD36" s="240"/>
      <c r="AE36" s="240"/>
      <c r="AF36" s="240"/>
      <c r="AG36" s="241"/>
      <c r="AH36" s="13"/>
      <c r="AI36" s="12"/>
      <c r="AJ36" s="29"/>
      <c r="AK36" s="29"/>
      <c r="AL36" s="29"/>
      <c r="AM36" s="29"/>
      <c r="AN36" s="29"/>
      <c r="AO36" s="11"/>
      <c r="AP36" s="218" t="s">
        <v>74</v>
      </c>
      <c r="AQ36" s="219"/>
      <c r="AR36" s="219"/>
      <c r="AS36" s="61">
        <v>86</v>
      </c>
      <c r="AT36" s="60" t="s">
        <v>54</v>
      </c>
      <c r="AU36" s="11"/>
      <c r="AV36" s="11"/>
      <c r="AW36" s="11"/>
      <c r="AX36" s="11"/>
      <c r="AY36" s="13"/>
      <c r="AZ36" s="12"/>
      <c r="BA36" s="29"/>
      <c r="BB36" s="29"/>
      <c r="BC36" s="29"/>
      <c r="BD36" s="29"/>
      <c r="BE36" s="29"/>
      <c r="BF36" s="11"/>
      <c r="BJ36" s="29"/>
      <c r="BK36" s="29"/>
      <c r="BL36" s="11"/>
      <c r="BM36" s="11"/>
      <c r="BN36" s="11"/>
      <c r="BO36" s="11"/>
      <c r="BP36" s="13"/>
    </row>
    <row r="37" spans="1:68" ht="15" customHeight="1" x14ac:dyDescent="0.25">
      <c r="A37" s="10"/>
      <c r="B37" s="216" t="s">
        <v>46</v>
      </c>
      <c r="C37" s="217"/>
      <c r="D37" s="217"/>
      <c r="E37" s="217"/>
      <c r="F37" s="217"/>
      <c r="G37" s="30">
        <v>185</v>
      </c>
      <c r="H37" s="31" t="s">
        <v>47</v>
      </c>
      <c r="I37" s="29"/>
      <c r="J37" s="216" t="s">
        <v>46</v>
      </c>
      <c r="K37" s="217"/>
      <c r="L37" s="217"/>
      <c r="M37" s="217"/>
      <c r="N37" s="217"/>
      <c r="O37" s="30">
        <v>240</v>
      </c>
      <c r="P37" s="31" t="s">
        <v>47</v>
      </c>
      <c r="Q37" s="29"/>
      <c r="R37" s="32"/>
      <c r="S37" s="230" t="s">
        <v>46</v>
      </c>
      <c r="T37" s="231"/>
      <c r="U37" s="231"/>
      <c r="V37" s="231"/>
      <c r="W37" s="232"/>
      <c r="X37" s="30">
        <v>185</v>
      </c>
      <c r="Y37" s="31" t="s">
        <v>47</v>
      </c>
      <c r="Z37" s="29"/>
      <c r="AA37" s="230" t="s">
        <v>46</v>
      </c>
      <c r="AB37" s="231"/>
      <c r="AC37" s="231"/>
      <c r="AD37" s="231"/>
      <c r="AE37" s="232"/>
      <c r="AF37" s="30">
        <v>240</v>
      </c>
      <c r="AG37" s="31" t="s">
        <v>47</v>
      </c>
      <c r="AH37" s="33"/>
      <c r="AI37" s="32"/>
      <c r="AJ37" s="11"/>
      <c r="AK37" s="11"/>
      <c r="AL37" s="11"/>
      <c r="AM37" s="11"/>
      <c r="AN37" s="11"/>
      <c r="AO37" s="29"/>
      <c r="AP37" s="244" t="s">
        <v>75</v>
      </c>
      <c r="AQ37" s="245"/>
      <c r="AR37" s="246"/>
      <c r="AS37" s="61">
        <f>71/AS36*100</f>
        <v>82.558139534883722</v>
      </c>
      <c r="AT37" s="60" t="s">
        <v>54</v>
      </c>
      <c r="AU37" s="29"/>
      <c r="AV37" s="29"/>
      <c r="AW37" s="29"/>
      <c r="AX37" s="29"/>
      <c r="AY37" s="33"/>
      <c r="AZ37" s="32"/>
      <c r="BA37" s="11"/>
      <c r="BB37" s="11"/>
      <c r="BC37" s="11"/>
      <c r="BD37" s="11"/>
      <c r="BE37" s="11"/>
      <c r="BF37" s="29"/>
      <c r="BJ37" s="29"/>
      <c r="BK37" s="29"/>
      <c r="BL37" s="29"/>
      <c r="BM37" s="29"/>
      <c r="BN37" s="29"/>
      <c r="BO37" s="29"/>
      <c r="BP37" s="33"/>
    </row>
    <row r="38" spans="1:68" ht="15" customHeight="1" x14ac:dyDescent="0.25">
      <c r="A38" s="10"/>
      <c r="B38" s="218" t="s">
        <v>49</v>
      </c>
      <c r="C38" s="219"/>
      <c r="D38" s="219"/>
      <c r="E38" s="219"/>
      <c r="F38" s="219"/>
      <c r="G38" s="34">
        <v>429</v>
      </c>
      <c r="H38" s="27" t="s">
        <v>50</v>
      </c>
      <c r="I38" s="29"/>
      <c r="J38" s="218" t="s">
        <v>49</v>
      </c>
      <c r="K38" s="219"/>
      <c r="L38" s="219"/>
      <c r="M38" s="219"/>
      <c r="N38" s="219"/>
      <c r="O38" s="34">
        <v>500</v>
      </c>
      <c r="P38" s="27" t="s">
        <v>50</v>
      </c>
      <c r="Q38" s="29"/>
      <c r="R38" s="32"/>
      <c r="S38" s="35" t="s">
        <v>51</v>
      </c>
      <c r="T38" s="36"/>
      <c r="U38" s="36"/>
      <c r="V38" s="36"/>
      <c r="W38" s="37"/>
      <c r="X38" s="26">
        <v>6292</v>
      </c>
      <c r="Y38" s="27" t="s">
        <v>52</v>
      </c>
      <c r="Z38" s="29"/>
      <c r="AA38" s="35" t="s">
        <v>51</v>
      </c>
      <c r="AB38" s="36"/>
      <c r="AC38" s="36"/>
      <c r="AD38" s="36"/>
      <c r="AE38" s="37"/>
      <c r="AF38" s="26">
        <v>6253</v>
      </c>
      <c r="AG38" s="27" t="s">
        <v>52</v>
      </c>
      <c r="AH38" s="33"/>
      <c r="AI38" s="32"/>
      <c r="AJ38" s="29"/>
      <c r="AK38" s="29"/>
      <c r="AL38" s="29"/>
      <c r="AM38" s="29"/>
      <c r="AN38" s="29"/>
      <c r="AO38" s="29"/>
      <c r="AP38" s="218" t="s">
        <v>60</v>
      </c>
      <c r="AQ38" s="219"/>
      <c r="AR38" s="219"/>
      <c r="AS38" s="26">
        <f>AS34/AS36/AS37*10000</f>
        <v>3704.2253521126763</v>
      </c>
      <c r="AT38" s="60" t="s">
        <v>61</v>
      </c>
      <c r="AU38" s="29"/>
      <c r="AV38" s="29"/>
      <c r="AW38" s="29"/>
      <c r="AX38" s="29"/>
      <c r="AY38" s="33"/>
      <c r="AZ38" s="32"/>
      <c r="BA38" s="29"/>
      <c r="BB38" s="29"/>
      <c r="BC38" s="29"/>
      <c r="BD38" s="29"/>
      <c r="BE38" s="29"/>
      <c r="BF38" s="29"/>
      <c r="BJ38" s="28"/>
      <c r="BK38" s="29"/>
      <c r="BL38" s="29"/>
      <c r="BM38" s="29"/>
      <c r="BN38" s="29"/>
      <c r="BO38" s="29"/>
      <c r="BP38" s="33"/>
    </row>
    <row r="39" spans="1:68" ht="15" customHeight="1" x14ac:dyDescent="0.25">
      <c r="A39" s="10"/>
      <c r="B39" s="218" t="s">
        <v>55</v>
      </c>
      <c r="C39" s="219"/>
      <c r="D39" s="219"/>
      <c r="E39" s="219"/>
      <c r="F39" s="219"/>
      <c r="G39" s="38">
        <f>G38/1.2</f>
        <v>357.5</v>
      </c>
      <c r="H39" s="27" t="s">
        <v>50</v>
      </c>
      <c r="I39" s="29"/>
      <c r="J39" s="218" t="s">
        <v>55</v>
      </c>
      <c r="K39" s="219"/>
      <c r="L39" s="219"/>
      <c r="M39" s="219"/>
      <c r="N39" s="219"/>
      <c r="O39" s="38">
        <f>O38/1.2</f>
        <v>416.66666666666669</v>
      </c>
      <c r="P39" s="27" t="s">
        <v>50</v>
      </c>
      <c r="Q39" s="29"/>
      <c r="R39" s="44"/>
      <c r="S39" s="35" t="s">
        <v>56</v>
      </c>
      <c r="T39" s="36"/>
      <c r="U39" s="36"/>
      <c r="V39" s="36"/>
      <c r="W39" s="37"/>
      <c r="X39" s="40">
        <f>0.129*0.8035</f>
        <v>0.10365150000000001</v>
      </c>
      <c r="Y39" s="27" t="s">
        <v>52</v>
      </c>
      <c r="Z39" s="29"/>
      <c r="AA39" s="35" t="s">
        <v>56</v>
      </c>
      <c r="AB39" s="36"/>
      <c r="AC39" s="36"/>
      <c r="AD39" s="36"/>
      <c r="AE39" s="37"/>
      <c r="AF39" s="40">
        <f>0.1*0.8035</f>
        <v>8.0350000000000005E-2</v>
      </c>
      <c r="AG39" s="27" t="s">
        <v>52</v>
      </c>
      <c r="AH39" s="47"/>
      <c r="AI39" s="32"/>
      <c r="AJ39" s="29"/>
      <c r="AK39" s="29"/>
      <c r="AL39" s="29"/>
      <c r="AM39" s="29"/>
      <c r="AN39" s="29"/>
      <c r="AO39" s="29"/>
      <c r="AP39" s="218" t="s">
        <v>19</v>
      </c>
      <c r="AQ39" s="219"/>
      <c r="AR39" s="219"/>
      <c r="AS39" s="62">
        <f>AS38/SQRT(3)/AS35*1000</f>
        <v>324.03568245171061</v>
      </c>
      <c r="AT39" s="60" t="s">
        <v>50</v>
      </c>
      <c r="AU39" s="29"/>
      <c r="AV39" s="29"/>
      <c r="AW39" s="29"/>
      <c r="AX39" s="29"/>
      <c r="AY39" s="33"/>
      <c r="AZ39" s="32"/>
      <c r="BA39" s="29"/>
      <c r="BB39" s="29"/>
      <c r="BC39" s="29"/>
      <c r="BD39" s="29"/>
      <c r="BE39" s="29"/>
      <c r="BF39" s="29"/>
      <c r="BJ39" s="63"/>
      <c r="BK39" s="29"/>
      <c r="BL39" s="29"/>
      <c r="BM39" s="29"/>
      <c r="BN39" s="29"/>
      <c r="BO39" s="29"/>
      <c r="BP39" s="33"/>
    </row>
    <row r="40" spans="1:68" ht="15" customHeight="1" thickBot="1" x14ac:dyDescent="0.3">
      <c r="A40" s="10"/>
      <c r="B40" s="214" t="s">
        <v>58</v>
      </c>
      <c r="C40" s="215"/>
      <c r="D40" s="215"/>
      <c r="E40" s="215"/>
      <c r="F40" s="215"/>
      <c r="G40" s="41">
        <f>G38*0.87</f>
        <v>373.23</v>
      </c>
      <c r="H40" s="42" t="s">
        <v>50</v>
      </c>
      <c r="I40" s="29"/>
      <c r="J40" s="214" t="s">
        <v>58</v>
      </c>
      <c r="K40" s="215"/>
      <c r="L40" s="215"/>
      <c r="M40" s="215"/>
      <c r="N40" s="215"/>
      <c r="O40" s="41">
        <f>O38*0.87</f>
        <v>435</v>
      </c>
      <c r="P40" s="42" t="s">
        <v>50</v>
      </c>
      <c r="Q40" s="43"/>
      <c r="R40" s="44"/>
      <c r="S40" s="227" t="s">
        <v>59</v>
      </c>
      <c r="T40" s="228"/>
      <c r="U40" s="228"/>
      <c r="V40" s="228"/>
      <c r="W40" s="229"/>
      <c r="X40" s="45">
        <v>0.122</v>
      </c>
      <c r="Y40" s="46" t="s">
        <v>52</v>
      </c>
      <c r="Z40" s="29"/>
      <c r="AA40" s="227" t="s">
        <v>59</v>
      </c>
      <c r="AB40" s="228"/>
      <c r="AC40" s="228"/>
      <c r="AD40" s="228"/>
      <c r="AE40" s="229"/>
      <c r="AF40" s="45">
        <v>0.12</v>
      </c>
      <c r="AG40" s="46" t="s">
        <v>52</v>
      </c>
      <c r="AH40" s="47"/>
      <c r="AI40" s="44"/>
      <c r="AJ40" s="29"/>
      <c r="AK40" s="29"/>
      <c r="AL40" s="29"/>
      <c r="AM40" s="29"/>
      <c r="AN40" s="29"/>
      <c r="AO40" s="43"/>
      <c r="AP40" s="218" t="s">
        <v>65</v>
      </c>
      <c r="AQ40" s="219"/>
      <c r="AR40" s="219"/>
      <c r="AS40" s="64">
        <f>AS34/AS37*100</f>
        <v>3185.6338028169012</v>
      </c>
      <c r="AT40" s="60" t="s">
        <v>48</v>
      </c>
      <c r="AU40" s="43"/>
      <c r="AV40" s="43"/>
      <c r="AW40" s="43"/>
      <c r="AX40" s="43"/>
      <c r="AY40" s="47"/>
      <c r="AZ40" s="44"/>
      <c r="BA40" s="29"/>
      <c r="BB40" s="29"/>
      <c r="BC40" s="29"/>
      <c r="BD40" s="29"/>
      <c r="BE40" s="29"/>
      <c r="BF40" s="43"/>
      <c r="BJ40" s="28"/>
      <c r="BK40" s="29"/>
      <c r="BL40" s="43"/>
      <c r="BM40" s="43"/>
      <c r="BN40" s="43"/>
      <c r="BO40" s="43"/>
      <c r="BP40" s="47"/>
    </row>
    <row r="41" spans="1:68" ht="15" customHeight="1" thickBot="1" x14ac:dyDescent="0.3">
      <c r="A41" s="10"/>
      <c r="B41" s="214" t="s">
        <v>62</v>
      </c>
      <c r="C41" s="215"/>
      <c r="D41" s="215"/>
      <c r="E41" s="215"/>
      <c r="F41" s="215"/>
      <c r="G41" s="41">
        <f>G40/1.2</f>
        <v>311.02500000000003</v>
      </c>
      <c r="H41" s="42" t="s">
        <v>50</v>
      </c>
      <c r="I41" s="29"/>
      <c r="J41" s="214" t="s">
        <v>62</v>
      </c>
      <c r="K41" s="215"/>
      <c r="L41" s="215"/>
      <c r="M41" s="215"/>
      <c r="N41" s="215"/>
      <c r="O41" s="41">
        <f>O40/1.2</f>
        <v>362.5</v>
      </c>
      <c r="P41" s="42" t="s">
        <v>50</v>
      </c>
      <c r="Q41" s="43"/>
      <c r="R41" s="44"/>
      <c r="S41" s="224"/>
      <c r="T41" s="224"/>
      <c r="U41" s="224"/>
      <c r="V41" s="224"/>
      <c r="W41" s="224"/>
      <c r="X41" s="48"/>
      <c r="Y41" s="29"/>
      <c r="Z41" s="29"/>
      <c r="AA41" s="224"/>
      <c r="AB41" s="224"/>
      <c r="AC41" s="224"/>
      <c r="AD41" s="224"/>
      <c r="AE41" s="224"/>
      <c r="AF41" s="48"/>
      <c r="AG41" s="29"/>
      <c r="AH41" s="47"/>
      <c r="AI41" s="44"/>
      <c r="AJ41" s="43"/>
      <c r="AK41" s="43"/>
      <c r="AL41" s="43"/>
      <c r="AM41" s="43"/>
      <c r="AN41" s="43"/>
      <c r="AO41" s="43"/>
      <c r="AP41" s="242" t="s">
        <v>67</v>
      </c>
      <c r="AQ41" s="243"/>
      <c r="AR41" s="243"/>
      <c r="AS41" s="65">
        <f>SQRT(AS38^2-AS40^2)</f>
        <v>1890.2440936515604</v>
      </c>
      <c r="AT41" s="66" t="s">
        <v>68</v>
      </c>
      <c r="AU41" s="43"/>
      <c r="AV41" s="43"/>
      <c r="AW41" s="43"/>
      <c r="AX41" s="43"/>
      <c r="AY41" s="47"/>
      <c r="AZ41" s="44"/>
      <c r="BA41" s="43"/>
      <c r="BB41" s="43"/>
      <c r="BC41" s="43"/>
      <c r="BD41" s="43"/>
      <c r="BE41" s="43"/>
      <c r="BF41" s="43"/>
      <c r="BJ41" s="28"/>
      <c r="BK41" s="29"/>
      <c r="BL41" s="43"/>
      <c r="BM41" s="43"/>
      <c r="BN41" s="43"/>
      <c r="BO41" s="43"/>
      <c r="BP41" s="47"/>
    </row>
    <row r="42" spans="1:68" ht="15" customHeight="1" thickBot="1" x14ac:dyDescent="0.3">
      <c r="A42" s="10"/>
      <c r="B42" s="225" t="s">
        <v>64</v>
      </c>
      <c r="C42" s="226"/>
      <c r="D42" s="226"/>
      <c r="E42" s="226"/>
      <c r="F42" s="226"/>
      <c r="G42" s="51">
        <f>G38*0.76</f>
        <v>326.04000000000002</v>
      </c>
      <c r="H42" s="52" t="s">
        <v>50</v>
      </c>
      <c r="I42" s="29"/>
      <c r="J42" s="225" t="s">
        <v>64</v>
      </c>
      <c r="K42" s="226"/>
      <c r="L42" s="226"/>
      <c r="M42" s="226"/>
      <c r="N42" s="226"/>
      <c r="O42" s="51">
        <f>O38*0.76</f>
        <v>380</v>
      </c>
      <c r="P42" s="52" t="s">
        <v>50</v>
      </c>
      <c r="Q42" s="53"/>
      <c r="R42" s="54"/>
      <c r="S42" s="14"/>
      <c r="T42" s="14"/>
      <c r="U42" s="14"/>
      <c r="V42" s="14"/>
      <c r="W42" s="14"/>
      <c r="X42" s="48"/>
      <c r="Y42" s="29"/>
      <c r="Z42" s="29"/>
      <c r="AA42" s="14"/>
      <c r="AB42" s="14"/>
      <c r="AC42" s="14"/>
      <c r="AD42" s="14"/>
      <c r="AE42" s="14"/>
      <c r="AF42" s="48"/>
      <c r="AG42" s="29"/>
      <c r="AH42" s="55"/>
      <c r="AI42" s="54"/>
      <c r="AJ42" s="43"/>
      <c r="AK42" s="43"/>
      <c r="AL42" s="43"/>
      <c r="AM42" s="43"/>
      <c r="AN42" s="4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5"/>
      <c r="AZ42" s="54"/>
      <c r="BA42" s="43"/>
      <c r="BB42" s="43"/>
      <c r="BC42" s="43"/>
      <c r="BD42" s="43"/>
      <c r="BE42" s="4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5"/>
    </row>
    <row r="43" spans="1:68" ht="15" customHeight="1" thickBot="1" x14ac:dyDescent="0.3">
      <c r="A43" s="10"/>
      <c r="B43" s="212" t="s">
        <v>66</v>
      </c>
      <c r="C43" s="213"/>
      <c r="D43" s="213"/>
      <c r="E43" s="213"/>
      <c r="F43" s="213"/>
      <c r="G43" s="56">
        <f>G42/1.2</f>
        <v>271.70000000000005</v>
      </c>
      <c r="H43" s="57" t="s">
        <v>50</v>
      </c>
      <c r="I43" s="29"/>
      <c r="J43" s="212" t="s">
        <v>66</v>
      </c>
      <c r="K43" s="213"/>
      <c r="L43" s="213"/>
      <c r="M43" s="213"/>
      <c r="N43" s="213"/>
      <c r="O43" s="56">
        <f>O42/1.2</f>
        <v>316.66666666666669</v>
      </c>
      <c r="P43" s="57" t="s">
        <v>50</v>
      </c>
      <c r="Q43" s="53"/>
      <c r="R43" s="54"/>
      <c r="S43" s="14"/>
      <c r="T43" s="14"/>
      <c r="U43" s="14"/>
      <c r="V43" s="14"/>
      <c r="W43" s="14"/>
      <c r="X43" s="48"/>
      <c r="Y43" s="29"/>
      <c r="Z43" s="29"/>
      <c r="AA43" s="14"/>
      <c r="AB43" s="14"/>
      <c r="AC43" s="14"/>
      <c r="AD43" s="14"/>
      <c r="AE43" s="14"/>
      <c r="AF43" s="48"/>
      <c r="AG43" s="29"/>
      <c r="AH43" s="55"/>
      <c r="AI43" s="54"/>
      <c r="AJ43" s="233" t="s">
        <v>81</v>
      </c>
      <c r="AK43" s="234"/>
      <c r="AL43" s="234"/>
      <c r="AM43" s="234"/>
      <c r="AN43" s="234"/>
      <c r="AO43" s="234"/>
      <c r="AP43" s="234"/>
      <c r="AQ43" s="234"/>
      <c r="AR43" s="234"/>
      <c r="AS43" s="234"/>
      <c r="AT43" s="234"/>
      <c r="AU43" s="234"/>
      <c r="AV43" s="234"/>
      <c r="AW43" s="234"/>
      <c r="AX43" s="235"/>
      <c r="AY43" s="55"/>
      <c r="AZ43" s="54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55"/>
    </row>
    <row r="44" spans="1:68" ht="15" customHeight="1" thickBot="1" x14ac:dyDescent="0.3">
      <c r="A44" s="10"/>
      <c r="B44" s="210" t="s">
        <v>158</v>
      </c>
      <c r="C44" s="211"/>
      <c r="D44" s="211"/>
      <c r="E44" s="211"/>
      <c r="F44" s="211"/>
      <c r="G44" s="191">
        <f>G38*0.708</f>
        <v>303.73199999999997</v>
      </c>
      <c r="H44" s="190" t="s">
        <v>50</v>
      </c>
      <c r="I44" s="29"/>
      <c r="J44" s="210" t="s">
        <v>158</v>
      </c>
      <c r="K44" s="211"/>
      <c r="L44" s="211"/>
      <c r="M44" s="211"/>
      <c r="N44" s="211"/>
      <c r="O44" s="191">
        <f>O38*0.708</f>
        <v>354</v>
      </c>
      <c r="P44" s="190" t="s">
        <v>50</v>
      </c>
      <c r="Q44" s="29"/>
      <c r="R44" s="32"/>
      <c r="S44" s="14"/>
      <c r="T44" s="14"/>
      <c r="U44" s="14"/>
      <c r="V44" s="14"/>
      <c r="W44" s="14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33"/>
      <c r="AI44" s="32"/>
      <c r="AJ44" s="236"/>
      <c r="AK44" s="237"/>
      <c r="AL44" s="237"/>
      <c r="AM44" s="237"/>
      <c r="AN44" s="237"/>
      <c r="AO44" s="237"/>
      <c r="AP44" s="237"/>
      <c r="AQ44" s="237"/>
      <c r="AR44" s="237"/>
      <c r="AS44" s="237"/>
      <c r="AT44" s="237"/>
      <c r="AU44" s="237"/>
      <c r="AV44" s="237"/>
      <c r="AW44" s="237"/>
      <c r="AX44" s="238"/>
      <c r="AY44" s="33"/>
      <c r="AZ44" s="32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33"/>
    </row>
    <row r="45" spans="1:68" ht="15" customHeight="1" thickBot="1" x14ac:dyDescent="0.3">
      <c r="A45" s="10"/>
      <c r="B45" s="239" t="s">
        <v>82</v>
      </c>
      <c r="C45" s="240"/>
      <c r="D45" s="240"/>
      <c r="E45" s="240"/>
      <c r="F45" s="240"/>
      <c r="G45" s="240"/>
      <c r="H45" s="241"/>
      <c r="I45" s="11"/>
      <c r="J45" s="239" t="s">
        <v>83</v>
      </c>
      <c r="K45" s="240"/>
      <c r="L45" s="240"/>
      <c r="M45" s="240"/>
      <c r="N45" s="240"/>
      <c r="O45" s="240"/>
      <c r="P45" s="241"/>
      <c r="Q45" s="11"/>
      <c r="R45" s="12"/>
      <c r="S45" s="239" t="s">
        <v>82</v>
      </c>
      <c r="T45" s="240"/>
      <c r="U45" s="240"/>
      <c r="V45" s="240"/>
      <c r="W45" s="240"/>
      <c r="X45" s="240"/>
      <c r="Y45" s="241"/>
      <c r="Z45" s="11"/>
      <c r="AA45" s="239" t="s">
        <v>83</v>
      </c>
      <c r="AB45" s="240"/>
      <c r="AC45" s="240"/>
      <c r="AD45" s="240"/>
      <c r="AE45" s="240"/>
      <c r="AF45" s="240"/>
      <c r="AG45" s="241"/>
      <c r="AH45" s="13"/>
      <c r="AI45" s="12"/>
      <c r="AJ45" s="29"/>
      <c r="AK45" s="29"/>
      <c r="AL45" s="29"/>
      <c r="AM45" s="29"/>
      <c r="AN45" s="29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3"/>
      <c r="AZ45" s="12"/>
      <c r="BA45" s="29"/>
      <c r="BB45" s="29"/>
      <c r="BC45" s="29"/>
      <c r="BD45" s="29"/>
      <c r="BE45" s="29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3"/>
    </row>
    <row r="46" spans="1:68" ht="15" customHeight="1" x14ac:dyDescent="0.25">
      <c r="A46" s="10"/>
      <c r="B46" s="216" t="s">
        <v>46</v>
      </c>
      <c r="C46" s="217"/>
      <c r="D46" s="217"/>
      <c r="E46" s="217"/>
      <c r="F46" s="217"/>
      <c r="G46" s="30">
        <v>300</v>
      </c>
      <c r="H46" s="31" t="s">
        <v>47</v>
      </c>
      <c r="I46" s="29"/>
      <c r="J46" s="216" t="s">
        <v>46</v>
      </c>
      <c r="K46" s="217"/>
      <c r="L46" s="217"/>
      <c r="M46" s="217"/>
      <c r="N46" s="217"/>
      <c r="O46" s="30">
        <v>400</v>
      </c>
      <c r="P46" s="31" t="s">
        <v>47</v>
      </c>
      <c r="Q46" s="29"/>
      <c r="R46" s="32"/>
      <c r="S46" s="230" t="s">
        <v>46</v>
      </c>
      <c r="T46" s="231"/>
      <c r="U46" s="231"/>
      <c r="V46" s="231"/>
      <c r="W46" s="232"/>
      <c r="X46" s="30">
        <v>300</v>
      </c>
      <c r="Y46" s="31" t="s">
        <v>47</v>
      </c>
      <c r="Z46" s="29"/>
      <c r="AA46" s="230" t="s">
        <v>46</v>
      </c>
      <c r="AB46" s="231"/>
      <c r="AC46" s="231"/>
      <c r="AD46" s="231"/>
      <c r="AE46" s="232"/>
      <c r="AF46" s="30">
        <v>400</v>
      </c>
      <c r="AG46" s="31" t="s">
        <v>47</v>
      </c>
      <c r="AH46" s="33"/>
      <c r="AI46" s="32"/>
      <c r="AJ46" s="11"/>
      <c r="AK46" s="11"/>
      <c r="AL46" s="11"/>
      <c r="AM46" s="11"/>
      <c r="AN46" s="11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33"/>
      <c r="AZ46" s="32"/>
      <c r="BA46" s="11"/>
      <c r="BB46" s="11"/>
      <c r="BC46" s="11"/>
      <c r="BD46" s="11"/>
      <c r="BE46" s="11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33"/>
    </row>
    <row r="47" spans="1:68" ht="15" customHeight="1" x14ac:dyDescent="0.25">
      <c r="A47" s="10"/>
      <c r="B47" s="218" t="s">
        <v>49</v>
      </c>
      <c r="C47" s="219"/>
      <c r="D47" s="219"/>
      <c r="E47" s="219"/>
      <c r="F47" s="219"/>
      <c r="G47" s="34">
        <v>545</v>
      </c>
      <c r="H47" s="27" t="s">
        <v>50</v>
      </c>
      <c r="I47" s="29"/>
      <c r="J47" s="218" t="s">
        <v>49</v>
      </c>
      <c r="K47" s="219"/>
      <c r="L47" s="219"/>
      <c r="M47" s="219"/>
      <c r="N47" s="219"/>
      <c r="O47" s="34">
        <v>600</v>
      </c>
      <c r="P47" s="27" t="s">
        <v>50</v>
      </c>
      <c r="Q47" s="29"/>
      <c r="R47" s="32"/>
      <c r="S47" s="35" t="s">
        <v>51</v>
      </c>
      <c r="T47" s="36"/>
      <c r="U47" s="36"/>
      <c r="V47" s="36"/>
      <c r="W47" s="37"/>
      <c r="X47" s="26">
        <v>5746</v>
      </c>
      <c r="Y47" s="27" t="s">
        <v>52</v>
      </c>
      <c r="Z47" s="29"/>
      <c r="AA47" s="35" t="s">
        <v>51</v>
      </c>
      <c r="AB47" s="36"/>
      <c r="AC47" s="36"/>
      <c r="AD47" s="36"/>
      <c r="AE47" s="37"/>
      <c r="AF47" s="26">
        <v>5105</v>
      </c>
      <c r="AG47" s="27" t="s">
        <v>52</v>
      </c>
      <c r="AH47" s="33"/>
      <c r="AI47" s="32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33"/>
      <c r="AZ47" s="32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33"/>
    </row>
    <row r="48" spans="1:68" ht="15" customHeight="1" x14ac:dyDescent="0.25">
      <c r="A48" s="10"/>
      <c r="B48" s="218" t="s">
        <v>55</v>
      </c>
      <c r="C48" s="219"/>
      <c r="D48" s="219"/>
      <c r="E48" s="219"/>
      <c r="F48" s="219"/>
      <c r="G48" s="38">
        <f>G47/1.2</f>
        <v>454.16666666666669</v>
      </c>
      <c r="H48" s="27" t="s">
        <v>50</v>
      </c>
      <c r="I48" s="29"/>
      <c r="J48" s="218" t="s">
        <v>55</v>
      </c>
      <c r="K48" s="219"/>
      <c r="L48" s="219"/>
      <c r="M48" s="219"/>
      <c r="N48" s="219"/>
      <c r="O48" s="38">
        <f>O47/1.2</f>
        <v>500</v>
      </c>
      <c r="P48" s="27" t="s">
        <v>50</v>
      </c>
      <c r="Q48" s="29"/>
      <c r="R48" s="44"/>
      <c r="S48" s="35" t="s">
        <v>56</v>
      </c>
      <c r="T48" s="36"/>
      <c r="U48" s="36"/>
      <c r="V48" s="36"/>
      <c r="W48" s="37"/>
      <c r="X48" s="40">
        <f>0.081*0.8035</f>
        <v>6.5083500000000002E-2</v>
      </c>
      <c r="Y48" s="27" t="s">
        <v>52</v>
      </c>
      <c r="Z48" s="29"/>
      <c r="AA48" s="35" t="s">
        <v>56</v>
      </c>
      <c r="AB48" s="36"/>
      <c r="AC48" s="36"/>
      <c r="AD48" s="36"/>
      <c r="AE48" s="37"/>
      <c r="AF48" s="40">
        <f>0.066*0.8035</f>
        <v>5.3031000000000002E-2</v>
      </c>
      <c r="AG48" s="27" t="s">
        <v>52</v>
      </c>
      <c r="AH48" s="47"/>
      <c r="AI48" s="32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33"/>
      <c r="AZ48" s="32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33"/>
    </row>
    <row r="49" spans="1:68" ht="15" customHeight="1" thickBot="1" x14ac:dyDescent="0.3">
      <c r="A49" s="10"/>
      <c r="B49" s="214" t="s">
        <v>58</v>
      </c>
      <c r="C49" s="215"/>
      <c r="D49" s="215"/>
      <c r="E49" s="215"/>
      <c r="F49" s="215"/>
      <c r="G49" s="41">
        <f>G47*0.87</f>
        <v>474.15</v>
      </c>
      <c r="H49" s="42" t="s">
        <v>50</v>
      </c>
      <c r="I49" s="29"/>
      <c r="J49" s="214" t="s">
        <v>58</v>
      </c>
      <c r="K49" s="215"/>
      <c r="L49" s="215"/>
      <c r="M49" s="215"/>
      <c r="N49" s="215"/>
      <c r="O49" s="41">
        <f>O47*0.87</f>
        <v>522</v>
      </c>
      <c r="P49" s="42" t="s">
        <v>50</v>
      </c>
      <c r="Q49" s="43"/>
      <c r="R49" s="44"/>
      <c r="S49" s="227" t="s">
        <v>59</v>
      </c>
      <c r="T49" s="228"/>
      <c r="U49" s="228"/>
      <c r="V49" s="228"/>
      <c r="W49" s="229"/>
      <c r="X49" s="45">
        <v>0.11700000000000001</v>
      </c>
      <c r="Y49" s="46" t="s">
        <v>52</v>
      </c>
      <c r="Z49" s="29"/>
      <c r="AA49" s="227" t="s">
        <v>59</v>
      </c>
      <c r="AB49" s="228"/>
      <c r="AC49" s="228"/>
      <c r="AD49" s="228"/>
      <c r="AE49" s="229"/>
      <c r="AF49" s="45">
        <v>0.112</v>
      </c>
      <c r="AG49" s="46" t="s">
        <v>52</v>
      </c>
      <c r="AH49" s="47"/>
      <c r="AI49" s="44"/>
      <c r="AJ49" s="29"/>
      <c r="AK49" s="29"/>
      <c r="AL49" s="29"/>
      <c r="AM49" s="29"/>
      <c r="AN49" s="29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7"/>
      <c r="AZ49" s="44"/>
      <c r="BA49" s="29"/>
      <c r="BB49" s="29"/>
      <c r="BC49" s="29"/>
      <c r="BD49" s="29"/>
      <c r="BE49" s="29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7"/>
    </row>
    <row r="50" spans="1:68" ht="15" customHeight="1" x14ac:dyDescent="0.25">
      <c r="A50" s="10"/>
      <c r="B50" s="214" t="s">
        <v>62</v>
      </c>
      <c r="C50" s="215"/>
      <c r="D50" s="215"/>
      <c r="E50" s="215"/>
      <c r="F50" s="215"/>
      <c r="G50" s="41">
        <f>G49/1.2</f>
        <v>395.125</v>
      </c>
      <c r="H50" s="42" t="s">
        <v>50</v>
      </c>
      <c r="I50" s="29"/>
      <c r="J50" s="214" t="s">
        <v>62</v>
      </c>
      <c r="K50" s="215"/>
      <c r="L50" s="215"/>
      <c r="M50" s="215"/>
      <c r="N50" s="215"/>
      <c r="O50" s="41">
        <f>O49/1.2</f>
        <v>435</v>
      </c>
      <c r="P50" s="42" t="s">
        <v>50</v>
      </c>
      <c r="Q50" s="43"/>
      <c r="R50" s="44"/>
      <c r="S50" s="224"/>
      <c r="T50" s="224"/>
      <c r="U50" s="224"/>
      <c r="V50" s="224"/>
      <c r="W50" s="224"/>
      <c r="X50" s="48"/>
      <c r="Y50" s="29"/>
      <c r="Z50" s="29"/>
      <c r="AA50" s="224"/>
      <c r="AB50" s="224"/>
      <c r="AC50" s="224"/>
      <c r="AD50" s="224"/>
      <c r="AE50" s="224"/>
      <c r="AF50" s="48"/>
      <c r="AG50" s="29"/>
      <c r="AH50" s="47"/>
      <c r="AI50" s="44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7"/>
      <c r="AZ50" s="44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7"/>
    </row>
    <row r="51" spans="1:68" ht="15" customHeight="1" x14ac:dyDescent="0.25">
      <c r="A51" s="10"/>
      <c r="B51" s="225" t="s">
        <v>64</v>
      </c>
      <c r="C51" s="226"/>
      <c r="D51" s="226"/>
      <c r="E51" s="226"/>
      <c r="F51" s="226"/>
      <c r="G51" s="51">
        <f>G47*0.76</f>
        <v>414.2</v>
      </c>
      <c r="H51" s="52" t="s">
        <v>50</v>
      </c>
      <c r="I51" s="29"/>
      <c r="J51" s="225" t="s">
        <v>64</v>
      </c>
      <c r="K51" s="226"/>
      <c r="L51" s="226"/>
      <c r="M51" s="226"/>
      <c r="N51" s="226"/>
      <c r="O51" s="51">
        <f>O47*0.76</f>
        <v>456</v>
      </c>
      <c r="P51" s="52" t="s">
        <v>50</v>
      </c>
      <c r="Q51" s="53"/>
      <c r="R51" s="54"/>
      <c r="S51" s="14"/>
      <c r="T51" s="14"/>
      <c r="U51" s="14"/>
      <c r="V51" s="14"/>
      <c r="W51" s="14"/>
      <c r="X51" s="48"/>
      <c r="Y51" s="29"/>
      <c r="Z51" s="29"/>
      <c r="AA51" s="14"/>
      <c r="AB51" s="14"/>
      <c r="AC51" s="14"/>
      <c r="AD51" s="14"/>
      <c r="AE51" s="14"/>
      <c r="AF51" s="48"/>
      <c r="AG51" s="29"/>
      <c r="AH51" s="55"/>
      <c r="AI51" s="54"/>
      <c r="AJ51" s="43"/>
      <c r="AK51" s="43"/>
      <c r="AL51" s="43"/>
      <c r="AM51" s="43"/>
      <c r="AN51" s="4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5"/>
      <c r="AZ51" s="54"/>
      <c r="BA51" s="43"/>
      <c r="BB51" s="43"/>
      <c r="BC51" s="43"/>
      <c r="BD51" s="43"/>
      <c r="BE51" s="4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5"/>
    </row>
    <row r="52" spans="1:68" ht="15" customHeight="1" thickBot="1" x14ac:dyDescent="0.3">
      <c r="A52" s="68"/>
      <c r="B52" s="212" t="s">
        <v>66</v>
      </c>
      <c r="C52" s="213"/>
      <c r="D52" s="213"/>
      <c r="E52" s="213"/>
      <c r="F52" s="213"/>
      <c r="G52" s="56">
        <f>G51/1.2</f>
        <v>345.16666666666669</v>
      </c>
      <c r="H52" s="57" t="s">
        <v>50</v>
      </c>
      <c r="I52" s="69"/>
      <c r="J52" s="212" t="s">
        <v>66</v>
      </c>
      <c r="K52" s="213"/>
      <c r="L52" s="213"/>
      <c r="M52" s="213"/>
      <c r="N52" s="213"/>
      <c r="O52" s="56">
        <f>O51/1.2</f>
        <v>380</v>
      </c>
      <c r="P52" s="57" t="s">
        <v>50</v>
      </c>
      <c r="Q52" s="70"/>
      <c r="R52" s="54"/>
      <c r="S52" s="14"/>
      <c r="T52" s="14"/>
      <c r="U52" s="14"/>
      <c r="V52" s="14"/>
      <c r="W52" s="14"/>
      <c r="X52" s="48"/>
      <c r="Y52" s="29"/>
      <c r="Z52" s="29"/>
      <c r="AA52" s="14"/>
      <c r="AB52" s="14"/>
      <c r="AC52" s="14"/>
      <c r="AD52" s="14"/>
      <c r="AE52" s="14"/>
      <c r="AF52" s="48"/>
      <c r="AG52" s="29"/>
      <c r="AH52" s="55"/>
      <c r="AI52" s="54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5"/>
      <c r="AZ52" s="54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5"/>
    </row>
    <row r="53" spans="1:68" ht="14.25" customHeight="1" thickBot="1" x14ac:dyDescent="0.3">
      <c r="B53" s="210" t="s">
        <v>158</v>
      </c>
      <c r="C53" s="211"/>
      <c r="D53" s="211"/>
      <c r="E53" s="211"/>
      <c r="F53" s="211"/>
      <c r="G53" s="191">
        <f>G47*0.708</f>
        <v>385.85999999999996</v>
      </c>
      <c r="H53" s="190" t="s">
        <v>50</v>
      </c>
      <c r="J53" s="210" t="s">
        <v>158</v>
      </c>
      <c r="K53" s="211"/>
      <c r="L53" s="211"/>
      <c r="M53" s="211"/>
      <c r="N53" s="211"/>
      <c r="O53" s="191">
        <f>O47*0.708</f>
        <v>424.79999999999995</v>
      </c>
      <c r="P53" s="190" t="s">
        <v>50</v>
      </c>
      <c r="R53" s="72"/>
      <c r="S53" s="73"/>
      <c r="T53" s="73"/>
      <c r="U53" s="73"/>
      <c r="V53" s="73"/>
      <c r="W53" s="73"/>
      <c r="X53" s="73"/>
      <c r="Y53" s="73"/>
      <c r="Z53" s="74"/>
      <c r="AA53" s="74"/>
      <c r="AB53" s="74"/>
      <c r="AC53" s="74"/>
      <c r="AD53" s="74"/>
      <c r="AE53" s="74"/>
      <c r="AF53" s="74"/>
      <c r="AG53" s="74"/>
      <c r="AH53" s="75"/>
      <c r="AI53" s="72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5"/>
      <c r="AZ53" s="72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5"/>
    </row>
    <row r="54" spans="1:68" ht="15" customHeight="1" thickBot="1" x14ac:dyDescent="0.3">
      <c r="AK54" s="15">
        <f t="shared" ref="AK54:AK59" si="0">(3*13.8*AL54*SQRT(3)/1000)*0.92</f>
        <v>53.426962993012602</v>
      </c>
      <c r="AL54" s="15">
        <f t="shared" ref="AL54:AL55" si="1">$AL$57*AM54</f>
        <v>809.86324999999988</v>
      </c>
      <c r="AM54" s="15">
        <f t="shared" ref="AM54:AM56" si="2">-0.00009*AN54^2 - 0.0017*AN54 + 1.134</f>
        <v>1.1232499999999999</v>
      </c>
      <c r="AN54" s="15">
        <v>5</v>
      </c>
    </row>
    <row r="55" spans="1:68" ht="15" customHeight="1" thickBot="1" x14ac:dyDescent="0.3">
      <c r="B55" s="286" t="s">
        <v>138</v>
      </c>
      <c r="C55" s="287"/>
      <c r="D55" s="287"/>
      <c r="E55" s="287"/>
      <c r="F55" s="287"/>
      <c r="G55" s="287"/>
      <c r="H55" s="288"/>
      <c r="J55" s="239" t="s">
        <v>139</v>
      </c>
      <c r="K55" s="240"/>
      <c r="L55" s="240"/>
      <c r="M55" s="240"/>
      <c r="N55" s="240"/>
      <c r="O55" s="240"/>
      <c r="P55" s="241"/>
      <c r="S55" s="286" t="s">
        <v>138</v>
      </c>
      <c r="T55" s="287"/>
      <c r="U55" s="287"/>
      <c r="V55" s="287"/>
      <c r="W55" s="287"/>
      <c r="X55" s="287"/>
      <c r="Y55" s="288"/>
      <c r="AA55" s="239" t="s">
        <v>139</v>
      </c>
      <c r="AB55" s="240"/>
      <c r="AC55" s="240"/>
      <c r="AD55" s="240"/>
      <c r="AE55" s="240"/>
      <c r="AF55" s="240"/>
      <c r="AG55" s="241"/>
      <c r="AK55" s="15">
        <f t="shared" si="0"/>
        <v>52.701602489435089</v>
      </c>
      <c r="AL55" s="15">
        <f t="shared" si="1"/>
        <v>798.86799999999994</v>
      </c>
      <c r="AM55" s="15">
        <f t="shared" si="2"/>
        <v>1.1079999999999999</v>
      </c>
      <c r="AN55" s="15">
        <v>10</v>
      </c>
    </row>
    <row r="56" spans="1:68" ht="15" customHeight="1" x14ac:dyDescent="0.25">
      <c r="B56" s="295" t="s">
        <v>46</v>
      </c>
      <c r="C56" s="296"/>
      <c r="D56" s="296"/>
      <c r="E56" s="296"/>
      <c r="F56" s="296"/>
      <c r="G56" s="134">
        <v>400</v>
      </c>
      <c r="H56" s="135" t="s">
        <v>47</v>
      </c>
      <c r="J56" s="216" t="s">
        <v>46</v>
      </c>
      <c r="K56" s="217"/>
      <c r="L56" s="217"/>
      <c r="M56" s="217"/>
      <c r="N56" s="217"/>
      <c r="O56" s="30">
        <v>630</v>
      </c>
      <c r="P56" s="31" t="s">
        <v>47</v>
      </c>
      <c r="S56" s="289" t="s">
        <v>46</v>
      </c>
      <c r="T56" s="290"/>
      <c r="U56" s="290"/>
      <c r="V56" s="290"/>
      <c r="W56" s="291"/>
      <c r="X56" s="134">
        <v>500</v>
      </c>
      <c r="Y56" s="135" t="s">
        <v>47</v>
      </c>
      <c r="AA56" s="230" t="s">
        <v>46</v>
      </c>
      <c r="AB56" s="231"/>
      <c r="AC56" s="231"/>
      <c r="AD56" s="231"/>
      <c r="AE56" s="232"/>
      <c r="AF56" s="30">
        <v>630</v>
      </c>
      <c r="AG56" s="31" t="s">
        <v>47</v>
      </c>
      <c r="AK56" s="15">
        <f t="shared" si="0"/>
        <v>51.762201181523238</v>
      </c>
      <c r="AL56" s="15">
        <f>$AL$57*AM56</f>
        <v>784.62824999999998</v>
      </c>
      <c r="AM56" s="15">
        <f t="shared" si="2"/>
        <v>1.0882499999999999</v>
      </c>
      <c r="AN56" s="15">
        <v>15</v>
      </c>
    </row>
    <row r="57" spans="1:68" ht="15" customHeight="1" x14ac:dyDescent="0.25">
      <c r="B57" s="297" t="s">
        <v>49</v>
      </c>
      <c r="C57" s="298"/>
      <c r="D57" s="298"/>
      <c r="E57" s="298"/>
      <c r="F57" s="298"/>
      <c r="G57" s="144">
        <v>659</v>
      </c>
      <c r="H57" s="140" t="s">
        <v>50</v>
      </c>
      <c r="J57" s="218" t="s">
        <v>49</v>
      </c>
      <c r="K57" s="219"/>
      <c r="L57" s="219"/>
      <c r="M57" s="219"/>
      <c r="N57" s="219"/>
      <c r="O57" s="34">
        <v>721</v>
      </c>
      <c r="P57" s="27" t="s">
        <v>50</v>
      </c>
      <c r="S57" s="136" t="s">
        <v>51</v>
      </c>
      <c r="T57" s="137"/>
      <c r="U57" s="137"/>
      <c r="V57" s="137"/>
      <c r="W57" s="138"/>
      <c r="X57" s="139">
        <v>4669</v>
      </c>
      <c r="Y57" s="140" t="s">
        <v>52</v>
      </c>
      <c r="AA57" s="103" t="s">
        <v>51</v>
      </c>
      <c r="AB57" s="104"/>
      <c r="AC57" s="104"/>
      <c r="AD57" s="104"/>
      <c r="AE57" s="105"/>
      <c r="AF57" s="26">
        <v>4583</v>
      </c>
      <c r="AG57" s="27" t="s">
        <v>52</v>
      </c>
      <c r="AK57" s="15">
        <f t="shared" si="0"/>
        <v>47.564623185410738</v>
      </c>
      <c r="AL57" s="59">
        <f>O57</f>
        <v>721</v>
      </c>
      <c r="AM57" s="15">
        <f t="shared" ref="AM57:AM60" si="3">-0.00009*AN57^2 - 0.0017*AN57 + 1.134</f>
        <v>1.0019999999999998</v>
      </c>
      <c r="AN57" s="15">
        <v>30</v>
      </c>
    </row>
    <row r="58" spans="1:68" ht="15" customHeight="1" x14ac:dyDescent="0.25">
      <c r="B58" s="297" t="s">
        <v>55</v>
      </c>
      <c r="C58" s="298"/>
      <c r="D58" s="298"/>
      <c r="E58" s="298"/>
      <c r="F58" s="298"/>
      <c r="G58" s="145">
        <f>G57/1.2</f>
        <v>549.16666666666674</v>
      </c>
      <c r="H58" s="140" t="s">
        <v>50</v>
      </c>
      <c r="J58" s="218" t="s">
        <v>55</v>
      </c>
      <c r="K58" s="219"/>
      <c r="L58" s="219"/>
      <c r="M58" s="219"/>
      <c r="N58" s="219"/>
      <c r="O58" s="38">
        <f>O57/1.2</f>
        <v>600.83333333333337</v>
      </c>
      <c r="P58" s="27" t="s">
        <v>50</v>
      </c>
      <c r="S58" s="136" t="s">
        <v>56</v>
      </c>
      <c r="T58" s="137"/>
      <c r="U58" s="137"/>
      <c r="V58" s="137"/>
      <c r="W58" s="138"/>
      <c r="X58" s="141">
        <f>(AF48+AF58)/2</f>
        <v>4.7490500000000005E-2</v>
      </c>
      <c r="Y58" s="140" t="s">
        <v>52</v>
      </c>
      <c r="AA58" s="103" t="s">
        <v>56</v>
      </c>
      <c r="AB58" s="104"/>
      <c r="AC58" s="104"/>
      <c r="AD58" s="104"/>
      <c r="AE58" s="105"/>
      <c r="AF58" s="40">
        <v>4.1950000000000001E-2</v>
      </c>
      <c r="AG58" s="27" t="s">
        <v>52</v>
      </c>
      <c r="AK58" s="15">
        <f t="shared" si="0"/>
        <v>41.381222171307343</v>
      </c>
      <c r="AL58" s="59">
        <f>O59</f>
        <v>627.27</v>
      </c>
      <c r="AM58" s="15">
        <f t="shared" si="3"/>
        <v>0.87524999999999986</v>
      </c>
      <c r="AN58" s="15">
        <v>45</v>
      </c>
    </row>
    <row r="59" spans="1:68" ht="15" customHeight="1" thickBot="1" x14ac:dyDescent="0.3">
      <c r="B59" s="220" t="s">
        <v>58</v>
      </c>
      <c r="C59" s="221"/>
      <c r="D59" s="221"/>
      <c r="E59" s="221"/>
      <c r="F59" s="221"/>
      <c r="G59" s="146">
        <f>G57*0.87</f>
        <v>573.33000000000004</v>
      </c>
      <c r="H59" s="147" t="s">
        <v>50</v>
      </c>
      <c r="J59" s="214" t="s">
        <v>58</v>
      </c>
      <c r="K59" s="215"/>
      <c r="L59" s="215"/>
      <c r="M59" s="215"/>
      <c r="N59" s="215"/>
      <c r="O59" s="41">
        <f>O57*0.87</f>
        <v>627.27</v>
      </c>
      <c r="P59" s="42" t="s">
        <v>50</v>
      </c>
      <c r="S59" s="292" t="s">
        <v>59</v>
      </c>
      <c r="T59" s="293"/>
      <c r="U59" s="293"/>
      <c r="V59" s="293"/>
      <c r="W59" s="294"/>
      <c r="X59" s="142">
        <v>0.112</v>
      </c>
      <c r="Y59" s="143" t="s">
        <v>52</v>
      </c>
      <c r="AA59" s="227" t="s">
        <v>59</v>
      </c>
      <c r="AB59" s="228"/>
      <c r="AC59" s="228"/>
      <c r="AD59" s="228"/>
      <c r="AE59" s="229"/>
      <c r="AF59" s="45">
        <v>0.111</v>
      </c>
      <c r="AG59" s="46" t="s">
        <v>52</v>
      </c>
      <c r="AK59" s="15">
        <f t="shared" si="0"/>
        <v>36.149113620912168</v>
      </c>
      <c r="AL59" s="59">
        <f>O61</f>
        <v>547.96</v>
      </c>
      <c r="AM59" s="15">
        <f t="shared" si="3"/>
        <v>0.76824999999999988</v>
      </c>
      <c r="AN59" s="15">
        <v>55</v>
      </c>
    </row>
    <row r="60" spans="1:68" ht="15" customHeight="1" x14ac:dyDescent="0.25">
      <c r="B60" s="220" t="s">
        <v>62</v>
      </c>
      <c r="C60" s="221"/>
      <c r="D60" s="221"/>
      <c r="E60" s="221"/>
      <c r="F60" s="221"/>
      <c r="G60" s="146">
        <f>G59/1.2</f>
        <v>477.77500000000003</v>
      </c>
      <c r="H60" s="147" t="s">
        <v>50</v>
      </c>
      <c r="J60" s="214" t="s">
        <v>62</v>
      </c>
      <c r="K60" s="215"/>
      <c r="L60" s="215"/>
      <c r="M60" s="215"/>
      <c r="N60" s="215"/>
      <c r="O60" s="41">
        <f>O59/1.2</f>
        <v>522.72500000000002</v>
      </c>
      <c r="P60" s="42" t="s">
        <v>50</v>
      </c>
      <c r="S60" s="9">
        <f>O59*0.9</f>
        <v>564.54300000000001</v>
      </c>
      <c r="AK60" s="15">
        <f>(3*13.8*AL60*SQRT(3)/1000)*0.92</f>
        <v>33.675753215270802</v>
      </c>
      <c r="AL60" s="15">
        <f>$AL$57*AM60</f>
        <v>510.46799999999996</v>
      </c>
      <c r="AM60" s="15">
        <f t="shared" si="3"/>
        <v>0.70799999999999996</v>
      </c>
      <c r="AN60" s="15">
        <v>60</v>
      </c>
      <c r="AO60" s="15">
        <f>1-AL60/AL54</f>
        <v>0.36968617849988872</v>
      </c>
    </row>
    <row r="61" spans="1:68" ht="15" customHeight="1" x14ac:dyDescent="0.25">
      <c r="B61" s="222" t="s">
        <v>64</v>
      </c>
      <c r="C61" s="223"/>
      <c r="D61" s="223"/>
      <c r="E61" s="223"/>
      <c r="F61" s="223"/>
      <c r="G61" s="148">
        <f>G57*0.76</f>
        <v>500.84000000000003</v>
      </c>
      <c r="H61" s="149" t="s">
        <v>50</v>
      </c>
      <c r="J61" s="225" t="s">
        <v>64</v>
      </c>
      <c r="K61" s="226"/>
      <c r="L61" s="226"/>
      <c r="M61" s="226"/>
      <c r="N61" s="226"/>
      <c r="O61" s="51">
        <f>O57*0.76</f>
        <v>547.96</v>
      </c>
      <c r="P61" s="52" t="s">
        <v>50</v>
      </c>
      <c r="AL61" s="15">
        <v>425.39</v>
      </c>
    </row>
    <row r="62" spans="1:68" ht="15" customHeight="1" thickBot="1" x14ac:dyDescent="0.3">
      <c r="B62" s="284" t="s">
        <v>66</v>
      </c>
      <c r="C62" s="285"/>
      <c r="D62" s="285"/>
      <c r="E62" s="285"/>
      <c r="F62" s="285"/>
      <c r="G62" s="150">
        <f>G61/1.2</f>
        <v>417.36666666666673</v>
      </c>
      <c r="H62" s="151" t="s">
        <v>50</v>
      </c>
      <c r="J62" s="212" t="s">
        <v>66</v>
      </c>
      <c r="K62" s="213"/>
      <c r="L62" s="213"/>
      <c r="M62" s="213"/>
      <c r="N62" s="213"/>
      <c r="O62" s="56">
        <f>O61/1.2</f>
        <v>456.63333333333338</v>
      </c>
      <c r="P62" s="57" t="s">
        <v>50</v>
      </c>
    </row>
    <row r="63" spans="1:68" ht="15" customHeight="1" x14ac:dyDescent="0.25">
      <c r="B63" s="210" t="s">
        <v>158</v>
      </c>
      <c r="C63" s="211"/>
      <c r="D63" s="211"/>
      <c r="E63" s="211"/>
      <c r="F63" s="211"/>
      <c r="G63" s="191">
        <f>G57*0.708</f>
        <v>466.572</v>
      </c>
      <c r="H63" s="190" t="s">
        <v>50</v>
      </c>
      <c r="J63" s="210" t="s">
        <v>158</v>
      </c>
      <c r="K63" s="211"/>
      <c r="L63" s="211"/>
      <c r="M63" s="211"/>
      <c r="N63" s="211"/>
      <c r="O63" s="191">
        <f>O57*0.708</f>
        <v>510.46799999999996</v>
      </c>
      <c r="P63" s="190" t="s">
        <v>50</v>
      </c>
    </row>
  </sheetData>
  <mergeCells count="207">
    <mergeCell ref="S55:Y55"/>
    <mergeCell ref="S56:W56"/>
    <mergeCell ref="S59:W59"/>
    <mergeCell ref="AA55:AG55"/>
    <mergeCell ref="AA56:AE56"/>
    <mergeCell ref="AA59:AE59"/>
    <mergeCell ref="B55:H55"/>
    <mergeCell ref="B56:F56"/>
    <mergeCell ref="B57:F57"/>
    <mergeCell ref="B58:F58"/>
    <mergeCell ref="B59:F59"/>
    <mergeCell ref="B62:F62"/>
    <mergeCell ref="J55:P55"/>
    <mergeCell ref="J56:N56"/>
    <mergeCell ref="J57:N57"/>
    <mergeCell ref="J58:N58"/>
    <mergeCell ref="J59:N59"/>
    <mergeCell ref="J60:N60"/>
    <mergeCell ref="J61:N61"/>
    <mergeCell ref="J62:N62"/>
    <mergeCell ref="B2:P2"/>
    <mergeCell ref="S2:AG2"/>
    <mergeCell ref="AJ2:AX4"/>
    <mergeCell ref="BA2:BO2"/>
    <mergeCell ref="B4:P7"/>
    <mergeCell ref="S4:AG7"/>
    <mergeCell ref="BA4:BO4"/>
    <mergeCell ref="BA5:BB5"/>
    <mergeCell ref="BC5:BO5"/>
    <mergeCell ref="AJ6:AO6"/>
    <mergeCell ref="B10:F10"/>
    <mergeCell ref="J10:N10"/>
    <mergeCell ref="S10:W10"/>
    <mergeCell ref="AA10:AE10"/>
    <mergeCell ref="AJ10:AM10"/>
    <mergeCell ref="B11:F11"/>
    <mergeCell ref="J11:N11"/>
    <mergeCell ref="AJ11:AM11"/>
    <mergeCell ref="AJ7:AO7"/>
    <mergeCell ref="AJ8:AM8"/>
    <mergeCell ref="B9:H9"/>
    <mergeCell ref="J9:P9"/>
    <mergeCell ref="S9:Y9"/>
    <mergeCell ref="AA9:AG9"/>
    <mergeCell ref="AJ9:AM9"/>
    <mergeCell ref="B14:F14"/>
    <mergeCell ref="J14:N14"/>
    <mergeCell ref="S14:W14"/>
    <mergeCell ref="AA14:AE14"/>
    <mergeCell ref="AJ14:AM14"/>
    <mergeCell ref="B15:F15"/>
    <mergeCell ref="J15:N15"/>
    <mergeCell ref="AJ15:AM15"/>
    <mergeCell ref="B12:F12"/>
    <mergeCell ref="J12:N12"/>
    <mergeCell ref="AJ12:AM12"/>
    <mergeCell ref="B13:F13"/>
    <mergeCell ref="J13:N13"/>
    <mergeCell ref="S13:W13"/>
    <mergeCell ref="AA13:AE13"/>
    <mergeCell ref="AJ13:AM13"/>
    <mergeCell ref="S19:W19"/>
    <mergeCell ref="AA19:AE19"/>
    <mergeCell ref="B20:F20"/>
    <mergeCell ref="J20:N20"/>
    <mergeCell ref="B21:F21"/>
    <mergeCell ref="J21:N21"/>
    <mergeCell ref="B16:F16"/>
    <mergeCell ref="J16:N16"/>
    <mergeCell ref="AJ16:AM16"/>
    <mergeCell ref="B18:H18"/>
    <mergeCell ref="J18:P18"/>
    <mergeCell ref="S18:Y18"/>
    <mergeCell ref="AA18:AG18"/>
    <mergeCell ref="AJ18:AX19"/>
    <mergeCell ref="B19:F19"/>
    <mergeCell ref="J19:N19"/>
    <mergeCell ref="B17:F17"/>
    <mergeCell ref="J17:N17"/>
    <mergeCell ref="B23:F23"/>
    <mergeCell ref="J23:N23"/>
    <mergeCell ref="S23:W23"/>
    <mergeCell ref="AA23:AE23"/>
    <mergeCell ref="AJ23:AL23"/>
    <mergeCell ref="AP23:AR23"/>
    <mergeCell ref="AJ21:AN21"/>
    <mergeCell ref="AP21:AT21"/>
    <mergeCell ref="B22:F22"/>
    <mergeCell ref="J22:N22"/>
    <mergeCell ref="S22:W22"/>
    <mergeCell ref="AA22:AE22"/>
    <mergeCell ref="AJ22:AN22"/>
    <mergeCell ref="AP22:AT22"/>
    <mergeCell ref="AJ26:AL26"/>
    <mergeCell ref="AP26:AR26"/>
    <mergeCell ref="B27:H27"/>
    <mergeCell ref="J27:P27"/>
    <mergeCell ref="S27:Y27"/>
    <mergeCell ref="AA27:AG27"/>
    <mergeCell ref="AJ27:AL27"/>
    <mergeCell ref="AP27:AR27"/>
    <mergeCell ref="B24:F24"/>
    <mergeCell ref="J24:N24"/>
    <mergeCell ref="AJ24:AL24"/>
    <mergeCell ref="AP24:AR24"/>
    <mergeCell ref="B25:F25"/>
    <mergeCell ref="J25:N25"/>
    <mergeCell ref="AJ25:AL25"/>
    <mergeCell ref="AP25:AR25"/>
    <mergeCell ref="AJ29:AL29"/>
    <mergeCell ref="AP29:AR29"/>
    <mergeCell ref="B30:F30"/>
    <mergeCell ref="J30:N30"/>
    <mergeCell ref="AJ30:AL30"/>
    <mergeCell ref="AP30:AR30"/>
    <mergeCell ref="B28:F28"/>
    <mergeCell ref="J28:N28"/>
    <mergeCell ref="S28:W28"/>
    <mergeCell ref="AA28:AE28"/>
    <mergeCell ref="AJ28:AL28"/>
    <mergeCell ref="AP28:AR28"/>
    <mergeCell ref="AP32:AT32"/>
    <mergeCell ref="B33:F33"/>
    <mergeCell ref="J33:N33"/>
    <mergeCell ref="AM33:AN33"/>
    <mergeCell ref="AP33:AT33"/>
    <mergeCell ref="B34:F34"/>
    <mergeCell ref="J34:N34"/>
    <mergeCell ref="AP34:AR34"/>
    <mergeCell ref="B31:F31"/>
    <mergeCell ref="J31:N31"/>
    <mergeCell ref="S31:W31"/>
    <mergeCell ref="AA31:AE31"/>
    <mergeCell ref="B32:F32"/>
    <mergeCell ref="J32:N32"/>
    <mergeCell ref="S32:W32"/>
    <mergeCell ref="AA32:AE32"/>
    <mergeCell ref="S37:W37"/>
    <mergeCell ref="AA37:AE37"/>
    <mergeCell ref="AP37:AR37"/>
    <mergeCell ref="B38:F38"/>
    <mergeCell ref="J38:N38"/>
    <mergeCell ref="AP38:AR38"/>
    <mergeCell ref="AP35:AR35"/>
    <mergeCell ref="B36:H36"/>
    <mergeCell ref="J36:P36"/>
    <mergeCell ref="S36:Y36"/>
    <mergeCell ref="AA36:AG36"/>
    <mergeCell ref="AP36:AR36"/>
    <mergeCell ref="S41:W41"/>
    <mergeCell ref="AA41:AE41"/>
    <mergeCell ref="AP41:AR41"/>
    <mergeCell ref="B42:F42"/>
    <mergeCell ref="J42:N42"/>
    <mergeCell ref="B39:F39"/>
    <mergeCell ref="J39:N39"/>
    <mergeCell ref="AP39:AR39"/>
    <mergeCell ref="B40:F40"/>
    <mergeCell ref="J40:N40"/>
    <mergeCell ref="S40:W40"/>
    <mergeCell ref="AA40:AE40"/>
    <mergeCell ref="AP40:AR40"/>
    <mergeCell ref="S46:W46"/>
    <mergeCell ref="AA46:AE46"/>
    <mergeCell ref="B47:F47"/>
    <mergeCell ref="J47:N47"/>
    <mergeCell ref="B43:F43"/>
    <mergeCell ref="J43:N43"/>
    <mergeCell ref="AJ43:AX44"/>
    <mergeCell ref="B45:H45"/>
    <mergeCell ref="J45:P45"/>
    <mergeCell ref="S45:Y45"/>
    <mergeCell ref="AA45:AG45"/>
    <mergeCell ref="S50:W50"/>
    <mergeCell ref="AA50:AE50"/>
    <mergeCell ref="B51:F51"/>
    <mergeCell ref="J51:N51"/>
    <mergeCell ref="B48:F48"/>
    <mergeCell ref="J48:N48"/>
    <mergeCell ref="B49:F49"/>
    <mergeCell ref="J49:N49"/>
    <mergeCell ref="S49:W49"/>
    <mergeCell ref="AA49:AE49"/>
    <mergeCell ref="J63:N63"/>
    <mergeCell ref="B63:F63"/>
    <mergeCell ref="B53:F53"/>
    <mergeCell ref="J53:N53"/>
    <mergeCell ref="B44:F44"/>
    <mergeCell ref="J44:N44"/>
    <mergeCell ref="B35:F35"/>
    <mergeCell ref="J35:N35"/>
    <mergeCell ref="B26:F26"/>
    <mergeCell ref="J26:N26"/>
    <mergeCell ref="B52:F52"/>
    <mergeCell ref="J52:N52"/>
    <mergeCell ref="B50:F50"/>
    <mergeCell ref="J50:N50"/>
    <mergeCell ref="B46:F46"/>
    <mergeCell ref="J46:N46"/>
    <mergeCell ref="B41:F41"/>
    <mergeCell ref="J41:N41"/>
    <mergeCell ref="B37:F37"/>
    <mergeCell ref="J37:N37"/>
    <mergeCell ref="B29:F29"/>
    <mergeCell ref="J29:N29"/>
    <mergeCell ref="B60:F60"/>
    <mergeCell ref="B61:F61"/>
  </mergeCells>
  <hyperlinks>
    <hyperlink ref="B12" r:id="rId1" display="Corrente@5oC" xr:uid="{00000000-0004-0000-0200-000000000000}"/>
    <hyperlink ref="B14" r:id="rId2" display="Corrente@5oC" xr:uid="{00000000-0004-0000-0200-000001000000}"/>
    <hyperlink ref="J12" r:id="rId3" display="Corrente@5oC" xr:uid="{00000000-0004-0000-0200-000002000000}"/>
    <hyperlink ref="J14" r:id="rId4" display="Corrente@5oC" xr:uid="{00000000-0004-0000-0200-000003000000}"/>
    <hyperlink ref="B21" r:id="rId5" display="Corrente@5oC" xr:uid="{00000000-0004-0000-0200-000004000000}"/>
    <hyperlink ref="B23" r:id="rId6" display="Corrente@5oC" xr:uid="{00000000-0004-0000-0200-000005000000}"/>
    <hyperlink ref="J21" r:id="rId7" display="Corrente@5oC" xr:uid="{00000000-0004-0000-0200-000006000000}"/>
    <hyperlink ref="J23" r:id="rId8" display="Corrente@5oC" xr:uid="{00000000-0004-0000-0200-000007000000}"/>
    <hyperlink ref="B30" r:id="rId9" display="Corrente@5oC" xr:uid="{00000000-0004-0000-0200-000008000000}"/>
    <hyperlink ref="B32" r:id="rId10" display="Corrente@5oC" xr:uid="{00000000-0004-0000-0200-000009000000}"/>
    <hyperlink ref="J30" r:id="rId11" display="Corrente@5oC" xr:uid="{00000000-0004-0000-0200-00000A000000}"/>
    <hyperlink ref="J32" r:id="rId12" display="Corrente@5oC" xr:uid="{00000000-0004-0000-0200-00000B000000}"/>
    <hyperlink ref="B39" r:id="rId13" display="Corrente@5oC" xr:uid="{00000000-0004-0000-0200-00000C000000}"/>
    <hyperlink ref="B41" r:id="rId14" display="Corrente@5oC" xr:uid="{00000000-0004-0000-0200-00000D000000}"/>
    <hyperlink ref="J39" r:id="rId15" display="Corrente@5oC" xr:uid="{00000000-0004-0000-0200-00000E000000}"/>
    <hyperlink ref="J41" r:id="rId16" display="Corrente@5oC" xr:uid="{00000000-0004-0000-0200-00000F000000}"/>
    <hyperlink ref="B48" r:id="rId17" display="Corrente@5oC" xr:uid="{00000000-0004-0000-0200-000010000000}"/>
    <hyperlink ref="B50" r:id="rId18" display="Corrente@5oC" xr:uid="{00000000-0004-0000-0200-000011000000}"/>
    <hyperlink ref="J48" r:id="rId19" display="Corrente@5oC" xr:uid="{00000000-0004-0000-0200-000012000000}"/>
    <hyperlink ref="J50" r:id="rId20" display="Corrente@5oC" xr:uid="{00000000-0004-0000-0200-000013000000}"/>
    <hyperlink ref="S11" r:id="rId21" display="Corrente@5oC" xr:uid="{00000000-0004-0000-0200-000014000000}"/>
    <hyperlink ref="S13" r:id="rId22" display="Corrente@5oC" xr:uid="{00000000-0004-0000-0200-000015000000}"/>
    <hyperlink ref="AA11" r:id="rId23" display="Corrente@5oC" xr:uid="{00000000-0004-0000-0200-000016000000}"/>
    <hyperlink ref="AA13" r:id="rId24" display="Corrente@5oC" xr:uid="{00000000-0004-0000-0200-000017000000}"/>
    <hyperlink ref="S20" r:id="rId25" display="Corrente@5oC" xr:uid="{00000000-0004-0000-0200-000018000000}"/>
    <hyperlink ref="S22" r:id="rId26" display="Corrente@5oC" xr:uid="{00000000-0004-0000-0200-000019000000}"/>
    <hyperlink ref="AA20" r:id="rId27" display="Corrente@5oC" xr:uid="{00000000-0004-0000-0200-00001A000000}"/>
    <hyperlink ref="AA22" r:id="rId28" display="Corrente@5oC" xr:uid="{00000000-0004-0000-0200-00001B000000}"/>
    <hyperlink ref="S29" r:id="rId29" display="Corrente@5oC" xr:uid="{00000000-0004-0000-0200-00001C000000}"/>
    <hyperlink ref="S31" r:id="rId30" display="Corrente@5oC" xr:uid="{00000000-0004-0000-0200-00001D000000}"/>
    <hyperlink ref="AA29" r:id="rId31" display="Corrente@5oC" xr:uid="{00000000-0004-0000-0200-00001E000000}"/>
    <hyperlink ref="AA31" r:id="rId32" display="Corrente@5oC" xr:uid="{00000000-0004-0000-0200-00001F000000}"/>
    <hyperlink ref="S38" r:id="rId33" display="Corrente@5oC" xr:uid="{00000000-0004-0000-0200-000020000000}"/>
    <hyperlink ref="S40" r:id="rId34" display="Corrente@5oC" xr:uid="{00000000-0004-0000-0200-000021000000}"/>
    <hyperlink ref="AA38" r:id="rId35" display="Corrente@5oC" xr:uid="{00000000-0004-0000-0200-000022000000}"/>
    <hyperlink ref="AA40" r:id="rId36" display="Corrente@5oC" xr:uid="{00000000-0004-0000-0200-000023000000}"/>
    <hyperlink ref="S47" r:id="rId37" display="Corrente@5oC" xr:uid="{00000000-0004-0000-0200-000024000000}"/>
    <hyperlink ref="S49" r:id="rId38" display="Corrente@5oC" xr:uid="{00000000-0004-0000-0200-000025000000}"/>
    <hyperlink ref="AA47" r:id="rId39" display="Corrente@5oC" xr:uid="{00000000-0004-0000-0200-000026000000}"/>
    <hyperlink ref="AA49" r:id="rId40" display="Corrente@5oC" xr:uid="{00000000-0004-0000-0200-000027000000}"/>
    <hyperlink ref="B58" r:id="rId41" display="Corrente@5oC" xr:uid="{F4B4C272-FA13-4024-B404-96E28E4F6A95}"/>
    <hyperlink ref="B60" r:id="rId42" display="Corrente@5oC" xr:uid="{F3C9BC10-1BD0-46DA-A6A4-FD205B8FEECA}"/>
    <hyperlink ref="J58" r:id="rId43" display="Corrente@5oC" xr:uid="{D33A65FF-FD57-4254-9E87-32964FD91DC4}"/>
    <hyperlink ref="J60" r:id="rId44" display="Corrente@5oC" xr:uid="{8500E14B-6E54-48FA-860E-AEA4400B7C9B}"/>
    <hyperlink ref="S57" r:id="rId45" display="Corrente@5oC" xr:uid="{A2DD74E4-0635-471C-9E39-1F9F854E0DFE}"/>
    <hyperlink ref="S59" r:id="rId46" display="Corrente@5oC" xr:uid="{97D0F4DF-28D8-4743-B2C4-5E3928F79B59}"/>
    <hyperlink ref="AA57" r:id="rId47" display="Corrente@5oC" xr:uid="{CFF68111-0E0B-4EEE-9CE9-35AFB8441B4D}"/>
    <hyperlink ref="AA59" r:id="rId48" display="Corrente@5oC" xr:uid="{5165AD7F-B01E-49FB-82EF-27B212D95A1F}"/>
  </hyperlinks>
  <pageMargins left="0.98425196850393704" right="0.39370078740157483" top="0.39370078740157483" bottom="0.59055118110236227" header="0" footer="0"/>
  <pageSetup paperSize="9" scale="82" orientation="portrait" r:id="rId49"/>
  <headerFooter alignWithMargins="0"/>
  <colBreaks count="2" manualBreakCount="2">
    <brk id="17" max="65" man="1"/>
    <brk id="34" max="6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Calculo</vt:lpstr>
      <vt:lpstr>Avaliação</vt:lpstr>
      <vt:lpstr>Cabos</vt:lpstr>
      <vt:lpstr>Dados Típicos</vt:lpstr>
      <vt:lpstr>'Dados Típicos'!Area_de_impressao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Prometheus</dc:creator>
  <cp:lastModifiedBy>Diego Alexandre Belmonte Barbosa</cp:lastModifiedBy>
  <dcterms:created xsi:type="dcterms:W3CDTF">2020-07-10T10:29:56Z</dcterms:created>
  <dcterms:modified xsi:type="dcterms:W3CDTF">2020-11-08T06:39:05Z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2020-09-21T11:27:27Z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5aba9055-249b-4c7c-b5ca-79dc632aea45</vt:lpwstr>
  </property>
  <property fmtid="{D5CDD505-2E9C-101B-9397-08002B2CF9AE}" pid="8" name="MSIP_Label_8e61996e-cafd-4c9a-8a94-2dc1b82131ae_ContentBits">
    <vt:lpwstr>0</vt:lpwstr>
  </property>
</Properties>
</file>