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0" documentId="13_ncr:1_{F445C6BC-61A2-43CF-BDF2-740F19F40688}" xr6:coauthVersionLast="45" xr6:coauthVersionMax="45" xr10:uidLastSave="{00000000-0000-0000-0000-000000000000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externalReferences>
    <externalReference r:id="rId5"/>
  </externalReference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Calculo!$I$12:$J$12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Calculo!$AF$12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Calculo!$I$12</definedName>
    <definedName name="solver_lhs3" localSheetId="1" hidden="1">Avaliação!$A$4</definedName>
    <definedName name="solver_lhs3" localSheetId="0" hidden="1">Calculo!$I$12</definedName>
    <definedName name="solver_lhs4" localSheetId="1" hidden="1">Avaliação!$A$4</definedName>
    <definedName name="solver_lhs4" localSheetId="0" hidden="1">Calculo!$J$12</definedName>
    <definedName name="solver_lhs5" localSheetId="1" hidden="1">Avaliação!$AA$3</definedName>
    <definedName name="solver_lhs5" localSheetId="0" hidden="1">Calculo!$J$12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Calculo!$AT$13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5" i="9" l="1"/>
  <c r="AZ5" i="9"/>
  <c r="AY6" i="9"/>
  <c r="AZ6" i="9"/>
  <c r="AY7" i="9"/>
  <c r="AZ7" i="9"/>
  <c r="AY8" i="9"/>
  <c r="AZ8" i="9"/>
  <c r="AY9" i="9"/>
  <c r="AZ9" i="9"/>
  <c r="AY10" i="9"/>
  <c r="AZ10" i="9"/>
  <c r="AV11" i="9"/>
  <c r="AY11" i="9"/>
  <c r="AZ11" i="9"/>
  <c r="AY12" i="9"/>
  <c r="AZ12" i="9"/>
  <c r="AU5" i="9"/>
  <c r="AW5" i="9" s="1"/>
  <c r="AX5" i="9" s="1"/>
  <c r="AU6" i="9"/>
  <c r="AW6" i="9" s="1"/>
  <c r="AX6" i="9" s="1"/>
  <c r="AU7" i="9"/>
  <c r="AW7" i="9" s="1"/>
  <c r="AX7" i="9" s="1"/>
  <c r="AU8" i="9"/>
  <c r="AW8" i="9" s="1"/>
  <c r="AX8" i="9" s="1"/>
  <c r="AU9" i="9"/>
  <c r="AW9" i="9" s="1"/>
  <c r="AX9" i="9" s="1"/>
  <c r="AU10" i="9"/>
  <c r="AV10" i="9" s="1"/>
  <c r="AU11" i="9"/>
  <c r="AW11" i="9" s="1"/>
  <c r="AX11" i="9" s="1"/>
  <c r="BA11" i="9" s="1"/>
  <c r="BB11" i="9" s="1"/>
  <c r="AU12" i="9"/>
  <c r="AW12" i="9" s="1"/>
  <c r="AX12" i="9" s="1"/>
  <c r="AU4" i="9"/>
  <c r="AV4" i="9" s="1"/>
  <c r="AT5" i="9"/>
  <c r="AT6" i="9"/>
  <c r="AT7" i="9"/>
  <c r="AT8" i="9"/>
  <c r="AT9" i="9"/>
  <c r="AT10" i="9"/>
  <c r="AT11" i="9"/>
  <c r="AT12" i="9"/>
  <c r="AT4" i="9"/>
  <c r="AZ4" i="9"/>
  <c r="AY2" i="9"/>
  <c r="F85" i="3"/>
  <c r="E85" i="3"/>
  <c r="D85" i="3"/>
  <c r="C85" i="3"/>
  <c r="E84" i="3"/>
  <c r="D84" i="3"/>
  <c r="E83" i="3"/>
  <c r="D83" i="3"/>
  <c r="E82" i="3"/>
  <c r="D82" i="3"/>
  <c r="E81" i="3"/>
  <c r="D81" i="3"/>
  <c r="E80" i="3"/>
  <c r="D80" i="3"/>
  <c r="E79" i="3"/>
  <c r="D79" i="3"/>
  <c r="F78" i="3"/>
  <c r="E78" i="3"/>
  <c r="D78" i="3"/>
  <c r="C78" i="3"/>
  <c r="E77" i="3"/>
  <c r="D77" i="3"/>
  <c r="E76" i="3"/>
  <c r="D76" i="3"/>
  <c r="E75" i="3"/>
  <c r="D75" i="3"/>
  <c r="E74" i="3"/>
  <c r="D74" i="3"/>
  <c r="E73" i="3"/>
  <c r="D73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B64" i="3"/>
  <c r="F63" i="3"/>
  <c r="E63" i="3"/>
  <c r="D63" i="3"/>
  <c r="B63" i="3"/>
  <c r="F62" i="3"/>
  <c r="E62" i="3"/>
  <c r="D62" i="3"/>
  <c r="B62" i="3"/>
  <c r="F61" i="3"/>
  <c r="E61" i="3"/>
  <c r="D61" i="3"/>
  <c r="C61" i="3"/>
  <c r="B61" i="3"/>
  <c r="T60" i="3"/>
  <c r="S60" i="3"/>
  <c r="K60" i="3"/>
  <c r="H60" i="3"/>
  <c r="F60" i="3"/>
  <c r="E60" i="3"/>
  <c r="J60" i="3" s="1"/>
  <c r="D60" i="3"/>
  <c r="V60" i="3" s="1"/>
  <c r="V59" i="3"/>
  <c r="S59" i="3"/>
  <c r="R59" i="3"/>
  <c r="N59" i="3"/>
  <c r="J59" i="3"/>
  <c r="F59" i="3"/>
  <c r="Q59" i="3" s="1"/>
  <c r="E59" i="3"/>
  <c r="D59" i="3"/>
  <c r="U59" i="3" s="1"/>
  <c r="U58" i="3"/>
  <c r="Q58" i="3"/>
  <c r="N58" i="3"/>
  <c r="M58" i="3"/>
  <c r="I58" i="3"/>
  <c r="F58" i="3"/>
  <c r="P58" i="3" s="1"/>
  <c r="E58" i="3"/>
  <c r="H58" i="3" s="1"/>
  <c r="D58" i="3"/>
  <c r="T57" i="3"/>
  <c r="Q57" i="3"/>
  <c r="P57" i="3"/>
  <c r="N57" i="3"/>
  <c r="M57" i="3"/>
  <c r="L57" i="3"/>
  <c r="I57" i="3"/>
  <c r="H57" i="3"/>
  <c r="F57" i="3"/>
  <c r="O57" i="3" s="1"/>
  <c r="E57" i="3"/>
  <c r="K57" i="3" s="1"/>
  <c r="D57" i="3"/>
  <c r="S57" i="3" s="1"/>
  <c r="T56" i="3"/>
  <c r="S56" i="3"/>
  <c r="K56" i="3"/>
  <c r="I56" i="3"/>
  <c r="H56" i="3"/>
  <c r="F56" i="3"/>
  <c r="E56" i="3"/>
  <c r="J56" i="3" s="1"/>
  <c r="D56" i="3"/>
  <c r="V56" i="3" s="1"/>
  <c r="V55" i="3"/>
  <c r="T55" i="3"/>
  <c r="S55" i="3"/>
  <c r="R55" i="3"/>
  <c r="N55" i="3"/>
  <c r="F55" i="3"/>
  <c r="Q55" i="3" s="1"/>
  <c r="E55" i="3"/>
  <c r="D55" i="3"/>
  <c r="U55" i="3" s="1"/>
  <c r="U54" i="3"/>
  <c r="Q54" i="3"/>
  <c r="N54" i="3"/>
  <c r="M54" i="3"/>
  <c r="I54" i="3"/>
  <c r="F54" i="3"/>
  <c r="P54" i="3" s="1"/>
  <c r="E54" i="3"/>
  <c r="H54" i="3" s="1"/>
  <c r="D54" i="3"/>
  <c r="T53" i="3"/>
  <c r="Q53" i="3"/>
  <c r="P53" i="3"/>
  <c r="N53" i="3"/>
  <c r="M53" i="3"/>
  <c r="L53" i="3"/>
  <c r="I53" i="3"/>
  <c r="H53" i="3"/>
  <c r="F53" i="3"/>
  <c r="O53" i="3" s="1"/>
  <c r="E53" i="3"/>
  <c r="K53" i="3" s="1"/>
  <c r="D53" i="3"/>
  <c r="S53" i="3" s="1"/>
  <c r="T52" i="3"/>
  <c r="S52" i="3"/>
  <c r="K52" i="3"/>
  <c r="I52" i="3"/>
  <c r="H52" i="3"/>
  <c r="F52" i="3"/>
  <c r="E52" i="3"/>
  <c r="J52" i="3" s="1"/>
  <c r="D52" i="3"/>
  <c r="V52" i="3" s="1"/>
  <c r="C52" i="3"/>
  <c r="V51" i="3"/>
  <c r="T51" i="3"/>
  <c r="S51" i="3"/>
  <c r="R51" i="3"/>
  <c r="N51" i="3"/>
  <c r="F51" i="3"/>
  <c r="Q51" i="3" s="1"/>
  <c r="E51" i="3"/>
  <c r="D51" i="3"/>
  <c r="U51" i="3" s="1"/>
  <c r="Q50" i="3"/>
  <c r="N50" i="3"/>
  <c r="M50" i="3"/>
  <c r="I50" i="3"/>
  <c r="F50" i="3"/>
  <c r="P50" i="3" s="1"/>
  <c r="E50" i="3"/>
  <c r="H50" i="3" s="1"/>
  <c r="D50" i="3"/>
  <c r="T49" i="3"/>
  <c r="Q49" i="3"/>
  <c r="P49" i="3"/>
  <c r="N49" i="3"/>
  <c r="M49" i="3"/>
  <c r="L49" i="3"/>
  <c r="I49" i="3"/>
  <c r="H49" i="3"/>
  <c r="F49" i="3"/>
  <c r="O49" i="3" s="1"/>
  <c r="E49" i="3"/>
  <c r="K49" i="3" s="1"/>
  <c r="D49" i="3"/>
  <c r="S49" i="3" s="1"/>
  <c r="F45" i="3"/>
  <c r="F84" i="3" s="1"/>
  <c r="F44" i="3"/>
  <c r="F83" i="3" s="1"/>
  <c r="F43" i="3"/>
  <c r="F82" i="3" s="1"/>
  <c r="F42" i="3"/>
  <c r="F81" i="3" s="1"/>
  <c r="F41" i="3"/>
  <c r="F80" i="3" s="1"/>
  <c r="F40" i="3"/>
  <c r="F79" i="3" s="1"/>
  <c r="F38" i="3"/>
  <c r="F77" i="3" s="1"/>
  <c r="F37" i="3"/>
  <c r="F76" i="3" s="1"/>
  <c r="F36" i="3"/>
  <c r="F75" i="3" s="1"/>
  <c r="F35" i="3"/>
  <c r="F74" i="3" s="1"/>
  <c r="F34" i="3"/>
  <c r="F73" i="3" s="1"/>
  <c r="F33" i="3"/>
  <c r="F72" i="3" s="1"/>
  <c r="C30" i="3"/>
  <c r="C38" i="3" s="1"/>
  <c r="C20" i="3"/>
  <c r="C19" i="3"/>
  <c r="C59" i="3" s="1"/>
  <c r="C18" i="3"/>
  <c r="C58" i="3" s="1"/>
  <c r="C17" i="3"/>
  <c r="C57" i="3" s="1"/>
  <c r="K16" i="3"/>
  <c r="C16" i="3"/>
  <c r="C28" i="3" s="1"/>
  <c r="C15" i="3"/>
  <c r="C55" i="3" s="1"/>
  <c r="C14" i="3"/>
  <c r="C54" i="3" s="1"/>
  <c r="K13" i="3"/>
  <c r="C13" i="3"/>
  <c r="C53" i="3" s="1"/>
  <c r="C12" i="3"/>
  <c r="C24" i="3" s="1"/>
  <c r="C64" i="3" s="1"/>
  <c r="C11" i="3"/>
  <c r="C51" i="3" s="1"/>
  <c r="C10" i="3"/>
  <c r="C9" i="3"/>
  <c r="C49" i="3" s="1"/>
  <c r="D5" i="3"/>
  <c r="D4" i="3"/>
  <c r="AV7" i="9" l="1"/>
  <c r="BA7" i="9" s="1"/>
  <c r="BB7" i="9" s="1"/>
  <c r="AV5" i="9"/>
  <c r="BA5" i="9" s="1"/>
  <c r="BB5" i="9" s="1"/>
  <c r="AV8" i="9"/>
  <c r="BA8" i="9" s="1"/>
  <c r="BB8" i="9" s="1"/>
  <c r="AV9" i="9"/>
  <c r="BA9" i="9" s="1"/>
  <c r="BB9" i="9" s="1"/>
  <c r="AT13" i="9"/>
  <c r="AV12" i="9"/>
  <c r="BA12" i="9" s="1"/>
  <c r="BB12" i="9" s="1"/>
  <c r="AV6" i="9"/>
  <c r="BA6" i="9" s="1"/>
  <c r="BB6" i="9" s="1"/>
  <c r="AW10" i="9"/>
  <c r="AX10" i="9" s="1"/>
  <c r="BA10" i="9" s="1"/>
  <c r="BB10" i="9" s="1"/>
  <c r="C25" i="3"/>
  <c r="C56" i="3"/>
  <c r="C29" i="3"/>
  <c r="C69" i="3" s="1"/>
  <c r="C70" i="3"/>
  <c r="AW4" i="9"/>
  <c r="AX4" i="9" s="1"/>
  <c r="AY4" i="9"/>
  <c r="N52" i="3"/>
  <c r="P52" i="3"/>
  <c r="Q52" i="3"/>
  <c r="M52" i="3"/>
  <c r="L52" i="3"/>
  <c r="O52" i="3"/>
  <c r="I55" i="3"/>
  <c r="K55" i="3"/>
  <c r="H55" i="3"/>
  <c r="N60" i="3"/>
  <c r="Q60" i="3"/>
  <c r="M60" i="3"/>
  <c r="P60" i="3"/>
  <c r="L60" i="3"/>
  <c r="C68" i="3"/>
  <c r="C36" i="3"/>
  <c r="C77" i="3"/>
  <c r="C45" i="3"/>
  <c r="C84" i="3" s="1"/>
  <c r="I51" i="3"/>
  <c r="K51" i="3"/>
  <c r="H51" i="3"/>
  <c r="C50" i="3"/>
  <c r="C22" i="3"/>
  <c r="C62" i="3" s="1"/>
  <c r="J55" i="3"/>
  <c r="T58" i="3"/>
  <c r="S58" i="3"/>
  <c r="V58" i="3"/>
  <c r="R58" i="3"/>
  <c r="C37" i="3"/>
  <c r="T50" i="3"/>
  <c r="V50" i="3"/>
  <c r="S50" i="3"/>
  <c r="R50" i="3"/>
  <c r="C32" i="3"/>
  <c r="C60" i="3"/>
  <c r="U50" i="3"/>
  <c r="J51" i="3"/>
  <c r="T54" i="3"/>
  <c r="V54" i="3"/>
  <c r="R54" i="3"/>
  <c r="S54" i="3"/>
  <c r="N56" i="3"/>
  <c r="P56" i="3"/>
  <c r="Q56" i="3"/>
  <c r="M56" i="3"/>
  <c r="L56" i="3"/>
  <c r="O56" i="3"/>
  <c r="I59" i="3"/>
  <c r="H59" i="3"/>
  <c r="K59" i="3"/>
  <c r="O60" i="3"/>
  <c r="U49" i="3"/>
  <c r="J50" i="3"/>
  <c r="U53" i="3"/>
  <c r="U57" i="3"/>
  <c r="J58" i="3"/>
  <c r="C23" i="3"/>
  <c r="C63" i="3" s="1"/>
  <c r="C27" i="3"/>
  <c r="C31" i="3"/>
  <c r="C71" i="3" s="1"/>
  <c r="J49" i="3"/>
  <c r="R49" i="3"/>
  <c r="V49" i="3"/>
  <c r="K50" i="3"/>
  <c r="O50" i="3"/>
  <c r="L51" i="3"/>
  <c r="P51" i="3"/>
  <c r="U52" i="3"/>
  <c r="J53" i="3"/>
  <c r="R53" i="3"/>
  <c r="V53" i="3"/>
  <c r="K54" i="3"/>
  <c r="O54" i="3"/>
  <c r="L55" i="3"/>
  <c r="P55" i="3"/>
  <c r="U56" i="3"/>
  <c r="J57" i="3"/>
  <c r="R57" i="3"/>
  <c r="V57" i="3"/>
  <c r="K58" i="3"/>
  <c r="O58" i="3"/>
  <c r="L59" i="3"/>
  <c r="P59" i="3"/>
  <c r="T59" i="3"/>
  <c r="I60" i="3"/>
  <c r="U60" i="3"/>
  <c r="C26" i="3"/>
  <c r="O51" i="3"/>
  <c r="J54" i="3"/>
  <c r="O55" i="3"/>
  <c r="O59" i="3"/>
  <c r="L50" i="3"/>
  <c r="M51" i="3"/>
  <c r="R52" i="3"/>
  <c r="L54" i="3"/>
  <c r="M55" i="3"/>
  <c r="R56" i="3"/>
  <c r="L58" i="3"/>
  <c r="M59" i="3"/>
  <c r="R60" i="3"/>
  <c r="K12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C65" i="3" l="1"/>
  <c r="C33" i="3"/>
  <c r="BA4" i="9"/>
  <c r="BB4" i="9" s="1"/>
  <c r="BB13" i="9" s="1"/>
  <c r="C43" i="3"/>
  <c r="C82" i="3" s="1"/>
  <c r="C75" i="3"/>
  <c r="C34" i="3"/>
  <c r="C66" i="3"/>
  <c r="C67" i="3"/>
  <c r="C35" i="3"/>
  <c r="C76" i="3"/>
  <c r="C44" i="3"/>
  <c r="C83" i="3" s="1"/>
  <c r="K6" i="9"/>
  <c r="K7" i="9"/>
  <c r="K9" i="9"/>
  <c r="K11" i="9"/>
  <c r="K5" i="9"/>
  <c r="K10" i="9"/>
  <c r="K8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C72" i="3" l="1"/>
  <c r="C40" i="3"/>
  <c r="C79" i="3" s="1"/>
  <c r="C74" i="3"/>
  <c r="C42" i="3"/>
  <c r="C81" i="3" s="1"/>
  <c r="C73" i="3"/>
  <c r="C41" i="3"/>
  <c r="C80" i="3" s="1"/>
  <c r="T12" i="9"/>
  <c r="S12" i="9"/>
  <c r="P12" i="9"/>
  <c r="A12" i="9"/>
  <c r="R12" i="9" s="1"/>
  <c r="AO11" i="9"/>
  <c r="T11" i="9"/>
  <c r="S11" i="9"/>
  <c r="P11" i="9"/>
  <c r="F11" i="9"/>
  <c r="A11" i="9"/>
  <c r="R11" i="9" s="1"/>
  <c r="AO10" i="9"/>
  <c r="T10" i="9"/>
  <c r="S10" i="9"/>
  <c r="P10" i="9"/>
  <c r="F10" i="9"/>
  <c r="A10" i="9"/>
  <c r="R10" i="9" s="1"/>
  <c r="AO9" i="9"/>
  <c r="T9" i="9"/>
  <c r="S9" i="9"/>
  <c r="P9" i="9"/>
  <c r="F9" i="9"/>
  <c r="A9" i="9"/>
  <c r="R9" i="9" s="1"/>
  <c r="AO8" i="9"/>
  <c r="T8" i="9"/>
  <c r="S8" i="9"/>
  <c r="P8" i="9"/>
  <c r="F8" i="9"/>
  <c r="A8" i="9"/>
  <c r="R8" i="9" s="1"/>
  <c r="AO7" i="9"/>
  <c r="T7" i="9"/>
  <c r="S7" i="9"/>
  <c r="P7" i="9"/>
  <c r="F7" i="9"/>
  <c r="A7" i="9"/>
  <c r="R7" i="9" s="1"/>
  <c r="AO6" i="9"/>
  <c r="T6" i="9"/>
  <c r="S6" i="9"/>
  <c r="P6" i="9"/>
  <c r="F6" i="9"/>
  <c r="A6" i="9"/>
  <c r="R6" i="9" s="1"/>
  <c r="Z6" i="9" l="1"/>
  <c r="AL6" i="9" s="1"/>
  <c r="Y6" i="9"/>
  <c r="AA6" i="9" s="1"/>
  <c r="U12" i="9"/>
  <c r="V10" i="9"/>
  <c r="U10" i="9"/>
  <c r="V11" i="9"/>
  <c r="U11" i="9"/>
  <c r="V12" i="9"/>
  <c r="V7" i="9"/>
  <c r="U7" i="9"/>
  <c r="V9" i="9"/>
  <c r="U9" i="9"/>
  <c r="U6" i="9"/>
  <c r="V6" i="9"/>
  <c r="U8" i="9"/>
  <c r="V8" i="9"/>
  <c r="Y7" i="9"/>
  <c r="AA7" i="9" s="1"/>
  <c r="AJ6" i="9" l="1"/>
  <c r="Z7" i="9"/>
  <c r="X11" i="9"/>
  <c r="W11" i="9"/>
  <c r="X12" i="9"/>
  <c r="W12" i="9"/>
  <c r="W10" i="9"/>
  <c r="X10" i="9"/>
  <c r="W9" i="9"/>
  <c r="X9" i="9"/>
  <c r="W8" i="9"/>
  <c r="X8" i="9"/>
  <c r="X6" i="9"/>
  <c r="W6" i="9"/>
  <c r="X7" i="9"/>
  <c r="W7" i="9"/>
  <c r="AL7" i="9" l="1"/>
  <c r="AJ7" i="9"/>
  <c r="Z8" i="9"/>
  <c r="Y8" i="9"/>
  <c r="AA8" i="9" s="1"/>
  <c r="AB7" i="9"/>
  <c r="AC7" i="9" s="1"/>
  <c r="AE7" i="9" s="1"/>
  <c r="AF7" i="9" s="1"/>
  <c r="AB6" i="9"/>
  <c r="AC6" i="9" s="1"/>
  <c r="AE6" i="9" s="1"/>
  <c r="AF6" i="9" s="1"/>
  <c r="AD7" i="9" l="1"/>
  <c r="AL8" i="9"/>
  <c r="AJ8" i="9"/>
  <c r="AD6" i="9"/>
  <c r="AS6" i="9" s="1"/>
  <c r="AB8" i="9"/>
  <c r="AC8" i="9" s="1"/>
  <c r="Z9" i="9"/>
  <c r="Y9" i="9"/>
  <c r="AA9" i="9" s="1"/>
  <c r="AI7" i="9" l="1"/>
  <c r="AS7" i="9"/>
  <c r="AI6" i="9"/>
  <c r="AD8" i="9"/>
  <c r="AS8" i="9" s="1"/>
  <c r="AE8" i="9"/>
  <c r="AF8" i="9" s="1"/>
  <c r="Z10" i="9"/>
  <c r="Y10" i="9"/>
  <c r="AA10" i="9" s="1"/>
  <c r="AL9" i="9"/>
  <c r="AJ9" i="9"/>
  <c r="AB9" i="9"/>
  <c r="AC9" i="9" s="1"/>
  <c r="AP6" i="9" l="1"/>
  <c r="AK6" i="9"/>
  <c r="AP7" i="9"/>
  <c r="AK7" i="9"/>
  <c r="Y11" i="9"/>
  <c r="AA11" i="9" s="1"/>
  <c r="Z11" i="9"/>
  <c r="AL10" i="9"/>
  <c r="AJ10" i="9"/>
  <c r="AB10" i="9"/>
  <c r="AC10" i="9" s="1"/>
  <c r="AE9" i="9"/>
  <c r="AF9" i="9" s="1"/>
  <c r="AD9" i="9"/>
  <c r="AS9" i="9" s="1"/>
  <c r="AI8" i="9"/>
  <c r="AP8" i="9" l="1"/>
  <c r="AK8" i="9"/>
  <c r="AI9" i="9"/>
  <c r="AL11" i="9"/>
  <c r="AJ11" i="9"/>
  <c r="AB11" i="9"/>
  <c r="AC11" i="9" s="1"/>
  <c r="AD10" i="9"/>
  <c r="AS10" i="9" s="1"/>
  <c r="AE10" i="9"/>
  <c r="AF10" i="9" s="1"/>
  <c r="AP9" i="9" l="1"/>
  <c r="AK9" i="9"/>
  <c r="AI10" i="9"/>
  <c r="AD11" i="9"/>
  <c r="AS11" i="9" s="1"/>
  <c r="AE11" i="9"/>
  <c r="AF11" i="9" s="1"/>
  <c r="AP10" i="9" l="1"/>
  <c r="AK10" i="9"/>
  <c r="AI11" i="9"/>
  <c r="AP11" i="9" l="1"/>
  <c r="AK11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AL54" i="4"/>
  <c r="AM54" i="4"/>
  <c r="AM55" i="4"/>
  <c r="AM56" i="4"/>
  <c r="AM57" i="4"/>
  <c r="AM58" i="4"/>
  <c r="AM59" i="4"/>
  <c r="S60" i="4"/>
  <c r="AK60" i="4" l="1"/>
  <c r="AK54" i="4"/>
  <c r="P4" i="9"/>
  <c r="P5" i="9"/>
  <c r="Q12" i="9"/>
  <c r="F4" i="9"/>
  <c r="F5" i="9"/>
  <c r="AO5" i="9" l="1"/>
  <c r="Z5" i="9"/>
  <c r="AJ5" i="9" s="1"/>
  <c r="Y5" i="9"/>
  <c r="AA5" i="9" s="1"/>
  <c r="A5" i="9"/>
  <c r="Z4" i="9"/>
  <c r="AJ4" i="9" s="1"/>
  <c r="A4" i="9"/>
  <c r="AL4" i="9" l="1"/>
  <c r="AL5" i="9"/>
  <c r="AB16" i="4" l="1"/>
  <c r="V16" i="4"/>
  <c r="X16" i="4" s="1"/>
  <c r="Y16" i="4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R4" i="9" l="1"/>
  <c r="R5" i="9"/>
  <c r="S5" i="9"/>
  <c r="S4" i="9"/>
  <c r="T5" i="9"/>
  <c r="T4" i="9"/>
  <c r="I66" i="1"/>
  <c r="I65" i="1"/>
  <c r="I57" i="1"/>
  <c r="I56" i="1"/>
  <c r="I55" i="1"/>
  <c r="I54" i="1"/>
  <c r="I53" i="1"/>
  <c r="I52" i="1"/>
  <c r="U5" i="9" l="1"/>
  <c r="V5" i="9"/>
  <c r="V4" i="9"/>
  <c r="U4" i="9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B4" i="1"/>
  <c r="C7" i="1" s="1"/>
  <c r="B3" i="1"/>
  <c r="D3" i="1" s="1"/>
  <c r="C6" i="1" s="1"/>
  <c r="AF4" i="1"/>
  <c r="X4" i="9" l="1"/>
  <c r="W4" i="9"/>
  <c r="W5" i="9"/>
  <c r="X5" i="9"/>
  <c r="AO4" i="9"/>
  <c r="F3" i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B5" i="9" l="1"/>
  <c r="AC5" i="9" s="1"/>
  <c r="AD5" i="9" s="1"/>
  <c r="Y4" i="9"/>
  <c r="AA4" i="9" s="1"/>
  <c r="AF23" i="1"/>
  <c r="AF22" i="1"/>
  <c r="AF21" i="1"/>
  <c r="O20" i="1"/>
  <c r="AI5" i="9" l="1"/>
  <c r="AS5" i="9"/>
  <c r="AE5" i="9"/>
  <c r="AF5" i="9" s="1"/>
  <c r="AB4" i="9"/>
  <c r="AC4" i="9" s="1"/>
  <c r="U5" i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AP5" i="9" l="1"/>
  <c r="AK5" i="9"/>
  <c r="AD4" i="9"/>
  <c r="AS4" i="9" s="1"/>
  <c r="AE4" i="9"/>
  <c r="AF4" i="9" s="1"/>
  <c r="V3" i="1"/>
  <c r="AF3" i="1" s="1"/>
  <c r="U3" i="1"/>
  <c r="W3" i="1" s="1"/>
  <c r="AI4" i="9" l="1"/>
  <c r="D12" i="9" s="1"/>
  <c r="O4" i="1"/>
  <c r="P4" i="1"/>
  <c r="O5" i="1"/>
  <c r="O6" i="1"/>
  <c r="O3" i="1"/>
  <c r="P5" i="1"/>
  <c r="P6" i="1"/>
  <c r="P3" i="1"/>
  <c r="O11" i="1"/>
  <c r="O12" i="1"/>
  <c r="O13" i="1"/>
  <c r="O17" i="1"/>
  <c r="O15" i="1"/>
  <c r="O16" i="1"/>
  <c r="O14" i="1"/>
  <c r="O18" i="1"/>
  <c r="O10" i="1"/>
  <c r="P10" i="1"/>
  <c r="P15" i="1"/>
  <c r="P16" i="1"/>
  <c r="P13" i="1"/>
  <c r="P14" i="1"/>
  <c r="P17" i="1"/>
  <c r="P11" i="1"/>
  <c r="P12" i="1"/>
  <c r="P18" i="1"/>
  <c r="O8" i="1"/>
  <c r="O9" i="1"/>
  <c r="O7" i="1"/>
  <c r="P9" i="1"/>
  <c r="P8" i="1"/>
  <c r="P7" i="1"/>
  <c r="O51" i="4"/>
  <c r="O52" i="4" s="1"/>
  <c r="G51" i="4"/>
  <c r="G52" i="4" s="1"/>
  <c r="O49" i="4"/>
  <c r="O50" i="4" s="1"/>
  <c r="G49" i="4"/>
  <c r="G50" i="4" s="1"/>
  <c r="AF48" i="4"/>
  <c r="X48" i="4"/>
  <c r="O48" i="4"/>
  <c r="G48" i="4"/>
  <c r="O42" i="4"/>
  <c r="O43" i="4" s="1"/>
  <c r="G42" i="4"/>
  <c r="G43" i="4" s="1"/>
  <c r="O40" i="4"/>
  <c r="O41" i="4" s="1"/>
  <c r="G40" i="4"/>
  <c r="AF39" i="4"/>
  <c r="X39" i="4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X30" i="4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G22" i="4"/>
  <c r="G23" i="4" s="1"/>
  <c r="AF21" i="4"/>
  <c r="X21" i="4"/>
  <c r="O21" i="4"/>
  <c r="G21" i="4"/>
  <c r="O15" i="4"/>
  <c r="O16" i="4" s="1"/>
  <c r="G15" i="4"/>
  <c r="G16" i="4" s="1"/>
  <c r="O13" i="4"/>
  <c r="O14" i="4" s="1"/>
  <c r="G13" i="4"/>
  <c r="G14" i="4" s="1"/>
  <c r="AF12" i="4"/>
  <c r="X12" i="4"/>
  <c r="O12" i="4"/>
  <c r="G12" i="4"/>
  <c r="AN10" i="4"/>
  <c r="AN15" i="4" s="1"/>
  <c r="AP4" i="9" l="1"/>
  <c r="AK4" i="9"/>
  <c r="Q6" i="9"/>
  <c r="Q11" i="9"/>
  <c r="Q7" i="9"/>
  <c r="Q9" i="9"/>
  <c r="Q8" i="9"/>
  <c r="Q10" i="9"/>
  <c r="Q5" i="9"/>
  <c r="Q4" i="9"/>
  <c r="S26" i="4"/>
  <c r="X58" i="4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N9" i="1"/>
  <c r="R9" i="1" s="1"/>
  <c r="N7" i="1"/>
  <c r="N8" i="1"/>
  <c r="Q12" i="1"/>
  <c r="G32" i="4"/>
  <c r="G41" i="4"/>
  <c r="AN16" i="4"/>
  <c r="AS27" i="4"/>
  <c r="AS38" i="4"/>
  <c r="AM27" i="4"/>
  <c r="AM9" i="9" l="1"/>
  <c r="AN9" i="9" s="1"/>
  <c r="AR9" i="9" s="1"/>
  <c r="AG9" i="9"/>
  <c r="AH9" i="9" s="1"/>
  <c r="AQ9" i="9" s="1"/>
  <c r="AM6" i="9"/>
  <c r="AN6" i="9" s="1"/>
  <c r="AR6" i="9" s="1"/>
  <c r="AG6" i="9"/>
  <c r="AH6" i="9" s="1"/>
  <c r="AQ6" i="9" s="1"/>
  <c r="AM10" i="9"/>
  <c r="AN10" i="9" s="1"/>
  <c r="AR10" i="9" s="1"/>
  <c r="AG10" i="9"/>
  <c r="AH10" i="9" s="1"/>
  <c r="AQ10" i="9" s="1"/>
  <c r="AM8" i="9"/>
  <c r="AN8" i="9" s="1"/>
  <c r="AR8" i="9" s="1"/>
  <c r="AG8" i="9"/>
  <c r="AH8" i="9" s="1"/>
  <c r="AQ8" i="9" s="1"/>
  <c r="AM11" i="9"/>
  <c r="AN11" i="9" s="1"/>
  <c r="AR11" i="9" s="1"/>
  <c r="AG11" i="9"/>
  <c r="AH11" i="9" s="1"/>
  <c r="AQ11" i="9" s="1"/>
  <c r="AM7" i="9"/>
  <c r="AN7" i="9" s="1"/>
  <c r="AR7" i="9" s="1"/>
  <c r="AG7" i="9"/>
  <c r="AH7" i="9" s="1"/>
  <c r="AQ7" i="9" s="1"/>
  <c r="AM4" i="9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T26" i="4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T4" i="1" l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M22" i="1" l="1"/>
  <c r="AG22" i="1" s="1"/>
  <c r="M23" i="1"/>
  <c r="AG23" i="1" s="1"/>
  <c r="M21" i="1"/>
  <c r="AG21" i="1" s="1"/>
  <c r="M20" i="1"/>
  <c r="AG20" i="1" s="1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12" i="9" l="1"/>
  <c r="Z12" i="9" s="1"/>
  <c r="AL12" i="9" l="1"/>
  <c r="AJ12" i="9"/>
  <c r="AO12" i="9" l="1"/>
  <c r="E12" i="9"/>
  <c r="F12" i="9" l="1"/>
  <c r="Y12" i="9" s="1"/>
  <c r="AA12" i="9" s="1"/>
  <c r="AM12" i="9" s="1"/>
  <c r="AN12" i="9" s="1"/>
  <c r="AR12" i="9" s="1"/>
  <c r="AB12" i="9" l="1"/>
  <c r="AC12" i="9" s="1"/>
  <c r="AD12" i="9" s="1"/>
  <c r="AS12" i="9" s="1"/>
  <c r="AE12" i="9" l="1"/>
  <c r="AF12" i="9" s="1"/>
  <c r="AI12" i="9"/>
  <c r="AG12" i="9"/>
  <c r="AH12" i="9" s="1"/>
  <c r="AQ12" i="9" l="1"/>
  <c r="AP12" i="9"/>
  <c r="AK12" i="9"/>
</calcChain>
</file>

<file path=xl/sharedStrings.xml><?xml version="1.0" encoding="utf-8"?>
<sst xmlns="http://schemas.openxmlformats.org/spreadsheetml/2006/main" count="649" uniqueCount="181">
  <si>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</si>
  <si>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</si>
  <si>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</si>
  <si>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</si>
  <si>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</si>
  <si>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</si>
  <si>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</si>
  <si>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</si>
  <si>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</si>
  <si>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</si>
  <si>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</si>
  <si>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</si>
  <si>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</si>
  <si>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</si>
  <si>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</si>
  <si>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</si>
  <si>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</si>
  <si>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</si>
  <si>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</si>
  <si>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</si>
  <si>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</si>
  <si>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</si>
  <si>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</si>
  <si>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</si>
  <si>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</si>
  <si>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</si>
  <si>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</si>
  <si>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</si>
  <si>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</si>
  <si>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</si>
  <si>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</si>
  <si>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</si>
  <si>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</si>
  <si>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</si>
  <si>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</si>
  <si>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</si>
  <si>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</si>
  <si>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</si>
  <si>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</si>
  <si>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</si>
  <si>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</si>
  <si>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</si>
  <si>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</si>
  <si>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</si>
  <si>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</si>
  <si>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</si>
  <si>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</si>
  <si>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</si>
  <si>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</si>
  <si>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</si>
  <si>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</si>
  <si>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</si>
  <si>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</si>
  <si>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</si>
  <si>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</si>
  <si>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</si>
  <si>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</si>
  <si>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</si>
  <si>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</si>
  <si>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</si>
  <si>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</si>
  <si>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</si>
  <si>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</si>
  <si>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</si>
  <si>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</si>
  <si>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</si>
  <si>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</si>
  <si>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</si>
  <si>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</si>
  <si>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</si>
  <si>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</si>
  <si>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</si>
  <si>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</si>
  <si>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</si>
  <si>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</si>
  <si>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</si>
  <si>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</si>
  <si>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</si>
  <si>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</si>
  <si>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</si>
  <si>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</si>
  <si>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</si>
  <si>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</si>
  <si>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</si>
  <si>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</si>
  <si>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</si>
  <si>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</si>
  <si>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</si>
  <si>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</si>
  <si>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</si>
  <si>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</si>
  <si>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</si>
  <si>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</si>
  <si>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</si>
  <si>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</si>
  <si>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</si>
  <si>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</si>
  <si>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</si>
  <si>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</si>
  <si>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</si>
  <si>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</si>
  <si>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</si>
  <si>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</si>
  <si>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</si>
  <si>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</si>
  <si>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</si>
  <si>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</si>
  <si>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</si>
  <si>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</si>
  <si>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</si>
  <si>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</si>
  <si>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</si>
  <si>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</si>
  <si>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</si>
  <si>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</si>
  <si>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</si>
  <si>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</si>
  <si>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</si>
  <si>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</si>
  <si>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</si>
  <si>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</si>
  <si>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</si>
  <si>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</si>
  <si>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</si>
  <si>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</si>
  <si>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</si>
  <si>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</si>
  <si>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</si>
  <si>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</si>
  <si>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</si>
  <si>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</si>
  <si>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</si>
  <si>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</si>
  <si>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</si>
  <si>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</si>
  <si>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</si>
  <si>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</si>
  <si>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</si>
  <si>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</si>
  <si>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</si>
  <si>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</si>
  <si>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</si>
  <si>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</si>
  <si>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</si>
  <si>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</si>
  <si>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</si>
  <si>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</si>
  <si>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</si>
  <si>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</si>
  <si>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</si>
  <si>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</si>
  <si>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</si>
  <si>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</si>
  <si>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</si>
  <si>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</si>
  <si>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</si>
  <si>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</si>
  <si>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</si>
  <si>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</si>
  <si>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</si>
  <si>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</si>
  <si>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</si>
  <si>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</si>
  <si>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</si>
  <si>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</si>
  <si>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26/45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</si>
  <si>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</si>
  <si>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</si>
  <si>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</si>
  <si>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</si>
  <si>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</si>
  <si>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</si>
  <si>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</si>
  <si>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</si>
  <si>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</si>
  <si>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</si>
  <si>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</si>
  <si>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</si>
  <si>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</si>
  <si>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</si>
  <si>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20/35kV EPR 630mm2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</si>
</sst>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169" fontId="0" fillId="0" borderId="0" xfId="0" applyNumberFormat="1"/>
    <xf numFmtId="1" fontId="0" fillId="0" borderId="0" xfId="4" applyNumberFormat="1" applyFont="1" applyAlignment="1">
      <alignment horizontal="center"/>
    </xf>
    <xf numFmtId="43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104775</xdr:colOff>
      <xdr:row>10</xdr:row>
      <xdr:rowOff>38100</xdr:rowOff>
    </xdr:from>
    <xdr:to>
      <xdr:col>46</xdr:col>
      <xdr:colOff>72693</xdr:colOff>
      <xdr:row>10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4751F8-6458-4E26-91FA-4897F612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7715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9</xdr:row>
      <xdr:rowOff>152400</xdr:rowOff>
    </xdr:from>
    <xdr:to>
      <xdr:col>47</xdr:col>
      <xdr:colOff>716339</xdr:colOff>
      <xdr:row>9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11</xdr:row>
      <xdr:rowOff>104775</xdr:rowOff>
    </xdr:from>
    <xdr:to>
      <xdr:col>48</xdr:col>
      <xdr:colOff>28395</xdr:colOff>
      <xdr:row>11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8</xdr:row>
      <xdr:rowOff>152400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12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12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12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12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27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12</xdr:row>
      <xdr:rowOff>0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6716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12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12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8</xdr:row>
      <xdr:rowOff>152400</xdr:rowOff>
    </xdr:from>
    <xdr:to>
      <xdr:col>48</xdr:col>
      <xdr:colOff>421064</xdr:colOff>
      <xdr:row>8</xdr:row>
      <xdr:rowOff>152400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E9B63CB9-9604-4A49-B1E1-DCFEB926C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685925"/>
          <a:ext cx="123068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10</xdr:row>
      <xdr:rowOff>104775</xdr:rowOff>
    </xdr:from>
    <xdr:to>
      <xdr:col>49</xdr:col>
      <xdr:colOff>47445</xdr:colOff>
      <xdr:row>10</xdr:row>
      <xdr:rowOff>104775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AF0AF863-B391-4922-9124-1FA7293AA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2019300"/>
          <a:ext cx="1457145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7</xdr:row>
      <xdr:rowOff>152400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A75EA67D-4DD3-4984-B0DE-F4E953F1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4954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493B0C34-85D0-4ED2-AD72-69C4ACCF7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28" name="Imagem 27">
          <a:extLst>
            <a:ext uri="{FF2B5EF4-FFF2-40B4-BE49-F238E27FC236}">
              <a16:creationId xmlns:a16="http://schemas.microsoft.com/office/drawing/2014/main" id="{519A77AE-5A2D-4A12-8542-A72418D07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29" name="Imagem 28">
          <a:extLst>
            <a:ext uri="{FF2B5EF4-FFF2-40B4-BE49-F238E27FC236}">
              <a16:creationId xmlns:a16="http://schemas.microsoft.com/office/drawing/2014/main" id="{A8366114-D8DE-4060-AD98-3A1CF3DAC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2105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C10D2AF3-0327-4A29-BB27-E2DC65345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E758F0D3-5CB6-4ECB-9D98-A9B6B9DEC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32" name="Imagem 31">
          <a:extLst>
            <a:ext uri="{FF2B5EF4-FFF2-40B4-BE49-F238E27FC236}">
              <a16:creationId xmlns:a16="http://schemas.microsoft.com/office/drawing/2014/main" id="{06F73740-E8AB-453A-B05D-2E018A8C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33" name="Imagem 32">
          <a:extLst>
            <a:ext uri="{FF2B5EF4-FFF2-40B4-BE49-F238E27FC236}">
              <a16:creationId xmlns:a16="http://schemas.microsoft.com/office/drawing/2014/main" id="{82019876-BC3D-40DC-B2A3-AA1080758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2105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C2DEE659-CF28-4361-90F4-D012DB4C1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B7F78C4B-94C4-427E-ACA0-3CE753243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27514" cy="0"/>
    <xdr:pic>
      <xdr:nvPicPr>
        <xdr:cNvPr id="36" name="Imagem 35">
          <a:extLst>
            <a:ext uri="{FF2B5EF4-FFF2-40B4-BE49-F238E27FC236}">
              <a16:creationId xmlns:a16="http://schemas.microsoft.com/office/drawing/2014/main" id="{F23ECBF1-D13E-4A1E-A078-D01280F79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11</xdr:row>
      <xdr:rowOff>0</xdr:rowOff>
    </xdr:from>
    <xdr:ext cx="1450795" cy="0"/>
    <xdr:pic>
      <xdr:nvPicPr>
        <xdr:cNvPr id="37" name="Imagem 36">
          <a:extLst>
            <a:ext uri="{FF2B5EF4-FFF2-40B4-BE49-F238E27FC236}">
              <a16:creationId xmlns:a16="http://schemas.microsoft.com/office/drawing/2014/main" id="{674A626B-9541-4EAE-AD65-F0B9D810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2105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6B785FBE-A64B-49E4-985C-07CB43C8B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11</xdr:row>
      <xdr:rowOff>0</xdr:rowOff>
    </xdr:from>
    <xdr:ext cx="1219048" cy="0"/>
    <xdr:pic>
      <xdr:nvPicPr>
        <xdr:cNvPr id="39" name="Imagem 38">
          <a:extLst>
            <a:ext uri="{FF2B5EF4-FFF2-40B4-BE49-F238E27FC236}">
              <a16:creationId xmlns:a16="http://schemas.microsoft.com/office/drawing/2014/main" id="{BAE79C25-1439-41E2-91E8-9F8D2F607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21050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7</xdr:row>
      <xdr:rowOff>152400</xdr:rowOff>
    </xdr:from>
    <xdr:to>
      <xdr:col>49</xdr:col>
      <xdr:colOff>440114</xdr:colOff>
      <xdr:row>7</xdr:row>
      <xdr:rowOff>152400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90EC96F2-E51F-4F2E-B6C6-1A11D2F82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495425"/>
          <a:ext cx="185933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9</xdr:row>
      <xdr:rowOff>104775</xdr:rowOff>
    </xdr:from>
    <xdr:to>
      <xdr:col>50</xdr:col>
      <xdr:colOff>276044</xdr:colOff>
      <xdr:row>9</xdr:row>
      <xdr:rowOff>104775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EC786B38-BF3C-4341-BEE9-61E53BBE0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1828800"/>
          <a:ext cx="2295344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6</xdr:row>
      <xdr:rowOff>152400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FD8EF3FD-8E38-41A5-93C7-B28285B9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304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43" name="Imagem 42">
          <a:extLst>
            <a:ext uri="{FF2B5EF4-FFF2-40B4-BE49-F238E27FC236}">
              <a16:creationId xmlns:a16="http://schemas.microsoft.com/office/drawing/2014/main" id="{526D991C-2495-4677-BBBA-310AF454F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44" name="Imagem 43">
          <a:extLst>
            <a:ext uri="{FF2B5EF4-FFF2-40B4-BE49-F238E27FC236}">
              <a16:creationId xmlns:a16="http://schemas.microsoft.com/office/drawing/2014/main" id="{A8B44C59-6619-4F4D-B502-6D8DA0AD7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45" name="Imagem 44">
          <a:extLst>
            <a:ext uri="{FF2B5EF4-FFF2-40B4-BE49-F238E27FC236}">
              <a16:creationId xmlns:a16="http://schemas.microsoft.com/office/drawing/2014/main" id="{D300220C-732E-4638-AC81-145BCF1B4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46" name="Imagem 45">
          <a:extLst>
            <a:ext uri="{FF2B5EF4-FFF2-40B4-BE49-F238E27FC236}">
              <a16:creationId xmlns:a16="http://schemas.microsoft.com/office/drawing/2014/main" id="{F75CACA6-B301-4344-A4F7-3E5C6A1E0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47" name="Imagem 46">
          <a:extLst>
            <a:ext uri="{FF2B5EF4-FFF2-40B4-BE49-F238E27FC236}">
              <a16:creationId xmlns:a16="http://schemas.microsoft.com/office/drawing/2014/main" id="{B95A9287-1373-4158-8F5E-F72894C04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48" name="Imagem 47">
          <a:extLst>
            <a:ext uri="{FF2B5EF4-FFF2-40B4-BE49-F238E27FC236}">
              <a16:creationId xmlns:a16="http://schemas.microsoft.com/office/drawing/2014/main" id="{AAB2AB0D-4F37-4797-83A8-00F41D0DB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49" name="Imagem 48">
          <a:extLst>
            <a:ext uri="{FF2B5EF4-FFF2-40B4-BE49-F238E27FC236}">
              <a16:creationId xmlns:a16="http://schemas.microsoft.com/office/drawing/2014/main" id="{56B1AD73-2160-4E83-8789-496061E51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50" name="Imagem 49">
          <a:extLst>
            <a:ext uri="{FF2B5EF4-FFF2-40B4-BE49-F238E27FC236}">
              <a16:creationId xmlns:a16="http://schemas.microsoft.com/office/drawing/2014/main" id="{7B737F98-0B87-4B2B-AB89-D3228D415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51" name="Imagem 50">
          <a:extLst>
            <a:ext uri="{FF2B5EF4-FFF2-40B4-BE49-F238E27FC236}">
              <a16:creationId xmlns:a16="http://schemas.microsoft.com/office/drawing/2014/main" id="{F1DE6291-C2F2-4617-BC83-079C4B3D6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27514" cy="0"/>
    <xdr:pic>
      <xdr:nvPicPr>
        <xdr:cNvPr id="52" name="Imagem 51">
          <a:extLst>
            <a:ext uri="{FF2B5EF4-FFF2-40B4-BE49-F238E27FC236}">
              <a16:creationId xmlns:a16="http://schemas.microsoft.com/office/drawing/2014/main" id="{391F2BCE-48B1-410E-A66A-25D4F44BC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10</xdr:row>
      <xdr:rowOff>0</xdr:rowOff>
    </xdr:from>
    <xdr:ext cx="1450795" cy="0"/>
    <xdr:pic>
      <xdr:nvPicPr>
        <xdr:cNvPr id="53" name="Imagem 52">
          <a:extLst>
            <a:ext uri="{FF2B5EF4-FFF2-40B4-BE49-F238E27FC236}">
              <a16:creationId xmlns:a16="http://schemas.microsoft.com/office/drawing/2014/main" id="{6ACAF42C-8F67-4771-9266-EBCEFBB65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1914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54" name="Imagem 53">
          <a:extLst>
            <a:ext uri="{FF2B5EF4-FFF2-40B4-BE49-F238E27FC236}">
              <a16:creationId xmlns:a16="http://schemas.microsoft.com/office/drawing/2014/main" id="{0698EC2C-E889-49DF-BAEE-C536FDAEF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10</xdr:row>
      <xdr:rowOff>0</xdr:rowOff>
    </xdr:from>
    <xdr:ext cx="1219048" cy="0"/>
    <xdr:pic>
      <xdr:nvPicPr>
        <xdr:cNvPr id="55" name="Imagem 54">
          <a:extLst>
            <a:ext uri="{FF2B5EF4-FFF2-40B4-BE49-F238E27FC236}">
              <a16:creationId xmlns:a16="http://schemas.microsoft.com/office/drawing/2014/main" id="{0DF10B0B-D42F-424B-AA9F-FA2444606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914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5</xdr:row>
      <xdr:rowOff>152400</xdr:rowOff>
    </xdr:from>
    <xdr:to>
      <xdr:col>54</xdr:col>
      <xdr:colOff>440114</xdr:colOff>
      <xdr:row>5</xdr:row>
      <xdr:rowOff>152400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B3750400-00B6-40BF-85AC-01BFAF7FF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114425"/>
          <a:ext cx="490733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55</xdr:col>
      <xdr:colOff>114120</xdr:colOff>
      <xdr:row>7</xdr:row>
      <xdr:rowOff>104775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69E87D42-CE80-4F0E-97D3-C2C832BF6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1447800"/>
          <a:ext cx="5181420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58" name="Imagem 57">
          <a:extLst>
            <a:ext uri="{FF2B5EF4-FFF2-40B4-BE49-F238E27FC236}">
              <a16:creationId xmlns:a16="http://schemas.microsoft.com/office/drawing/2014/main" id="{8C9D49D9-19EA-4FD1-8B75-33546B1E5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923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59" name="Imagem 58">
          <a:extLst>
            <a:ext uri="{FF2B5EF4-FFF2-40B4-BE49-F238E27FC236}">
              <a16:creationId xmlns:a16="http://schemas.microsoft.com/office/drawing/2014/main" id="{645A1FA6-2B96-4D6C-9A8D-29C240E1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60" name="Imagem 59">
          <a:extLst>
            <a:ext uri="{FF2B5EF4-FFF2-40B4-BE49-F238E27FC236}">
              <a16:creationId xmlns:a16="http://schemas.microsoft.com/office/drawing/2014/main" id="{41CC5126-B5F6-4080-878A-99BB3BB87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61" name="Imagem 60">
          <a:extLst>
            <a:ext uri="{FF2B5EF4-FFF2-40B4-BE49-F238E27FC236}">
              <a16:creationId xmlns:a16="http://schemas.microsoft.com/office/drawing/2014/main" id="{EA760F54-C0F2-4FAF-8A08-ABE22649D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62" name="Imagem 61">
          <a:extLst>
            <a:ext uri="{FF2B5EF4-FFF2-40B4-BE49-F238E27FC236}">
              <a16:creationId xmlns:a16="http://schemas.microsoft.com/office/drawing/2014/main" id="{3B8C8FD4-E136-4460-BE36-0B5294E76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63" name="Imagem 62">
          <a:extLst>
            <a:ext uri="{FF2B5EF4-FFF2-40B4-BE49-F238E27FC236}">
              <a16:creationId xmlns:a16="http://schemas.microsoft.com/office/drawing/2014/main" id="{69D83F1E-D156-40C8-86CC-9DDA9FAE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64" name="Imagem 63">
          <a:extLst>
            <a:ext uri="{FF2B5EF4-FFF2-40B4-BE49-F238E27FC236}">
              <a16:creationId xmlns:a16="http://schemas.microsoft.com/office/drawing/2014/main" id="{FCD62AF8-2538-48CA-9645-E87869670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65" name="Imagem 64">
          <a:extLst>
            <a:ext uri="{FF2B5EF4-FFF2-40B4-BE49-F238E27FC236}">
              <a16:creationId xmlns:a16="http://schemas.microsoft.com/office/drawing/2014/main" id="{0E5EBAD4-928E-41B6-8159-675096909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66" name="Imagem 65">
          <a:extLst>
            <a:ext uri="{FF2B5EF4-FFF2-40B4-BE49-F238E27FC236}">
              <a16:creationId xmlns:a16="http://schemas.microsoft.com/office/drawing/2014/main" id="{AC15DB32-DB31-431E-B565-961B418E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67" name="Imagem 66">
          <a:extLst>
            <a:ext uri="{FF2B5EF4-FFF2-40B4-BE49-F238E27FC236}">
              <a16:creationId xmlns:a16="http://schemas.microsoft.com/office/drawing/2014/main" id="{93A038F6-6E75-4AB7-AEC0-9B3D0E582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68" name="Imagem 67">
          <a:extLst>
            <a:ext uri="{FF2B5EF4-FFF2-40B4-BE49-F238E27FC236}">
              <a16:creationId xmlns:a16="http://schemas.microsoft.com/office/drawing/2014/main" id="{E65A5577-F823-401A-A87A-BF8FEA67F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69" name="Imagem 68">
          <a:extLst>
            <a:ext uri="{FF2B5EF4-FFF2-40B4-BE49-F238E27FC236}">
              <a16:creationId xmlns:a16="http://schemas.microsoft.com/office/drawing/2014/main" id="{3D860D51-A164-4602-92C3-F31C39431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0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70" name="Imagem 69">
          <a:extLst>
            <a:ext uri="{FF2B5EF4-FFF2-40B4-BE49-F238E27FC236}">
              <a16:creationId xmlns:a16="http://schemas.microsoft.com/office/drawing/2014/main" id="{43FC2B39-0C2D-4C45-9ACA-711962634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71" name="Imagem 70">
          <a:extLst>
            <a:ext uri="{FF2B5EF4-FFF2-40B4-BE49-F238E27FC236}">
              <a16:creationId xmlns:a16="http://schemas.microsoft.com/office/drawing/2014/main" id="{695B68A4-78EF-433B-B941-B2667E1FA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1533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58</xdr:col>
      <xdr:colOff>135314</xdr:colOff>
      <xdr:row>4</xdr:row>
      <xdr:rowOff>152400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7682CCAE-09B6-4AFC-863D-3FD7C3FBB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8975" y="923925"/>
          <a:ext cx="7040939" cy="0"/>
        </a:xfrm>
        <a:prstGeom prst="rect">
          <a:avLst/>
        </a:prstGeom>
      </xdr:spPr>
    </xdr:pic>
    <xdr:clientData/>
  </xdr:two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73" name="Imagem 72">
          <a:extLst>
            <a:ext uri="{FF2B5EF4-FFF2-40B4-BE49-F238E27FC236}">
              <a16:creationId xmlns:a16="http://schemas.microsoft.com/office/drawing/2014/main" id="{04BBF705-B7DA-4C0C-B906-65D2CB1CC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44567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74" name="Imagem 73">
          <a:extLst>
            <a:ext uri="{FF2B5EF4-FFF2-40B4-BE49-F238E27FC236}">
              <a16:creationId xmlns:a16="http://schemas.microsoft.com/office/drawing/2014/main" id="{4E2A116B-4CA1-40C1-ADCC-8A551A9D1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87441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75" name="Imagem 74">
          <a:extLst>
            <a:ext uri="{FF2B5EF4-FFF2-40B4-BE49-F238E27FC236}">
              <a16:creationId xmlns:a16="http://schemas.microsoft.com/office/drawing/2014/main" id="{79A18E59-6F11-4AFB-8AF5-FC8082DD3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7333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10</xdr:row>
      <xdr:rowOff>137583</xdr:rowOff>
    </xdr:from>
    <xdr:ext cx="1227514" cy="0"/>
    <xdr:pic>
      <xdr:nvPicPr>
        <xdr:cNvPr id="76" name="Imagem 75">
          <a:extLst>
            <a:ext uri="{FF2B5EF4-FFF2-40B4-BE49-F238E27FC236}">
              <a16:creationId xmlns:a16="http://schemas.microsoft.com/office/drawing/2014/main" id="{C5328FB1-3C35-47E7-AA6A-4A179129E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92442" y="20521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9F1681E-1ECD-4BB6-8816-06BB4DB1B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8650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CA62513-ABDB-4FB7-8F42-C664A2BBD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58650" y="2476500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CB461BA-1BFB-4526-B934-191191582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58650" y="5200650"/>
          <a:ext cx="6676190" cy="16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"/>
      <sheetName val="Avaliação"/>
      <sheetName val="Cabos"/>
      <sheetName val="Dados Típicos"/>
    </sheetNames>
    <sheetDataSet>
      <sheetData sheetId="0"/>
      <sheetData sheetId="1"/>
      <sheetData sheetId="2"/>
      <sheetData sheetId="3">
        <row r="14">
          <cell r="G14">
            <v>130.5</v>
          </cell>
          <cell r="O14">
            <v>153.70000000000002</v>
          </cell>
        </row>
        <row r="23">
          <cell r="G23">
            <v>187.05</v>
          </cell>
          <cell r="O23">
            <v>221.85</v>
          </cell>
        </row>
        <row r="32">
          <cell r="G32">
            <v>250.85</v>
          </cell>
          <cell r="O32">
            <v>278.39999999999998</v>
          </cell>
        </row>
        <row r="41">
          <cell r="G41">
            <v>311.02500000000003</v>
          </cell>
          <cell r="O41">
            <v>362.5</v>
          </cell>
        </row>
        <row r="43">
          <cell r="O43">
            <v>316.66666666666669</v>
          </cell>
        </row>
        <row r="50">
          <cell r="G50">
            <v>395.125</v>
          </cell>
          <cell r="O50">
            <v>435</v>
          </cell>
        </row>
        <row r="60">
          <cell r="G60">
            <v>477.77500000000003</v>
          </cell>
          <cell r="O60">
            <v>522.72500000000002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13"/>
  <sheetViews>
    <sheetView tabSelected="1" zoomScale="90" zoomScaleNormal="90" workbookViewId="0">
      <selection activeCell="G4" sqref="G4:J12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8" width="13.85546875" customWidth="1"/>
    <col min="49" max="50" width="12.28515625" customWidth="1"/>
    <col min="51" max="51" width="9.85546875" customWidth="1"/>
    <col min="52" max="52" width="14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2" t="s">
        <v>123</v>
      </c>
      <c r="E1" s="202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2" t="s">
        <v>6</v>
      </c>
      <c r="O1" s="202"/>
      <c r="P1" s="202"/>
      <c r="Q1" s="202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170</v>
      </c>
      <c r="BA1" t="s">
        <v>171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1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172</v>
      </c>
      <c r="AU3" s="198" t="s">
        <v>173</v>
      </c>
      <c r="AV3" s="198" t="s">
        <v>174</v>
      </c>
      <c r="AW3" s="198" t="s">
        <v>175</v>
      </c>
      <c r="AX3" s="198" t="s">
        <v>176</v>
      </c>
      <c r="AY3" s="198" t="s">
        <v>177</v>
      </c>
      <c r="AZ3" s="198" t="s">
        <v>178</v>
      </c>
      <c r="BB3" s="198" t="s">
        <v>179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7" si="0">D4/(E4*C4)</f>
        <v>4.3478260869565215</v>
      </c>
      <c r="G4" s="157">
        <f t="shared" ref="G4:G11" si="1">$I$12</f>
        <v>29.744053030225782</v>
      </c>
      <c r="H4" s="157">
        <f t="shared" ref="H4:H11" si="2">$J$12</f>
        <v>3.5630842441123538</v>
      </c>
      <c r="I4">
        <v>30</v>
      </c>
      <c r="J4">
        <v>7</v>
      </c>
      <c r="K4" s="192">
        <f t="shared" ref="K4:K12" si="3">SQRT((G4-I4)^2+(H4-J4)^2)</f>
        <v>3.4464327593042281</v>
      </c>
      <c r="L4" s="107">
        <v>25</v>
      </c>
      <c r="M4" s="180">
        <v>1</v>
      </c>
      <c r="N4" s="156" t="s">
        <v>159</v>
      </c>
      <c r="O4" s="159">
        <v>1</v>
      </c>
      <c r="P4" s="159">
        <f t="shared" ref="P4:P5" si="4">IF(O4=1,1,IF(O4=2,0.9,0.8))</f>
        <v>1</v>
      </c>
      <c r="Q4" s="181">
        <f>VLOOKUP(N4,Cabos!$B$13:$F$46,2,0)*O4*P4</f>
        <v>153.70000000000002</v>
      </c>
      <c r="R4" s="182">
        <f>((VLOOKUP(N4,Cabos!$B$13:$F$46,3,0)/O4*K4))*(1+A4)</f>
        <v>1.7059842158555929</v>
      </c>
      <c r="S4" s="182">
        <f>(VLOOKUP(N4,Cabos!$B$13:$F$46,4,0)/O4*K4)*B4/60</f>
        <v>0.61691146391545681</v>
      </c>
      <c r="T4" s="182">
        <f>1/(VLOOKUP(N4,Cabos!$B$13:$F$46,5,0)*60/B4) * O4 * K4</f>
        <v>1.8079173054106007E-4</v>
      </c>
      <c r="U4" s="178" t="str">
        <f t="shared" ref="U4:U5" si="5">IMSQRT(IMDIV(COMPLEX(R4,S4),COMPLEX(0,T4)))</f>
        <v>81,9953644820212-57,5409662461408i</v>
      </c>
      <c r="V4" s="178" t="str">
        <f t="shared" ref="V4:V5" si="6">IMSQRT(IMPRODUCT(COMPLEX(R4,S4),COMPLEX(0,T4)))</f>
        <v>0,0104029308646445+0,0148240838410496i</v>
      </c>
      <c r="W4" s="178" t="str">
        <f t="shared" ref="W4:W5" si="7">IMPRODUCT(U4,_xlfn.IMSINH(V4))</f>
        <v>1,70592079081061+0,61698769040428i</v>
      </c>
      <c r="X4" s="178" t="str">
        <f t="shared" ref="X4:X5" si="8">IMDIV(IMSUB(_xlfn.IMCOSH(V4),COMPLEX(1,0)),IMPRODUCT(U4,_xlfn.IMSINH(V4)))</f>
        <v>2,32343519000028E-09+0,0000903967053812715i</v>
      </c>
      <c r="Y4" s="183">
        <f t="shared" ref="Y4:Y5" si="9">F4/L4/SQRT(3)*1000</f>
        <v>100.408742467761</v>
      </c>
      <c r="Z4" s="184" t="str">
        <f t="shared" ref="Z4:Z5" si="10">COMPLEX(L4*1000/SQRT(3)*M4,0)</f>
        <v>14433,7567297406</v>
      </c>
      <c r="AA4" s="184" t="str">
        <f t="shared" ref="AA4:AA5" si="11">COMPLEX(Y4*E4,-Y4*SQRT(1-E4*E4))</f>
        <v>92,3760430703401-39,3520295616861i</v>
      </c>
      <c r="AB4" s="184" t="str">
        <f t="shared" ref="AB4:AB5" si="12">IMPRODUCT(W4,IMSUM(AA4,IMPRODUCT(X4,Z4)))</f>
        <v>181,060964127484-7,91071910806383i</v>
      </c>
      <c r="AC4" s="184" t="str">
        <f t="shared" ref="AC4:AC5" si="13">IMSUM(Z4,AB4)</f>
        <v>14614,8176938681-7,91071910806383i</v>
      </c>
      <c r="AD4" s="184" t="str">
        <f t="shared" ref="AD4:AD5" si="14">IMSUM(IMPRODUCT(AC4,X4),IMDIV(AB4,W4))</f>
        <v>92,3768256657645-36,7261341561492i</v>
      </c>
      <c r="AE4" s="185">
        <f t="shared" ref="AE4:AE5" si="15">IMABS(AC4)/L4/1000*SQRT(3)</f>
        <v>1.0125444198954876</v>
      </c>
      <c r="AF4" s="186">
        <f t="shared" ref="AF4:AF5" si="16">L4*AE4</f>
        <v>25.313610497387192</v>
      </c>
      <c r="AG4" s="185">
        <f t="shared" ref="AG4:AG5" si="17">IMABS(AD4)/Q4</f>
        <v>0.64677743612635319</v>
      </c>
      <c r="AH4" s="186">
        <f t="shared" ref="AH4:AH5" si="18">AG4*Q4/O4</f>
        <v>99.40969193262049</v>
      </c>
      <c r="AI4" s="187">
        <f t="shared" ref="AI4:AI5" si="19">IMREAL(IMPRODUCT(AC4,IMCONJUGATE(AD4)))*3/1000000</f>
        <v>4.0510829891238593</v>
      </c>
      <c r="AJ4" s="185">
        <f t="shared" ref="AJ4:AJ6" si="20">IMABS(Z4)/L4/1000*SQRT(3)</f>
        <v>0.99999999999999678</v>
      </c>
      <c r="AK4" s="176">
        <f t="shared" ref="AK4:AK12" si="21">SQRT(AI4^2+AS4^2)</f>
        <v>4.3585642122929631</v>
      </c>
      <c r="AL4" s="186">
        <f t="shared" ref="AL4:AL12" si="22">IMABS(Z4)*SQRT(3)/1000</f>
        <v>24.999999999999922</v>
      </c>
      <c r="AM4" s="185">
        <f t="shared" ref="AM4:AM12" si="23">IMABS(AA4)/Q4</f>
        <v>0.65327743960807394</v>
      </c>
      <c r="AN4" s="186">
        <f t="shared" ref="AN4:AN12" si="24">Q4*AM4/P4</f>
        <v>100.40874246776097</v>
      </c>
      <c r="AO4" s="188">
        <f t="shared" ref="AO4:AO12" si="25">D4</f>
        <v>4</v>
      </c>
      <c r="AP4" s="185">
        <f t="shared" ref="AP4:AP12" si="26">IF(AO4&gt;0, (AI4-AO4)/AO4,0)</f>
        <v>1.2770747280964834E-2</v>
      </c>
      <c r="AQ4" s="179">
        <f t="shared" ref="AQ4:AQ12" si="27">AF4*AH4*SQRT(3)*O4/1000</f>
        <v>4.3585642122929587</v>
      </c>
      <c r="AR4" s="179">
        <f t="shared" ref="AR4:AR5" si="28">AL4*AN4*SQRT(3)/1000</f>
        <v>4.3478260869565064</v>
      </c>
      <c r="AS4" s="176">
        <f t="shared" ref="AS4:AS12" si="29">IMAGINARY(IMPRODUCT(AC4,IMCONJUGATE(AD4)))*3/1000000</f>
        <v>1.6080449645181811</v>
      </c>
      <c r="AT4" s="196">
        <f>VLOOKUP(N4,Cabos!$B$9:$I$46,6,0)*K4*O4</f>
        <v>1023.4940293960951</v>
      </c>
      <c r="AU4" s="200">
        <f>VLOOKUP(N4,Cabos!$B$9:$I$46,7,0)*K4</f>
        <v>92.409201575224259</v>
      </c>
      <c r="AV4" s="201">
        <f>ROUNDUP(AU4/$AV$2,0)*$AW$2</f>
        <v>2</v>
      </c>
      <c r="AW4" s="201">
        <f t="shared" ref="AW4:AW11" si="30">ROUNDDOWN(AU4/$AU$2,0)*O4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201">
        <f t="shared" ref="BA4" si="31">SUM(AX4:AZ4)+AV4</f>
        <v>4</v>
      </c>
      <c r="BB4" s="199">
        <f>BA4*$BA$2</f>
        <v>1100000</v>
      </c>
    </row>
    <row r="5" spans="1:54" x14ac:dyDescent="0.25">
      <c r="A5" s="153">
        <f t="shared" ref="A5:A11" si="32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 t="shared" si="1"/>
        <v>29.744053030225782</v>
      </c>
      <c r="H5" s="157">
        <f t="shared" si="2"/>
        <v>3.5630842441123538</v>
      </c>
      <c r="I5">
        <v>30</v>
      </c>
      <c r="J5">
        <v>6</v>
      </c>
      <c r="K5" s="192">
        <f t="shared" si="3"/>
        <v>2.450319826600206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4"/>
        <v>1</v>
      </c>
      <c r="Q5" s="170">
        <f>VLOOKUP(N5,Cabos!$B$13:$F$46,2,0)*O5*P5</f>
        <v>153.70000000000002</v>
      </c>
      <c r="R5" s="171">
        <f>((VLOOKUP(N5,Cabos!$B$13:$F$46,3,0)/O5*K5))*(1+A5)</f>
        <v>1.212908314167102</v>
      </c>
      <c r="S5" s="171">
        <f>(VLOOKUP(N5,Cabos!$B$13:$F$46,4,0)/O5*K5)*B5/60</f>
        <v>0.43860724896143682</v>
      </c>
      <c r="T5" s="171">
        <f>1/(VLOOKUP(N5,Cabos!$B$13:$F$46,5,0)*60/B5) * O5 * K5</f>
        <v>1.2853799646436585E-4</v>
      </c>
      <c r="U5" s="155" t="str">
        <f t="shared" si="5"/>
        <v>81,9953644820212-57,5409662461407i</v>
      </c>
      <c r="V5" s="155" t="str">
        <f t="shared" si="6"/>
        <v>0,00739620051590265+0,0105395198698844i</v>
      </c>
      <c r="W5" s="155" t="str">
        <f t="shared" si="7"/>
        <v>1,21288552035865+0,438634643801044i</v>
      </c>
      <c r="X5" s="155" t="str">
        <f t="shared" si="8"/>
        <v>8,34996765248733E-10+0,0000642693001656316i</v>
      </c>
      <c r="Y5" s="172">
        <f t="shared" si="9"/>
        <v>100.408742467761</v>
      </c>
      <c r="Z5" s="173" t="str">
        <f t="shared" si="10"/>
        <v>14433,7567297406</v>
      </c>
      <c r="AA5" s="173" t="str">
        <f t="shared" si="11"/>
        <v>92,3760430703401-39,3520295616861i</v>
      </c>
      <c r="AB5" s="173" t="str">
        <f t="shared" si="12"/>
        <v>128,895844849471-6,08503866513969i</v>
      </c>
      <c r="AC5" s="173" t="str">
        <f t="shared" si="13"/>
        <v>14562,6525745901-6,08503866513969i</v>
      </c>
      <c r="AD5" s="173" t="str">
        <f t="shared" si="14"/>
        <v>92,3764583634245-37,4884506334614i</v>
      </c>
      <c r="AE5" s="174">
        <f t="shared" si="15"/>
        <v>1.0089302541664482</v>
      </c>
      <c r="AF5" s="175">
        <f t="shared" si="16"/>
        <v>25.223256354161204</v>
      </c>
      <c r="AG5" s="174">
        <f t="shared" si="17"/>
        <v>0.64862394432549852</v>
      </c>
      <c r="AH5" s="175">
        <f t="shared" si="18"/>
        <v>99.693500242829131</v>
      </c>
      <c r="AI5" s="176">
        <f t="shared" si="19"/>
        <v>4.0364231636677195</v>
      </c>
      <c r="AJ5" s="174">
        <f t="shared" si="20"/>
        <v>0.99999999999999678</v>
      </c>
      <c r="AK5" s="176">
        <f t="shared" si="21"/>
        <v>4.3554058041715651</v>
      </c>
      <c r="AL5" s="175">
        <f t="shared" si="22"/>
        <v>24.999999999999922</v>
      </c>
      <c r="AM5" s="174">
        <f t="shared" si="23"/>
        <v>0.65327743960807394</v>
      </c>
      <c r="AN5" s="175">
        <f t="shared" si="24"/>
        <v>100.40874246776097</v>
      </c>
      <c r="AO5" s="177">
        <f t="shared" si="25"/>
        <v>4</v>
      </c>
      <c r="AP5" s="174">
        <f t="shared" si="26"/>
        <v>9.1057909169298679E-3</v>
      </c>
      <c r="AQ5" s="168">
        <f t="shared" si="27"/>
        <v>4.3554058041715651</v>
      </c>
      <c r="AR5" s="168">
        <f t="shared" si="28"/>
        <v>4.3478260869565064</v>
      </c>
      <c r="AS5" s="176">
        <f t="shared" si="29"/>
        <v>1.6361075034416401</v>
      </c>
      <c r="AT5" s="196">
        <f>VLOOKUP(N5,Cabos!$B$9:$I$46,6,0)*K5*O5</f>
        <v>727.67637954511633</v>
      </c>
      <c r="AU5" s="200">
        <f>VLOOKUP(N5,Cabos!$B$9:$I$46,7,0)*K5</f>
        <v>65.70042551063132</v>
      </c>
      <c r="AV5" s="201">
        <f t="shared" ref="AV5:AV12" si="33">ROUNDUP(AU5/$AV$2,0)*$AW$2</f>
        <v>2</v>
      </c>
      <c r="AW5" s="201">
        <f t="shared" si="30"/>
        <v>0</v>
      </c>
      <c r="AX5">
        <f t="shared" ref="AX5:AX12" si="34">ROUNDUP((AW5)*$AX$2,0)</f>
        <v>0</v>
      </c>
      <c r="AY5">
        <f t="shared" ref="AY5:AY12" si="35">IFERROR(ROUNDUP(K5*O5/$AY$2,0),0)</f>
        <v>1</v>
      </c>
      <c r="AZ5">
        <f t="shared" ref="AZ5:AZ12" si="36">IFERROR(ROUNDUP(K5*O5/$AZ$2,0),0)</f>
        <v>1</v>
      </c>
      <c r="BA5" s="201">
        <f t="shared" ref="BA5:BA12" si="37">SUM(AX5:AZ5)+AV5</f>
        <v>4</v>
      </c>
      <c r="BB5" s="199">
        <f t="shared" ref="BB5:BB12" si="38"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0"/>
        <v>4.3478260869565215</v>
      </c>
      <c r="G6" s="157">
        <f t="shared" si="1"/>
        <v>29.744053030225782</v>
      </c>
      <c r="H6" s="157">
        <f t="shared" si="2"/>
        <v>3.5630842441123538</v>
      </c>
      <c r="I6">
        <v>30</v>
      </c>
      <c r="J6">
        <v>5</v>
      </c>
      <c r="K6" s="192">
        <f t="shared" si="3"/>
        <v>1.4595327131841789</v>
      </c>
      <c r="L6" s="107">
        <v>25</v>
      </c>
      <c r="M6" s="158">
        <v>1</v>
      </c>
      <c r="N6" s="156" t="s">
        <v>159</v>
      </c>
      <c r="O6" s="159">
        <v>1</v>
      </c>
      <c r="P6" s="159">
        <f t="shared" ref="P6:P9" si="39">IF(O6=1,1,IF(O6=2,0.9,0.8))</f>
        <v>1</v>
      </c>
      <c r="Q6" s="160">
        <f>VLOOKUP(N6,Cabos!$B$13:$F$46,2,0)*O6*P6</f>
        <v>153.70000000000002</v>
      </c>
      <c r="R6" s="161">
        <f>((VLOOKUP(N6,Cabos!$B$13:$F$46,3,0)/O6*K6))*(1+A6)</f>
        <v>0.72246869302616856</v>
      </c>
      <c r="S6" s="161">
        <f>(VLOOKUP(N6,Cabos!$B$13:$F$46,4,0)/O6*K6)*B6/60</f>
        <v>0.26125635565996802</v>
      </c>
      <c r="T6" s="161">
        <f>1/(VLOOKUP(N6,Cabos!$B$13:$F$46,5,0)*60/B6) * O6 * K6</f>
        <v>7.656364230101132E-5</v>
      </c>
      <c r="U6" s="156" t="str">
        <f t="shared" ref="U6:U9" si="40">IMSQRT(IMDIV(COMPLEX(R6,S6),COMPLEX(0,T6)))</f>
        <v>81,9953644820213-57,5409662461409i</v>
      </c>
      <c r="V6" s="156" t="str">
        <f t="shared" ref="V6:V9" si="41">IMSQRT(IMPRODUCT(COMPLEX(R6,S6),COMPLEX(0,T6)))</f>
        <v>0,00440554595732409+0,00627786375654253i</v>
      </c>
      <c r="W6" s="156" t="str">
        <f t="shared" ref="W6:W9" si="42">IMPRODUCT(U6,_xlfn.IMSINH(V6))</f>
        <v>0,722463875897609+0,261262145206484i</v>
      </c>
      <c r="X6" s="156" t="str">
        <f t="shared" ref="X6:X9" si="43">IMDIV(IMSUB(_xlfn.IMCOSH(V6),COMPLEX(1,0)),IMPRODUCT(U6,_xlfn.IMSINH(V6)))</f>
        <v>1,76463515016152E-10+0,0000382818849613943i</v>
      </c>
      <c r="Y6" s="162">
        <f t="shared" ref="Y6:Y9" si="44">F6/L6/SQRT(3)*1000</f>
        <v>100.408742467761</v>
      </c>
      <c r="Z6" s="163" t="str">
        <f t="shared" ref="Z6:Z9" si="45">COMPLEX(L6*1000/SQRT(3)*M6,0)</f>
        <v>14433,7567297406</v>
      </c>
      <c r="AA6" s="163" t="str">
        <f t="shared" ref="AA6:AA9" si="46">COMPLEX(Y6*E6,-Y6*SQRT(1-E6*E6))</f>
        <v>92,3760430703401-39,3520295616861i</v>
      </c>
      <c r="AB6" s="163" t="str">
        <f t="shared" ref="AB6:AB9" si="47">IMPRODUCT(W6,IMSUM(AA6,IMPRODUCT(X6,Z6)))</f>
        <v>76,8751908503972-3,89685752119782i</v>
      </c>
      <c r="AC6" s="163" t="str">
        <f t="shared" ref="AC6:AC9" si="48">IMSUM(Z6,AB6)</f>
        <v>14510,631920591-3,89685752119782i</v>
      </c>
      <c r="AD6" s="163" t="str">
        <f t="shared" ref="AD6:AD9" si="49">IMSUM(IMPRODUCT(AC6,X6),IMDIV(AB6,W6))</f>
        <v>92,3761973570199-38,2439838057839i</v>
      </c>
      <c r="AE6" s="164">
        <f t="shared" ref="AE6:AE9" si="50">IMABS(AC6)/L6/1000*SQRT(3)</f>
        <v>1.0053261057078895</v>
      </c>
      <c r="AF6" s="165">
        <f t="shared" ref="AF6:AF9" si="51">L6*AE6</f>
        <v>25.133152642697237</v>
      </c>
      <c r="AG6" s="164">
        <f t="shared" ref="AG6:AG9" si="52">IMABS(AD6)/Q6</f>
        <v>0.65048678361069945</v>
      </c>
      <c r="AH6" s="165">
        <f t="shared" ref="AH6:AH9" si="53">AG6*Q6/O6</f>
        <v>99.97981864096451</v>
      </c>
      <c r="AI6" s="166">
        <f t="shared" ref="AI6:AI9" si="54">IMREAL(IMPRODUCT(AC6,IMCONJUGATE(AD6)))*3/1000000</f>
        <v>4.0217580882825601</v>
      </c>
      <c r="AJ6" s="164">
        <f t="shared" si="20"/>
        <v>0.99999999999999678</v>
      </c>
      <c r="AK6" s="176">
        <f t="shared" si="21"/>
        <v>4.3523112003040136</v>
      </c>
      <c r="AL6" s="165">
        <f t="shared" si="22"/>
        <v>24.999999999999922</v>
      </c>
      <c r="AM6" s="164">
        <f t="shared" si="23"/>
        <v>0.65327743960807394</v>
      </c>
      <c r="AN6" s="165">
        <f t="shared" si="24"/>
        <v>100.40874246776097</v>
      </c>
      <c r="AO6" s="167">
        <f t="shared" si="25"/>
        <v>4</v>
      </c>
      <c r="AP6" s="164">
        <f t="shared" si="26"/>
        <v>5.4395220706400238E-3</v>
      </c>
      <c r="AQ6" s="157">
        <f t="shared" si="27"/>
        <v>4.3523112003040172</v>
      </c>
      <c r="AR6" s="157">
        <f>AL6*AN6*SQRT(3)/1000</f>
        <v>4.3478260869565064</v>
      </c>
      <c r="AS6" s="176">
        <f t="shared" si="29"/>
        <v>1.6637531859099692</v>
      </c>
      <c r="AT6" s="196">
        <f>VLOOKUP(N6,Cabos!$B$9:$I$46,6,0)*K6*O6</f>
        <v>433.44034889973193</v>
      </c>
      <c r="AU6" s="200">
        <f>VLOOKUP(N6,Cabos!$B$9:$I$46,7,0)*K6</f>
        <v>39.134450638607383</v>
      </c>
      <c r="AV6" s="201">
        <f t="shared" si="33"/>
        <v>2</v>
      </c>
      <c r="AW6" s="201">
        <f t="shared" si="30"/>
        <v>0</v>
      </c>
      <c r="AX6">
        <f t="shared" si="34"/>
        <v>0</v>
      </c>
      <c r="AY6">
        <f t="shared" si="35"/>
        <v>1</v>
      </c>
      <c r="AZ6">
        <f t="shared" si="36"/>
        <v>1</v>
      </c>
      <c r="BA6" s="201">
        <f t="shared" si="37"/>
        <v>4</v>
      </c>
      <c r="BB6" s="199">
        <f t="shared" si="38"/>
        <v>1100000</v>
      </c>
    </row>
    <row r="7" spans="1:54" x14ac:dyDescent="0.25">
      <c r="A7" s="153">
        <f t="shared" si="32"/>
        <v>0</v>
      </c>
      <c r="B7">
        <v>60</v>
      </c>
      <c r="C7" s="133">
        <v>1</v>
      </c>
      <c r="D7" s="107">
        <v>4</v>
      </c>
      <c r="E7" s="194">
        <v>0.92</v>
      </c>
      <c r="F7" s="168">
        <f t="shared" si="0"/>
        <v>4.3478260869565215</v>
      </c>
      <c r="G7" s="157">
        <f t="shared" si="1"/>
        <v>29.744053030225782</v>
      </c>
      <c r="H7" s="157">
        <f t="shared" si="2"/>
        <v>3.5630842441123538</v>
      </c>
      <c r="I7">
        <v>30</v>
      </c>
      <c r="J7">
        <v>4</v>
      </c>
      <c r="K7" s="192">
        <f t="shared" si="3"/>
        <v>0.50636373199457896</v>
      </c>
      <c r="L7" s="107">
        <v>25</v>
      </c>
      <c r="M7" s="169">
        <v>1</v>
      </c>
      <c r="N7" s="156" t="s">
        <v>159</v>
      </c>
      <c r="O7" s="159">
        <v>1</v>
      </c>
      <c r="P7" s="159">
        <f t="shared" si="39"/>
        <v>1</v>
      </c>
      <c r="Q7" s="170">
        <f>VLOOKUP(N7,Cabos!$B$13:$F$46,2,0)*O7*P7</f>
        <v>153.70000000000002</v>
      </c>
      <c r="R7" s="171">
        <f>((VLOOKUP(N7,Cabos!$B$13:$F$46,3,0)/O7*K7))*(1+A7)</f>
        <v>0.25065004733731661</v>
      </c>
      <c r="S7" s="171">
        <f>(VLOOKUP(N7,Cabos!$B$13:$F$46,4,0)/O7*K7)*B7/60</f>
        <v>9.0639108027029625E-2</v>
      </c>
      <c r="T7" s="171">
        <f>1/(VLOOKUP(N7,Cabos!$B$13:$F$46,5,0)*60/B7) * O7 * K7</f>
        <v>2.6562646592591878E-5</v>
      </c>
      <c r="U7" s="155" t="str">
        <f t="shared" si="40"/>
        <v>81,9953644820213-57,5409662461409i</v>
      </c>
      <c r="V7" s="155" t="str">
        <f t="shared" si="41"/>
        <v>0,0015284403509925+0,00217801388896669i</v>
      </c>
      <c r="W7" s="155" t="str">
        <f t="shared" si="42"/>
        <v>0,250649846181024+0,0906393497912806i</v>
      </c>
      <c r="X7" s="155" t="str">
        <f t="shared" si="43"/>
        <v>7,36695555104276E-12+0,0000132813259616674i</v>
      </c>
      <c r="Y7" s="172">
        <f t="shared" si="44"/>
        <v>100.408742467761</v>
      </c>
      <c r="Z7" s="173" t="str">
        <f t="shared" si="45"/>
        <v>14433,7567297406</v>
      </c>
      <c r="AA7" s="173" t="str">
        <f t="shared" si="46"/>
        <v>92,3760430703401-39,3520295616861i</v>
      </c>
      <c r="AB7" s="173" t="str">
        <f t="shared" si="47"/>
        <v>26,7035078739758-1,44262623458688i</v>
      </c>
      <c r="AC7" s="173" t="str">
        <f t="shared" si="48"/>
        <v>14460,4602376146-1,44262623458688i</v>
      </c>
      <c r="AD7" s="173" t="str">
        <f t="shared" si="49"/>
        <v>92,3760624431918-38,9682760477461i</v>
      </c>
      <c r="AE7" s="174">
        <f t="shared" si="50"/>
        <v>1.0018500782807054</v>
      </c>
      <c r="AF7" s="175">
        <f t="shared" si="51"/>
        <v>25.046251957017635</v>
      </c>
      <c r="AG7" s="174">
        <f t="shared" si="52"/>
        <v>0.65230307023486733</v>
      </c>
      <c r="AH7" s="175">
        <f t="shared" si="53"/>
        <v>100.25898189509913</v>
      </c>
      <c r="AI7" s="176">
        <f t="shared" si="54"/>
        <v>4.00756978357356</v>
      </c>
      <c r="AJ7" s="174">
        <f t="shared" ref="AJ7:AJ10" si="55">IMABS(Z7)/L7/1000*SQRT(3)</f>
        <v>0.99999999999999678</v>
      </c>
      <c r="AK7" s="176">
        <f t="shared" si="21"/>
        <v>4.3493730851175316</v>
      </c>
      <c r="AL7" s="175">
        <f t="shared" si="22"/>
        <v>24.999999999999922</v>
      </c>
      <c r="AM7" s="174">
        <f t="shared" si="23"/>
        <v>0.65327743960807394</v>
      </c>
      <c r="AN7" s="175">
        <f t="shared" si="24"/>
        <v>100.40874246776097</v>
      </c>
      <c r="AO7" s="177">
        <f t="shared" si="25"/>
        <v>4</v>
      </c>
      <c r="AP7" s="174">
        <f t="shared" si="26"/>
        <v>1.8924458933899935E-3</v>
      </c>
      <c r="AQ7" s="168">
        <f t="shared" si="27"/>
        <v>4.3493730851175352</v>
      </c>
      <c r="AR7" s="168">
        <f t="shared" ref="AR7:AR9" si="56">AL7*AN7*SQRT(3)/1000</f>
        <v>4.3478260869565064</v>
      </c>
      <c r="AS7" s="176">
        <f t="shared" si="29"/>
        <v>1.690097826557079</v>
      </c>
      <c r="AT7" s="196">
        <f>VLOOKUP(N7,Cabos!$B$9:$I$46,6,0)*K7*O7</f>
        <v>150.37585021789408</v>
      </c>
      <c r="AU7" s="200">
        <f>VLOOKUP(N7,Cabos!$B$9:$I$46,7,0)*K7</f>
        <v>13.577130745970646</v>
      </c>
      <c r="AV7" s="201">
        <f t="shared" si="33"/>
        <v>2</v>
      </c>
      <c r="AW7" s="201">
        <f t="shared" si="30"/>
        <v>0</v>
      </c>
      <c r="AX7">
        <f t="shared" si="34"/>
        <v>0</v>
      </c>
      <c r="AY7">
        <f t="shared" si="35"/>
        <v>1</v>
      </c>
      <c r="AZ7">
        <f t="shared" si="36"/>
        <v>1</v>
      </c>
      <c r="BA7" s="201">
        <f t="shared" si="37"/>
        <v>4</v>
      </c>
      <c r="BB7" s="199">
        <f t="shared" si="38"/>
        <v>1100000</v>
      </c>
    </row>
    <row r="8" spans="1:54" x14ac:dyDescent="0.25">
      <c r="A8" s="153">
        <f>IF($B$1="não",0,1-60/$B8)</f>
        <v>0</v>
      </c>
      <c r="B8">
        <v>60</v>
      </c>
      <c r="C8" s="133">
        <v>1</v>
      </c>
      <c r="D8" s="107">
        <v>4</v>
      </c>
      <c r="E8" s="194">
        <v>0.92</v>
      </c>
      <c r="F8" s="168">
        <f t="shared" ref="F8:F11" si="57">D8/(E8*C8)</f>
        <v>4.3478260869565215</v>
      </c>
      <c r="G8" s="157">
        <f t="shared" si="1"/>
        <v>29.744053030225782</v>
      </c>
      <c r="H8" s="157">
        <f t="shared" si="2"/>
        <v>3.5630842441123538</v>
      </c>
      <c r="I8">
        <v>30</v>
      </c>
      <c r="J8">
        <v>3</v>
      </c>
      <c r="K8" s="192">
        <f t="shared" si="3"/>
        <v>0.61852462950490927</v>
      </c>
      <c r="L8" s="107">
        <v>25</v>
      </c>
      <c r="M8" s="180">
        <v>1</v>
      </c>
      <c r="N8" s="156" t="s">
        <v>159</v>
      </c>
      <c r="O8" s="159">
        <v>1</v>
      </c>
      <c r="P8" s="159">
        <f t="shared" si="39"/>
        <v>1</v>
      </c>
      <c r="Q8" s="181">
        <f>VLOOKUP(N8,Cabos!$B$13:$F$46,2,0)*O8*P8</f>
        <v>153.70000000000002</v>
      </c>
      <c r="R8" s="182">
        <f>((VLOOKUP(N8,Cabos!$B$13:$F$46,3,0)/O8*K8))*(1+A8)</f>
        <v>0.30616969160493007</v>
      </c>
      <c r="S8" s="182">
        <f>(VLOOKUP(N8,Cabos!$B$13:$F$46,4,0)/O8*K8)*B8/60</f>
        <v>0.11071590868137876</v>
      </c>
      <c r="T8" s="182">
        <f>1/(VLOOKUP(N8,Cabos!$B$13:$F$46,5,0)*60/B8) * O8 * K8</f>
        <v>3.2446342627336165E-5</v>
      </c>
      <c r="U8" s="178" t="str">
        <f t="shared" si="40"/>
        <v>81,9953644820212-57,5409662461408i</v>
      </c>
      <c r="V8" s="178" t="str">
        <f t="shared" si="41"/>
        <v>0,00186699390593027+0,00266044968983697i</v>
      </c>
      <c r="W8" s="178" t="str">
        <f t="shared" si="42"/>
        <v>0,306169324984297+0,11071634931255i</v>
      </c>
      <c r="X8" s="178" t="str">
        <f t="shared" si="43"/>
        <v>1,34298796049431E-11+0,0000162231761703527i</v>
      </c>
      <c r="Y8" s="183">
        <f t="shared" si="44"/>
        <v>100.408742467761</v>
      </c>
      <c r="Z8" s="184" t="str">
        <f t="shared" si="45"/>
        <v>14433,7567297406</v>
      </c>
      <c r="AA8" s="184" t="str">
        <f t="shared" si="46"/>
        <v>92,3760430703401-39,3520295616861i</v>
      </c>
      <c r="AB8" s="184" t="str">
        <f t="shared" si="47"/>
        <v>32,6136983690775-1,74915302240591i</v>
      </c>
      <c r="AC8" s="184" t="str">
        <f t="shared" si="48"/>
        <v>14466,3704281097-1,74915302240591i</v>
      </c>
      <c r="AD8" s="184" t="str">
        <f t="shared" si="49"/>
        <v>92,3760718352828-38,8831777074822i</v>
      </c>
      <c r="AE8" s="185">
        <f t="shared" si="50"/>
        <v>1.0022595506302501</v>
      </c>
      <c r="AF8" s="186">
        <f t="shared" si="51"/>
        <v>25.056488765756253</v>
      </c>
      <c r="AG8" s="185">
        <f t="shared" si="52"/>
        <v>0.65208812963463791</v>
      </c>
      <c r="AH8" s="186">
        <f t="shared" si="53"/>
        <v>100.22594552484387</v>
      </c>
      <c r="AI8" s="187">
        <f t="shared" si="54"/>
        <v>4.0092434594720396</v>
      </c>
      <c r="AJ8" s="185">
        <f t="shared" si="55"/>
        <v>0.99999999999999678</v>
      </c>
      <c r="AK8" s="176">
        <f t="shared" si="21"/>
        <v>4.3497169952054344</v>
      </c>
      <c r="AL8" s="186">
        <f t="shared" si="22"/>
        <v>24.999999999999922</v>
      </c>
      <c r="AM8" s="185">
        <f t="shared" si="23"/>
        <v>0.65327743960807394</v>
      </c>
      <c r="AN8" s="186">
        <f t="shared" si="24"/>
        <v>100.40874246776097</v>
      </c>
      <c r="AO8" s="188">
        <f t="shared" si="25"/>
        <v>4</v>
      </c>
      <c r="AP8" s="185">
        <f t="shared" si="26"/>
        <v>2.3108648680099098E-3</v>
      </c>
      <c r="AQ8" s="179">
        <f t="shared" si="27"/>
        <v>4.3497169952054353</v>
      </c>
      <c r="AR8" s="179">
        <f t="shared" si="56"/>
        <v>4.3478260869565064</v>
      </c>
      <c r="AS8" s="176">
        <f t="shared" si="29"/>
        <v>1.6870106167596177</v>
      </c>
      <c r="AT8" s="196">
        <f>VLOOKUP(N8,Cabos!$B$9:$I$46,6,0)*K8*O8</f>
        <v>183.68449627333192</v>
      </c>
      <c r="AU8" s="200">
        <f>VLOOKUP(N8,Cabos!$B$9:$I$46,7,0)*K8</f>
        <v>16.58450089091513</v>
      </c>
      <c r="AV8" s="201">
        <f t="shared" si="33"/>
        <v>2</v>
      </c>
      <c r="AW8" s="201">
        <f t="shared" si="30"/>
        <v>0</v>
      </c>
      <c r="AX8">
        <f t="shared" si="34"/>
        <v>0</v>
      </c>
      <c r="AY8">
        <f t="shared" si="35"/>
        <v>1</v>
      </c>
      <c r="AZ8">
        <f t="shared" si="36"/>
        <v>1</v>
      </c>
      <c r="BA8" s="201">
        <f t="shared" si="37"/>
        <v>4</v>
      </c>
      <c r="BB8" s="199">
        <f t="shared" si="38"/>
        <v>1100000</v>
      </c>
    </row>
    <row r="9" spans="1:54" x14ac:dyDescent="0.25">
      <c r="A9" s="153">
        <f t="shared" si="32"/>
        <v>0</v>
      </c>
      <c r="B9">
        <v>60</v>
      </c>
      <c r="C9" s="133">
        <v>1</v>
      </c>
      <c r="D9" s="107">
        <v>4</v>
      </c>
      <c r="E9" s="194">
        <v>0.92</v>
      </c>
      <c r="F9" s="168">
        <f t="shared" si="57"/>
        <v>4.3478260869565215</v>
      </c>
      <c r="G9" s="157">
        <f t="shared" si="1"/>
        <v>29.744053030225782</v>
      </c>
      <c r="H9" s="157">
        <f t="shared" si="2"/>
        <v>3.5630842441123538</v>
      </c>
      <c r="I9">
        <v>30</v>
      </c>
      <c r="J9">
        <v>2</v>
      </c>
      <c r="K9" s="192">
        <f t="shared" si="3"/>
        <v>1.5839006299414409</v>
      </c>
      <c r="L9" s="107">
        <v>25</v>
      </c>
      <c r="M9" s="169">
        <v>1</v>
      </c>
      <c r="N9" s="156" t="s">
        <v>159</v>
      </c>
      <c r="O9" s="159">
        <v>1</v>
      </c>
      <c r="P9" s="159">
        <f t="shared" si="39"/>
        <v>1</v>
      </c>
      <c r="Q9" s="170">
        <f>VLOOKUP(N9,Cabos!$B$13:$F$46,2,0)*O9*P9</f>
        <v>153.70000000000002</v>
      </c>
      <c r="R9" s="171">
        <f>((VLOOKUP(N9,Cabos!$B$13:$F$46,3,0)/O9*K9))*(1+A9)</f>
        <v>0.7840308118210132</v>
      </c>
      <c r="S9" s="171">
        <f>(VLOOKUP(N9,Cabos!$B$13:$F$46,4,0)/O9*K9)*B9/60</f>
        <v>0.28351821275951788</v>
      </c>
      <c r="T9" s="171">
        <f>1/(VLOOKUP(N9,Cabos!$B$13:$F$46,5,0)*60/B9) * O9 * K9</f>
        <v>8.3087689762442475E-5</v>
      </c>
      <c r="U9" s="155" t="str">
        <f t="shared" si="40"/>
        <v>81,9953644820212-57,5409662461408i</v>
      </c>
      <c r="V9" s="155" t="str">
        <f t="shared" si="41"/>
        <v>0,00478094595209052+0,00681280540604058i</v>
      </c>
      <c r="W9" s="155" t="str">
        <f t="shared" si="42"/>
        <v>0,784024655365997+0,283525611990535i</v>
      </c>
      <c r="X9" s="155" t="str">
        <f t="shared" si="43"/>
        <v>2,25526783757636E-10+0,0000415439264333803i</v>
      </c>
      <c r="Y9" s="172">
        <f t="shared" si="44"/>
        <v>100.408742467761</v>
      </c>
      <c r="Z9" s="173" t="str">
        <f t="shared" si="45"/>
        <v>14433,7567297406</v>
      </c>
      <c r="AA9" s="173" t="str">
        <f t="shared" si="46"/>
        <v>92,3760430703401-39,3520295616861i</v>
      </c>
      <c r="AB9" s="173" t="str">
        <f t="shared" si="47"/>
        <v>83,4123942891429-4,19185777977411i</v>
      </c>
      <c r="AC9" s="173" t="str">
        <f t="shared" si="48"/>
        <v>14517,1691240297-4,19185777977411i</v>
      </c>
      <c r="AD9" s="173" t="str">
        <f t="shared" si="49"/>
        <v>92,3762237457805-38,1492944287841i</v>
      </c>
      <c r="AE9" s="174">
        <f t="shared" si="50"/>
        <v>1.0057790221252845</v>
      </c>
      <c r="AF9" s="175">
        <f t="shared" si="51"/>
        <v>25.144475553132111</v>
      </c>
      <c r="AG9" s="174">
        <f t="shared" si="52"/>
        <v>0.65025153561692817</v>
      </c>
      <c r="AH9" s="175">
        <f t="shared" si="53"/>
        <v>99.943661024321869</v>
      </c>
      <c r="AI9" s="176">
        <f t="shared" si="54"/>
        <v>4.0236035387200495</v>
      </c>
      <c r="AJ9" s="174">
        <f t="shared" si="55"/>
        <v>0.99999999999999678</v>
      </c>
      <c r="AK9" s="176">
        <f t="shared" si="21"/>
        <v>4.3526972713529721</v>
      </c>
      <c r="AL9" s="175">
        <f t="shared" si="22"/>
        <v>24.999999999999922</v>
      </c>
      <c r="AM9" s="174">
        <f t="shared" si="23"/>
        <v>0.65327743960807394</v>
      </c>
      <c r="AN9" s="175">
        <f t="shared" si="24"/>
        <v>100.40874246776097</v>
      </c>
      <c r="AO9" s="177">
        <f t="shared" si="25"/>
        <v>4</v>
      </c>
      <c r="AP9" s="174">
        <f t="shared" si="26"/>
        <v>5.9008846800123749E-3</v>
      </c>
      <c r="AQ9" s="168">
        <f t="shared" si="27"/>
        <v>4.352697271352965</v>
      </c>
      <c r="AR9" s="168">
        <f t="shared" si="56"/>
        <v>4.3478260869565064</v>
      </c>
      <c r="AS9" s="176">
        <f t="shared" si="29"/>
        <v>1.6602975935786641</v>
      </c>
      <c r="AT9" s="196">
        <f>VLOOKUP(N9,Cabos!$B$9:$I$46,6,0)*K9*O9</f>
        <v>470.37413787496956</v>
      </c>
      <c r="AU9" s="200">
        <f>VLOOKUP(N9,Cabos!$B$9:$I$46,7,0)*K9</f>
        <v>42.469127590619856</v>
      </c>
      <c r="AV9" s="201">
        <f t="shared" si="33"/>
        <v>2</v>
      </c>
      <c r="AW9" s="201">
        <f t="shared" si="30"/>
        <v>0</v>
      </c>
      <c r="AX9">
        <f t="shared" si="34"/>
        <v>0</v>
      </c>
      <c r="AY9">
        <f t="shared" si="35"/>
        <v>1</v>
      </c>
      <c r="AZ9">
        <f t="shared" si="36"/>
        <v>1</v>
      </c>
      <c r="BA9" s="201">
        <f t="shared" si="37"/>
        <v>4</v>
      </c>
      <c r="BB9" s="199">
        <f t="shared" si="38"/>
        <v>1100000</v>
      </c>
    </row>
    <row r="10" spans="1:54" x14ac:dyDescent="0.25">
      <c r="A10" s="153">
        <f>IF($B$1="não",0,1-60/$B10)</f>
        <v>0</v>
      </c>
      <c r="B10">
        <v>60</v>
      </c>
      <c r="C10" s="133">
        <v>1</v>
      </c>
      <c r="D10" s="107">
        <v>4</v>
      </c>
      <c r="E10" s="194">
        <v>0.92</v>
      </c>
      <c r="F10" s="168">
        <f t="shared" si="57"/>
        <v>4.3478260869565215</v>
      </c>
      <c r="G10" s="157">
        <f t="shared" si="1"/>
        <v>29.744053030225782</v>
      </c>
      <c r="H10" s="157">
        <f t="shared" si="2"/>
        <v>3.5630842441123538</v>
      </c>
      <c r="I10">
        <v>30</v>
      </c>
      <c r="J10">
        <v>1</v>
      </c>
      <c r="K10" s="192">
        <f t="shared" si="3"/>
        <v>2.5758318450072784</v>
      </c>
      <c r="L10" s="107">
        <v>25</v>
      </c>
      <c r="M10" s="158">
        <v>1</v>
      </c>
      <c r="N10" s="156" t="s">
        <v>159</v>
      </c>
      <c r="O10" s="159">
        <v>1</v>
      </c>
      <c r="P10" s="159">
        <f t="shared" ref="P10:P12" si="58">IF(O10=1,1,IF(O10=2,0.9,0.8))</f>
        <v>1</v>
      </c>
      <c r="Q10" s="160">
        <f>VLOOKUP(N10,Cabos!$B$13:$F$46,2,0)*O10*P10</f>
        <v>153.70000000000002</v>
      </c>
      <c r="R10" s="161">
        <f>((VLOOKUP(N10,Cabos!$B$13:$F$46,3,0)/O10*K10))*(1+A10)</f>
        <v>1.2750367632786028</v>
      </c>
      <c r="S10" s="161">
        <f>(VLOOKUP(N10,Cabos!$B$13:$F$46,4,0)/O10*K10)*B10/60</f>
        <v>0.46107390025630279</v>
      </c>
      <c r="T10" s="161">
        <f>1/(VLOOKUP(N10,Cabos!$B$13:$F$46,5,0)*60/B10) * O10 * K10</f>
        <v>1.3512206079878709E-4</v>
      </c>
      <c r="U10" s="156" t="str">
        <f t="shared" ref="U10:U12" si="59">IMSQRT(IMDIV(COMPLEX(R10,S10),COMPLEX(0,T10)))</f>
        <v>81,9953644820212-57,5409662461407i</v>
      </c>
      <c r="V10" s="156" t="str">
        <f t="shared" ref="V10:V12" si="60">IMSQRT(IMPRODUCT(COMPLEX(R10,S10),COMPLEX(0,T10)))</f>
        <v>0,007775053939532+0,0110793826247584i</v>
      </c>
      <c r="W10" s="156" t="str">
        <f t="shared" ref="W10:W12" si="61">IMPRODUCT(U10,_xlfn.IMSINH(V10))</f>
        <v>1,27501028428986+0,46110572409317i</v>
      </c>
      <c r="X10" s="156" t="str">
        <f t="shared" ref="X10:X12" si="62">IMDIV(IMSUB(_xlfn.IMCOSH(V10),COMPLEX(1,0)),IMPRODUCT(U10,_xlfn.IMSINH(V10)))</f>
        <v>9,69994708764013E-10+0,0000675613811463112i</v>
      </c>
      <c r="Y10" s="162">
        <f>F10/L10/SQRT(3)*1000</f>
        <v>100.408742467761</v>
      </c>
      <c r="Z10" s="163" t="str">
        <f t="shared" ref="Z10:Z12" si="63">COMPLEX(L10*1000/SQRT(3)*M10,0)</f>
        <v>14433,7567297406</v>
      </c>
      <c r="AA10" s="163" t="str">
        <f>COMPLEX(Y10*E10,-Y10*SQRT(1-E10*E10))</f>
        <v>92,3760430703401-39,3520295616861i</v>
      </c>
      <c r="AB10" s="163" t="str">
        <f t="shared" ref="AB10:AB12" si="64">IMPRODUCT(W10,IMSUM(AA10,IMPRODUCT(X10,Z10)))</f>
        <v>135,476214922029-6,33576889712088i</v>
      </c>
      <c r="AC10" s="163" t="str">
        <f t="shared" ref="AC10:AC12" si="65">IMSUM(Z10,AB10)</f>
        <v>14569,2329446626-6,33576889712088i</v>
      </c>
      <c r="AD10" s="163" t="str">
        <f t="shared" ref="AD10:AD12" si="66">IMSUM(IMPRODUCT(AC10,X10),IMDIV(AB10,W10))</f>
        <v>92,3764992563842-37,392547528057i</v>
      </c>
      <c r="AE10" s="164">
        <f t="shared" ref="AE10:AE12" si="67">IMABS(AC10)/L10/1000*SQRT(3)</f>
        <v>1.0093861629433436</v>
      </c>
      <c r="AF10" s="165">
        <f t="shared" ref="AF10:AF12" si="68">L10*AE10</f>
        <v>25.234654073583592</v>
      </c>
      <c r="AG10" s="164">
        <f t="shared" ref="AG10:AG12" si="69">IMABS(AD10)/Q10</f>
        <v>0.64838981552652364</v>
      </c>
      <c r="AH10" s="165">
        <f t="shared" ref="AH10:AH12" si="70">AG10*Q10/O10</f>
        <v>99.657514646426691</v>
      </c>
      <c r="AI10" s="166">
        <f t="shared" ref="AI10:AI12" si="71">IMREAL(IMPRODUCT(AC10,IMCONJUGATE(AD10)))*3/1000000</f>
        <v>4.0382749404549898</v>
      </c>
      <c r="AJ10" s="164">
        <f t="shared" si="55"/>
        <v>0.99999999999999678</v>
      </c>
      <c r="AK10" s="176">
        <f t="shared" si="21"/>
        <v>4.3558010485826992</v>
      </c>
      <c r="AL10" s="165">
        <f t="shared" si="22"/>
        <v>24.999999999999922</v>
      </c>
      <c r="AM10" s="164">
        <f t="shared" si="23"/>
        <v>0.65327743960807394</v>
      </c>
      <c r="AN10" s="165">
        <f t="shared" si="24"/>
        <v>100.40874246776097</v>
      </c>
      <c r="AO10" s="167">
        <f t="shared" si="25"/>
        <v>4</v>
      </c>
      <c r="AP10" s="164">
        <f t="shared" si="26"/>
        <v>9.5687351137474508E-3</v>
      </c>
      <c r="AQ10" s="157">
        <f t="shared" si="27"/>
        <v>4.355801048582685</v>
      </c>
      <c r="AR10" s="157">
        <f>AL10*AN10*SQRT(3)/1000</f>
        <v>4.3478260869565064</v>
      </c>
      <c r="AS10" s="176">
        <f t="shared" si="29"/>
        <v>1.6325863775394509</v>
      </c>
      <c r="AT10" s="196">
        <f>VLOOKUP(N10,Cabos!$B$9:$I$46,6,0)*K10*O10</f>
        <v>764.94993467550137</v>
      </c>
      <c r="AU10" s="200">
        <f>VLOOKUP(N10,Cabos!$B$9:$I$46,7,0)*K10</f>
        <v>69.06577926018015</v>
      </c>
      <c r="AV10" s="201">
        <f t="shared" si="33"/>
        <v>2</v>
      </c>
      <c r="AW10" s="201">
        <f t="shared" si="30"/>
        <v>0</v>
      </c>
      <c r="AX10">
        <f t="shared" si="34"/>
        <v>0</v>
      </c>
      <c r="AY10">
        <f t="shared" si="35"/>
        <v>1</v>
      </c>
      <c r="AZ10">
        <f t="shared" si="36"/>
        <v>1</v>
      </c>
      <c r="BA10" s="201">
        <f t="shared" si="37"/>
        <v>4</v>
      </c>
      <c r="BB10" s="199">
        <f t="shared" si="38"/>
        <v>1100000</v>
      </c>
    </row>
    <row r="11" spans="1:54" x14ac:dyDescent="0.25">
      <c r="A11" s="153">
        <f t="shared" si="32"/>
        <v>0</v>
      </c>
      <c r="B11">
        <v>60</v>
      </c>
      <c r="C11" s="133">
        <v>1</v>
      </c>
      <c r="D11" s="107">
        <v>4</v>
      </c>
      <c r="E11" s="194">
        <v>0.92</v>
      </c>
      <c r="F11" s="168">
        <f t="shared" si="57"/>
        <v>4.3478260869565215</v>
      </c>
      <c r="G11" s="157">
        <f t="shared" si="1"/>
        <v>29.744053030225782</v>
      </c>
      <c r="H11" s="157">
        <f t="shared" si="2"/>
        <v>3.5630842441123538</v>
      </c>
      <c r="I11">
        <v>30</v>
      </c>
      <c r="J11">
        <v>0</v>
      </c>
      <c r="K11" s="192">
        <f t="shared" si="3"/>
        <v>3.5722651332142616</v>
      </c>
      <c r="L11" s="107">
        <v>25</v>
      </c>
      <c r="M11" s="169">
        <v>1</v>
      </c>
      <c r="N11" s="156" t="s">
        <v>159</v>
      </c>
      <c r="O11" s="159">
        <v>1</v>
      </c>
      <c r="P11" s="159">
        <f t="shared" si="58"/>
        <v>1</v>
      </c>
      <c r="Q11" s="170">
        <f>VLOOKUP(N11,Cabos!$B$13:$F$46,2,0)*O11*P11</f>
        <v>153.70000000000002</v>
      </c>
      <c r="R11" s="171">
        <f>((VLOOKUP(N11,Cabos!$B$13:$F$46,3,0)/O11*K11))*(1+A11)</f>
        <v>1.7682712409410595</v>
      </c>
      <c r="S11" s="171">
        <f>(VLOOKUP(N11,Cabos!$B$13:$F$46,4,0)/O11*K11)*B11/60</f>
        <v>0.6394354588453528</v>
      </c>
      <c r="T11" s="171">
        <f>1/(VLOOKUP(N11,Cabos!$B$13:$F$46,5,0)*60/B11) * O11 * K11</f>
        <v>1.8739259996927355E-4</v>
      </c>
      <c r="U11" s="155" t="str">
        <f t="shared" si="59"/>
        <v>81,9953644820212-57,5409662461408i</v>
      </c>
      <c r="V11" s="155" t="str">
        <f t="shared" si="60"/>
        <v>0,0107827512696086+0,0153653245357142i</v>
      </c>
      <c r="W11" s="155" t="str">
        <f t="shared" si="61"/>
        <v>1,76820061197847+0,639520343062189i</v>
      </c>
      <c r="X11" s="155" t="str">
        <f t="shared" si="62"/>
        <v>2,58733681296353E-09+0,0000936972355103071i</v>
      </c>
      <c r="Y11" s="172">
        <f>F11/L11/SQRT(3)*1000</f>
        <v>100.408742467761</v>
      </c>
      <c r="Z11" s="173" t="str">
        <f t="shared" si="63"/>
        <v>14433,7567297406</v>
      </c>
      <c r="AA11" s="173" t="str">
        <f>COMPLEX(Y11*E11,-Y11*SQRT(1-E11*E11))</f>
        <v>92,3760430703401-39,3520295616861i</v>
      </c>
      <c r="AB11" s="173" t="str">
        <f t="shared" si="64"/>
        <v>187,640976071266-8,11458012017994i</v>
      </c>
      <c r="AC11" s="173" t="str">
        <f t="shared" si="65"/>
        <v>14621,3977058119-8,11458012017994i</v>
      </c>
      <c r="AD11" s="173" t="str">
        <f t="shared" si="66"/>
        <v>92,3768785595352-36,6296419347449i</v>
      </c>
      <c r="AE11" s="174">
        <f t="shared" si="67"/>
        <v>1.0130003041687963</v>
      </c>
      <c r="AF11" s="175">
        <f t="shared" si="68"/>
        <v>25.325007604219905</v>
      </c>
      <c r="AG11" s="174">
        <f t="shared" si="69"/>
        <v>0.64654608495417409</v>
      </c>
      <c r="AH11" s="175">
        <f t="shared" si="70"/>
        <v>99.374133257456563</v>
      </c>
      <c r="AI11" s="176">
        <f t="shared" si="71"/>
        <v>4.0529289432141296</v>
      </c>
      <c r="AJ11" s="174">
        <f t="shared" ref="AJ11:AJ12" si="72">IMABS(Z11)/L11/1000*SQRT(3)</f>
        <v>0.99999999999999678</v>
      </c>
      <c r="AK11" s="176">
        <f t="shared" si="21"/>
        <v>4.3589668433691937</v>
      </c>
      <c r="AL11" s="175">
        <f t="shared" si="22"/>
        <v>24.999999999999922</v>
      </c>
      <c r="AM11" s="174">
        <f t="shared" si="23"/>
        <v>0.65327743960807394</v>
      </c>
      <c r="AN11" s="175">
        <f t="shared" si="24"/>
        <v>100.40874246776097</v>
      </c>
      <c r="AO11" s="177">
        <f t="shared" si="25"/>
        <v>4</v>
      </c>
      <c r="AP11" s="174">
        <f t="shared" si="26"/>
        <v>1.3232235803532388E-2</v>
      </c>
      <c r="AQ11" s="168">
        <f t="shared" si="27"/>
        <v>4.3589668433691795</v>
      </c>
      <c r="AR11" s="168">
        <f t="shared" ref="AR11:AR12" si="73">AL11*AN11*SQRT(3)/1000</f>
        <v>4.3478260869565064</v>
      </c>
      <c r="AS11" s="176">
        <f t="shared" si="29"/>
        <v>1.604480888901201</v>
      </c>
      <c r="AT11" s="196">
        <f>VLOOKUP(N11,Cabos!$B$9:$I$46,6,0)*K11*O11</f>
        <v>1060.8627211409057</v>
      </c>
      <c r="AU11" s="200">
        <f>VLOOKUP(N11,Cabos!$B$9:$I$46,7,0)*K11</f>
        <v>95.783145016873988</v>
      </c>
      <c r="AV11" s="201">
        <f t="shared" si="33"/>
        <v>2</v>
      </c>
      <c r="AW11" s="201">
        <f t="shared" si="30"/>
        <v>0</v>
      </c>
      <c r="AX11">
        <f t="shared" si="34"/>
        <v>0</v>
      </c>
      <c r="AY11">
        <f t="shared" si="35"/>
        <v>1</v>
      </c>
      <c r="AZ11">
        <f t="shared" si="36"/>
        <v>1</v>
      </c>
      <c r="BA11" s="201">
        <f t="shared" si="37"/>
        <v>4</v>
      </c>
      <c r="BB11" s="199">
        <f t="shared" si="38"/>
        <v>1100000</v>
      </c>
    </row>
    <row r="12" spans="1:54" x14ac:dyDescent="0.25">
      <c r="A12" s="153">
        <f>IF($B$1="não",0,1-60/$B12)</f>
        <v>0</v>
      </c>
      <c r="B12">
        <v>60</v>
      </c>
      <c r="C12" s="133">
        <v>1</v>
      </c>
      <c r="D12" s="107">
        <f>SUM(AI4:AI11)</f>
        <v>32.24088490650891</v>
      </c>
      <c r="E12" s="194">
        <f>(SUM(AI4:AI11))/(SUM(AK4:AK11))</f>
        <v>0.92558884612126224</v>
      </c>
      <c r="F12" s="168">
        <f>D12/(E12*C12)</f>
        <v>34.832836460396372</v>
      </c>
      <c r="G12" s="157">
        <v>0</v>
      </c>
      <c r="H12" s="157">
        <v>4.5</v>
      </c>
      <c r="I12" s="195">
        <v>29.744053030225782</v>
      </c>
      <c r="J12" s="195">
        <v>3.5630842441123538</v>
      </c>
      <c r="K12" s="192">
        <f t="shared" si="3"/>
        <v>29.758805449791058</v>
      </c>
      <c r="L12" s="107">
        <f>MAX(AF4:AF11)</f>
        <v>25.325007604219905</v>
      </c>
      <c r="M12" s="180">
        <v>1</v>
      </c>
      <c r="N12" s="156" t="s">
        <v>180</v>
      </c>
      <c r="O12" s="159">
        <v>2</v>
      </c>
      <c r="P12" s="159">
        <f t="shared" si="58"/>
        <v>0.9</v>
      </c>
      <c r="Q12" s="181">
        <f>VLOOKUP(N12,Cabos!$B$13:$F$46,2,0)*O12*P12</f>
        <v>940.90500000000009</v>
      </c>
      <c r="R12" s="182">
        <f>((VLOOKUP(N12,Cabos!$B$13:$F$46,3,0)/O12*K12))*(1+A12)</f>
        <v>0.6241909443093675</v>
      </c>
      <c r="S12" s="182">
        <f>(VLOOKUP(N12,Cabos!$B$13:$F$46,4,0)/O12*K12)*B12/60</f>
        <v>1.7081554328180071</v>
      </c>
      <c r="T12" s="182">
        <f>1/(VLOOKUP(N12,Cabos!$B$13:$F$46,5,0)*60/B12) * O12 * K12</f>
        <v>7.0501150024299235E-3</v>
      </c>
      <c r="U12" s="178" t="str">
        <f t="shared" si="59"/>
        <v>15,8152595313756-2,79907763075643i</v>
      </c>
      <c r="V12" s="178" t="str">
        <f t="shared" si="60"/>
        <v>0,0197338191975619+0,111499398489474i</v>
      </c>
      <c r="W12" s="178" t="str">
        <f t="shared" si="61"/>
        <v>0,621687459452299+1,70518600938887i</v>
      </c>
      <c r="X12" s="178" t="str">
        <f t="shared" si="62"/>
        <v>1,29582157670347E-06+0,00352859879423262i</v>
      </c>
      <c r="Y12" s="183">
        <f>F12/L12/SQRT(3)*1000</f>
        <v>794.10627713679355</v>
      </c>
      <c r="Z12" s="184" t="str">
        <f t="shared" si="63"/>
        <v>14621,3999575257</v>
      </c>
      <c r="AA12" s="173" t="str">
        <f>COMPLEX(Y12*E12,-Y12*SQRT(1-E12*E12))</f>
        <v>735,015912752696-300,593392123611i</v>
      </c>
      <c r="AB12" s="184" t="str">
        <f t="shared" si="64"/>
        <v>881,553846855836+1098,57077134629i</v>
      </c>
      <c r="AC12" s="184" t="str">
        <f t="shared" si="65"/>
        <v>15502,9538043815+1098,57077134629i</v>
      </c>
      <c r="AD12" s="184" t="str">
        <f t="shared" si="66"/>
        <v>731,178533041131-194,2952102106i</v>
      </c>
      <c r="AE12" s="185">
        <f t="shared" si="67"/>
        <v>1.0629507835249556</v>
      </c>
      <c r="AF12" s="186">
        <f t="shared" si="68"/>
        <v>26.91923667568101</v>
      </c>
      <c r="AG12" s="185">
        <f t="shared" si="69"/>
        <v>0.80406965071174452</v>
      </c>
      <c r="AH12" s="186">
        <f t="shared" si="70"/>
        <v>378.27657735146704</v>
      </c>
      <c r="AI12" s="187">
        <f t="shared" si="71"/>
        <v>33.365939944626298</v>
      </c>
      <c r="AJ12" s="185">
        <f t="shared" si="72"/>
        <v>1.0000000000000013</v>
      </c>
      <c r="AK12" s="176">
        <f t="shared" si="21"/>
        <v>35.274658237826756</v>
      </c>
      <c r="AL12" s="186">
        <f t="shared" si="22"/>
        <v>25.325007604219937</v>
      </c>
      <c r="AM12" s="185">
        <f t="shared" si="23"/>
        <v>0.84398135533002094</v>
      </c>
      <c r="AN12" s="186">
        <f t="shared" si="24"/>
        <v>882.34030792977046</v>
      </c>
      <c r="AO12" s="188">
        <f t="shared" si="25"/>
        <v>32.24088490650891</v>
      </c>
      <c r="AP12" s="185">
        <f t="shared" si="26"/>
        <v>3.489529029304831E-2</v>
      </c>
      <c r="AQ12" s="179">
        <f t="shared" si="27"/>
        <v>35.274658237826863</v>
      </c>
      <c r="AR12" s="179">
        <f t="shared" si="73"/>
        <v>38.703151622662681</v>
      </c>
      <c r="AS12" s="176">
        <f t="shared" si="29"/>
        <v>11.446203100027111</v>
      </c>
      <c r="AT12" s="196">
        <f>VLOOKUP(N12,Cabos!$B$9:$I$46,6,0)*K12*O12</f>
        <v>44416.564591696544</v>
      </c>
      <c r="AU12" s="200">
        <f>VLOOKUP(N12,Cabos!$B$9:$I$46,7,0)*K12</f>
        <v>1522.0141047295635</v>
      </c>
      <c r="AV12" s="201">
        <f t="shared" si="33"/>
        <v>2</v>
      </c>
      <c r="AW12" s="201">
        <f>ROUNDDOWN(AU12/$AU$2,0)*O12</f>
        <v>10</v>
      </c>
      <c r="AX12">
        <f t="shared" si="34"/>
        <v>15</v>
      </c>
      <c r="AY12">
        <f t="shared" si="35"/>
        <v>4</v>
      </c>
      <c r="AZ12">
        <f t="shared" si="36"/>
        <v>7</v>
      </c>
      <c r="BA12" s="201">
        <f t="shared" si="37"/>
        <v>28</v>
      </c>
      <c r="BB12" s="199">
        <f t="shared" si="38"/>
        <v>7700000</v>
      </c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193"/>
      <c r="AJ13" s="193"/>
      <c r="AK13" s="193"/>
      <c r="AL13" s="81"/>
      <c r="AM13" s="81"/>
      <c r="AN13" s="81"/>
      <c r="AO13" s="81"/>
      <c r="AP13" s="81"/>
      <c r="AS13" s="193"/>
      <c r="AT13" s="197">
        <f>SUM(AT4:AT12)</f>
        <v>49231.422489720091</v>
      </c>
      <c r="BB13" s="199">
        <f>SUM(BB4:BB12)</f>
        <v>16500000</v>
      </c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B31" t="s">
        <v>154</v>
      </c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B32" t="s">
        <v>153</v>
      </c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  <row r="309" spans="17:45" x14ac:dyDescent="0.25">
      <c r="Q309" s="84"/>
      <c r="R309" s="81"/>
      <c r="S309" s="81"/>
      <c r="T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S309" s="81"/>
    </row>
    <row r="310" spans="17:45" x14ac:dyDescent="0.25">
      <c r="Q310" s="84"/>
      <c r="R310" s="81"/>
      <c r="S310" s="81"/>
      <c r="T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S310" s="81"/>
    </row>
    <row r="311" spans="17:45" x14ac:dyDescent="0.25">
      <c r="Q311" s="84"/>
      <c r="R311" s="81"/>
      <c r="S311" s="81"/>
      <c r="T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S311" s="81"/>
    </row>
    <row r="312" spans="17:45" x14ac:dyDescent="0.25">
      <c r="Q312" s="84"/>
      <c r="R312" s="81"/>
      <c r="S312" s="81"/>
      <c r="T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  <c r="AL312" s="81"/>
      <c r="AM312" s="81"/>
      <c r="AN312" s="81"/>
      <c r="AO312" s="81"/>
      <c r="AP312" s="81"/>
      <c r="AS312" s="81"/>
    </row>
    <row r="313" spans="17:45" x14ac:dyDescent="0.25">
      <c r="Q313" s="84"/>
      <c r="R313" s="81"/>
      <c r="S313" s="81"/>
      <c r="T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S313" s="81"/>
    </row>
  </sheetData>
  <mergeCells count="2">
    <mergeCell ref="D1:E1"/>
    <mergeCell ref="N1:Q1"/>
  </mergeCells>
  <conditionalFormatting sqref="AF4 AJ4 AL4">
    <cfRule type="cellIs" dxfId="65" priority="286" operator="greaterThan">
      <formula>1.08</formula>
    </cfRule>
  </conditionalFormatting>
  <conditionalFormatting sqref="AM4:AN4 AG4:AH4">
    <cfRule type="cellIs" dxfId="64" priority="267" operator="greaterThan">
      <formula>1</formula>
    </cfRule>
  </conditionalFormatting>
  <conditionalFormatting sqref="AE4">
    <cfRule type="cellIs" dxfId="63" priority="261" operator="greaterThan">
      <formula>1.1</formula>
    </cfRule>
  </conditionalFormatting>
  <conditionalFormatting sqref="AP4">
    <cfRule type="cellIs" dxfId="62" priority="258" operator="greaterThan">
      <formula>7%</formula>
    </cfRule>
  </conditionalFormatting>
  <conditionalFormatting sqref="AF4:AF5">
    <cfRule type="cellIs" dxfId="61" priority="256" operator="greaterThan">
      <formula>1.08</formula>
    </cfRule>
  </conditionalFormatting>
  <conditionalFormatting sqref="AJ4:AJ5 AL4:AL5">
    <cfRule type="cellIs" dxfId="60" priority="254" operator="greaterThan">
      <formula>1.08</formula>
    </cfRule>
  </conditionalFormatting>
  <conditionalFormatting sqref="AM4:AN5">
    <cfRule type="cellIs" dxfId="59" priority="252" operator="greaterThan">
      <formula>1</formula>
    </cfRule>
  </conditionalFormatting>
  <conditionalFormatting sqref="AE5">
    <cfRule type="cellIs" dxfId="58" priority="255" operator="greaterThan">
      <formula>1.1</formula>
    </cfRule>
  </conditionalFormatting>
  <conditionalFormatting sqref="AG4:AH5">
    <cfRule type="cellIs" dxfId="57" priority="253" operator="greaterThan">
      <formula>1</formula>
    </cfRule>
  </conditionalFormatting>
  <conditionalFormatting sqref="AP5">
    <cfRule type="cellIs" dxfId="56" priority="250" operator="greaterThan">
      <formula>7%</formula>
    </cfRule>
  </conditionalFormatting>
  <conditionalFormatting sqref="AE4">
    <cfRule type="cellIs" dxfId="55" priority="216" operator="greaterThan">
      <formula>1.1</formula>
    </cfRule>
  </conditionalFormatting>
  <conditionalFormatting sqref="AE5">
    <cfRule type="cellIs" dxfId="54" priority="215" operator="greaterThan">
      <formula>1.1</formula>
    </cfRule>
  </conditionalFormatting>
  <conditionalFormatting sqref="AP4">
    <cfRule type="cellIs" dxfId="53" priority="214" operator="greaterThan">
      <formula>7%</formula>
    </cfRule>
  </conditionalFormatting>
  <conditionalFormatting sqref="AP5">
    <cfRule type="cellIs" dxfId="52" priority="213" operator="greaterThan">
      <formula>7%</formula>
    </cfRule>
  </conditionalFormatting>
  <conditionalFormatting sqref="AF6:AF8">
    <cfRule type="cellIs" dxfId="51" priority="198" operator="greaterThan">
      <formula>1.08</formula>
    </cfRule>
  </conditionalFormatting>
  <conditionalFormatting sqref="AJ6:AJ8 AL6:AL8">
    <cfRule type="cellIs" dxfId="50" priority="196" operator="greaterThan">
      <formula>1.08</formula>
    </cfRule>
  </conditionalFormatting>
  <conditionalFormatting sqref="AM6:AN8">
    <cfRule type="cellIs" dxfId="49" priority="194" operator="greaterThan">
      <formula>1</formula>
    </cfRule>
  </conditionalFormatting>
  <conditionalFormatting sqref="AE6">
    <cfRule type="cellIs" dxfId="48" priority="197" operator="greaterThan">
      <formula>1.1</formula>
    </cfRule>
  </conditionalFormatting>
  <conditionalFormatting sqref="AG6:AH8">
    <cfRule type="cellIs" dxfId="47" priority="195" operator="greaterThan">
      <formula>1</formula>
    </cfRule>
  </conditionalFormatting>
  <conditionalFormatting sqref="AE7:AE8">
    <cfRule type="cellIs" dxfId="46" priority="193" operator="greaterThan">
      <formula>1.1</formula>
    </cfRule>
  </conditionalFormatting>
  <conditionalFormatting sqref="AP6">
    <cfRule type="cellIs" dxfId="45" priority="192" operator="greaterThan">
      <formula>7%</formula>
    </cfRule>
  </conditionalFormatting>
  <conditionalFormatting sqref="AP7:AP8">
    <cfRule type="cellIs" dxfId="44" priority="191" operator="greaterThan">
      <formula>7%</formula>
    </cfRule>
  </conditionalFormatting>
  <conditionalFormatting sqref="AF8:AF9">
    <cfRule type="cellIs" dxfId="43" priority="190" operator="greaterThan">
      <formula>1.08</formula>
    </cfRule>
  </conditionalFormatting>
  <conditionalFormatting sqref="AJ8:AJ9 AL8:AL9">
    <cfRule type="cellIs" dxfId="42" priority="188" operator="greaterThan">
      <formula>1.08</formula>
    </cfRule>
  </conditionalFormatting>
  <conditionalFormatting sqref="AM8:AN9">
    <cfRule type="cellIs" dxfId="41" priority="186" operator="greaterThan">
      <formula>1</formula>
    </cfRule>
  </conditionalFormatting>
  <conditionalFormatting sqref="AE9">
    <cfRule type="cellIs" dxfId="40" priority="189" operator="greaterThan">
      <formula>1.1</formula>
    </cfRule>
  </conditionalFormatting>
  <conditionalFormatting sqref="AG8:AH9">
    <cfRule type="cellIs" dxfId="39" priority="187" operator="greaterThan">
      <formula>1</formula>
    </cfRule>
  </conditionalFormatting>
  <conditionalFormatting sqref="AP9">
    <cfRule type="cellIs" dxfId="38" priority="185" operator="greaterThan">
      <formula>7%</formula>
    </cfRule>
  </conditionalFormatting>
  <conditionalFormatting sqref="AE8">
    <cfRule type="cellIs" dxfId="37" priority="184" operator="greaterThan">
      <formula>1.1</formula>
    </cfRule>
  </conditionalFormatting>
  <conditionalFormatting sqref="AE9">
    <cfRule type="cellIs" dxfId="36" priority="183" operator="greaterThan">
      <formula>1.1</formula>
    </cfRule>
  </conditionalFormatting>
  <conditionalFormatting sqref="AP8">
    <cfRule type="cellIs" dxfId="35" priority="182" operator="greaterThan">
      <formula>7%</formula>
    </cfRule>
  </conditionalFormatting>
  <conditionalFormatting sqref="AP9">
    <cfRule type="cellIs" dxfId="34" priority="181" operator="greaterThan">
      <formula>7%</formula>
    </cfRule>
  </conditionalFormatting>
  <conditionalFormatting sqref="AF10:AF12">
    <cfRule type="cellIs" dxfId="33" priority="180" operator="greaterThan">
      <formula>1.08</formula>
    </cfRule>
  </conditionalFormatting>
  <conditionalFormatting sqref="AJ10:AJ12 AL10:AL12">
    <cfRule type="cellIs" dxfId="32" priority="178" operator="greaterThan">
      <formula>1.08</formula>
    </cfRule>
  </conditionalFormatting>
  <conditionalFormatting sqref="AM10:AN12">
    <cfRule type="cellIs" dxfId="31" priority="176" operator="greaterThan">
      <formula>1</formula>
    </cfRule>
  </conditionalFormatting>
  <conditionalFormatting sqref="AE10">
    <cfRule type="cellIs" dxfId="30" priority="179" operator="greaterThan">
      <formula>1.1</formula>
    </cfRule>
  </conditionalFormatting>
  <conditionalFormatting sqref="AG10:AH12">
    <cfRule type="cellIs" dxfId="29" priority="177" operator="greaterThan">
      <formula>1</formula>
    </cfRule>
  </conditionalFormatting>
  <conditionalFormatting sqref="AE11:AE12">
    <cfRule type="cellIs" dxfId="28" priority="175" operator="greaterThan">
      <formula>1.1</formula>
    </cfRule>
  </conditionalFormatting>
  <conditionalFormatting sqref="AP10">
    <cfRule type="cellIs" dxfId="27" priority="174" operator="greaterThan">
      <formula>7%</formula>
    </cfRule>
  </conditionalFormatting>
  <conditionalFormatting sqref="AP11:AP12">
    <cfRule type="cellIs" dxfId="26" priority="173" operator="greaterThan">
      <formula>7%</formula>
    </cfRule>
  </conditionalFormatting>
  <conditionalFormatting sqref="AF12">
    <cfRule type="cellIs" dxfId="25" priority="172" operator="greaterThan">
      <formula>1.08</formula>
    </cfRule>
  </conditionalFormatting>
  <conditionalFormatting sqref="AJ12 AL12">
    <cfRule type="cellIs" dxfId="24" priority="170" operator="greaterThan">
      <formula>1.08</formula>
    </cfRule>
  </conditionalFormatting>
  <conditionalFormatting sqref="AM12:AN12">
    <cfRule type="cellIs" dxfId="23" priority="168" operator="greaterThan">
      <formula>1</formula>
    </cfRule>
  </conditionalFormatting>
  <conditionalFormatting sqref="AG12:AH12">
    <cfRule type="cellIs" dxfId="22" priority="169" operator="greaterThan">
      <formula>1</formula>
    </cfRule>
  </conditionalFormatting>
  <conditionalFormatting sqref="AE12">
    <cfRule type="cellIs" dxfId="21" priority="166" operator="greaterThan">
      <formula>1.1</formula>
    </cfRule>
  </conditionalFormatting>
  <conditionalFormatting sqref="AP12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$B$31:$B$32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2" t="s">
        <v>123</v>
      </c>
      <c r="E1" s="202"/>
      <c r="F1" s="99"/>
      <c r="G1" s="87" t="s">
        <v>3</v>
      </c>
      <c r="H1" s="87" t="s">
        <v>18</v>
      </c>
      <c r="I1" s="90" t="s">
        <v>117</v>
      </c>
      <c r="J1" s="202" t="s">
        <v>6</v>
      </c>
      <c r="K1" s="202"/>
      <c r="L1" s="202"/>
      <c r="M1" s="202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1.34</v>
      </c>
      <c r="P3" s="85">
        <f>1/VLOOKUP(J3,Cabos!$B$13:$F$46,5,0) * K3 * G3</f>
        <v>1.7143770989924837E-3</v>
      </c>
      <c r="Q3" t="str">
        <f>IMSQRT(IMDIV(COMPLEX(N3,O3),COMPLEX(0,P3)))</f>
        <v>29,2472492645112-8,58932998204467i</v>
      </c>
      <c r="R3" t="str">
        <f>IMSQRT(IMPRODUCT(COMPLEX(N3,O3),COMPLEX(0,P3)))</f>
        <v>0,0147253506169069+0,0501408143476027i</v>
      </c>
      <c r="S3" t="str">
        <f>IMPRODUCT(Q3,_xlfn.IMSINH(R3))</f>
        <v>0,860692513295555+1,33969892048543i</v>
      </c>
      <c r="T3" t="str">
        <f>IMDIV(IMSUB(_xlfn.IMCOSH(R3),COMPLEX(1,0)),IMPRODUCT(Q3,_xlfn.IMSINH(R3)))</f>
        <v>1,05531397658571E-07+0,000857352670742429i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256,958589943999+133,325343667497i</v>
      </c>
      <c r="Y3" s="81" t="str">
        <f>IMSUM(V3,X3)</f>
        <v>3807,6627454602+133,325343667497i</v>
      </c>
      <c r="Z3" s="81" t="str">
        <f t="shared" ref="Z3" si="4">IMSUM(IMPRODUCT(Y3,T3),IMDIV(X3,S3))</f>
        <v>157,553136365939-87,2451764444048i</v>
      </c>
      <c r="AA3" s="83">
        <f>IMABS(Y3)/H3/1000*SQRT(3)</f>
        <v>1.0730255345393755</v>
      </c>
      <c r="AB3" s="106">
        <f>H3*AA3</f>
        <v>6.5991070374171601</v>
      </c>
      <c r="AC3" s="83">
        <f>IMABS(Z3)/M3</f>
        <v>0.49681764214184043</v>
      </c>
      <c r="AD3" s="83"/>
      <c r="AE3" s="88">
        <f>IMREAL(IMPRODUCT(Y3,IMCONJUGATE(Z3)))*3/1000000</f>
        <v>1.764831643914645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5.0818361974414417E-2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0.36299999999999999</v>
      </c>
      <c r="P4" s="85">
        <f>1/VLOOKUP(J4,Cabos!$B$13:$F$46,5,0) * K4 * G4</f>
        <v>2.0884093282283328E-3</v>
      </c>
      <c r="Q4" t="str">
        <f>IMSQRT(IMDIV(COMPLEX(N4,O4),COMPLEX(0,P4)))</f>
        <v>13,6231728669933-3,43137566640284i</v>
      </c>
      <c r="R4" t="str">
        <f>IMSQRT(IMPRODUCT(COMPLEX(N4,O4),COMPLEX(0,P4)))</f>
        <v>0,00716611695037139+0,0284507612954958i</v>
      </c>
      <c r="S4" t="str">
        <f>IMPRODUCT(Q4,_xlfn.IMSINH(R4))</f>
        <v>0,195201163215868+0,362967404948617i</v>
      </c>
      <c r="T4" t="str">
        <f>IMDIV(IMSUB(_xlfn.IMCOSH(R4),COMPLEX(1,0)),IMPRODUCT(Q4,_xlfn.IMSINH(R4)))</f>
        <v>3,5487712988332E-08+0,0010442706346526i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246,251261155212+149,875442361672i</v>
      </c>
      <c r="Y4" s="81" t="str">
        <f>IMSUM(V4,X4)</f>
        <v>4056,76303780674+149,875442361672i</v>
      </c>
      <c r="Z4" s="81" t="str">
        <f>IMSUM(IMPRODUCT(Y4,T4),IMDIV(X4,S4))</f>
        <v>603,135586003309-349,756773031241i</v>
      </c>
      <c r="AA4" s="83">
        <f>IMABS(Y4)/H4/1000*SQRT(3)</f>
        <v>1.0653505027653067</v>
      </c>
      <c r="AB4" s="106">
        <f>H4*AA4</f>
        <v>7.0313133182510237</v>
      </c>
      <c r="AC4" s="83">
        <f>IMABS(Z4)/M4</f>
        <v>0.88226560626445638</v>
      </c>
      <c r="AD4" s="106">
        <f>AC4*M4/K4</f>
        <v>348.60519767524335</v>
      </c>
      <c r="AE4" s="88">
        <f>IMREAL(IMPRODUCT(Y4,IMCONJUGATE(Z4)))*3/1000000</f>
        <v>7.1830746030212396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0.19717910050353993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2.42</v>
      </c>
      <c r="P5" s="85">
        <f>1/VLOOKUP(J5,Cabos!$B$13:$F$46,5,0) * K5 * G5</f>
        <v>3.4806822137138883E-3</v>
      </c>
      <c r="Q5" t="str">
        <f t="shared" ref="Q5:Q20" si="11">IMSQRT(IMDIV(COMPLEX(N5,O5),COMPLEX(0,P5)))</f>
        <v>27,2463457339865-6,86275133280567i</v>
      </c>
      <c r="R5" t="str">
        <f t="shared" ref="R5:R20" si="12">IMSQRT(IMPRODUCT(COMPLEX(N5,O5),COMPLEX(0,P5)))</f>
        <v>0,023887056501238+0,0948358709849862i</v>
      </c>
      <c r="S5" t="str">
        <f t="shared" ref="S5:S20" si="13">IMPRODUCT(Q5,_xlfn.IMSINH(R5))</f>
        <v>1,29801732141416+2,41758572387984i</v>
      </c>
      <c r="T5" t="str">
        <f t="shared" ref="T5:T20" si="14">IMDIV(IMSUB(_xlfn.IMCOSH(R5),COMPLEX(1,0)),IMPRODUCT(Q5,_xlfn.IMSINH(R5)))</f>
        <v>6,58188462383797E-07+0,0017415634490871i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195,102346197874+155,867116138694i</v>
      </c>
      <c r="Y5" s="81" t="str">
        <f t="shared" ref="Y5:Y20" si="19">IMSUM(V5,X5)</f>
        <v>8162,53606101471+155,867116138694i</v>
      </c>
      <c r="Z5" s="81" t="str">
        <f t="shared" ref="Z5:Z20" si="20">IMSUM(IMPRODUCT(Y5,T5),IMDIV(X5,S5))</f>
        <v>83,413116144091-21,5577391048527i</v>
      </c>
      <c r="AA5" s="83">
        <f t="shared" ref="AA5:AA20" si="21">IMABS(Y5)/H5/1000*SQRT(3)</f>
        <v>1.0246742416959309</v>
      </c>
      <c r="AB5" s="83"/>
      <c r="AC5" s="83">
        <f t="shared" ref="AC5:AC20" si="22">IMABS(Z5)/M5</f>
        <v>0.21804198544160272</v>
      </c>
      <c r="AD5" s="83"/>
      <c r="AE5" s="88">
        <f t="shared" ref="AE5:AE20" si="23">IMREAL(IMPRODUCT(Y5,IMCONJUGATE(Z5)))*3/1000000</f>
        <v>2.0325072775890209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1.6253638794510472E-2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2.42</v>
      </c>
      <c r="P6" s="85">
        <f>1/VLOOKUP(J6,Cabos!$B$13:$F$46,5,0) * K6 * G6</f>
        <v>3.4806822137138883E-3</v>
      </c>
      <c r="Q6" t="str">
        <f t="shared" si="11"/>
        <v>27,2463457339865-6,86275133280567i</v>
      </c>
      <c r="R6" t="str">
        <f t="shared" si="12"/>
        <v>0,023887056501238+0,0948358709849862i</v>
      </c>
      <c r="S6" t="str">
        <f t="shared" si="13"/>
        <v>1,29801732141416+2,41758572387984i</v>
      </c>
      <c r="T6" t="str">
        <f t="shared" si="14"/>
        <v>6,58188462383797E-07+0,0017415634490871i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538,064527727804+362,632247089969i</v>
      </c>
      <c r="Y6" s="81" t="str">
        <f t="shared" si="19"/>
        <v>8505,49824254464+362,632247089969i</v>
      </c>
      <c r="Z6" s="81" t="str">
        <f t="shared" si="20"/>
        <v>208,564175367933-95,4341238515446i</v>
      </c>
      <c r="AA6" s="83">
        <f t="shared" si="21"/>
        <v>1.0685027899093666</v>
      </c>
      <c r="AB6" s="83"/>
      <c r="AC6" s="83">
        <f t="shared" si="22"/>
        <v>0.58047827204326763</v>
      </c>
      <c r="AD6" s="83"/>
      <c r="AE6" s="88">
        <f t="shared" si="23"/>
        <v>5.2180042088051399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4.3600841761027985E-2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2.5</v>
      </c>
      <c r="P7" s="85">
        <f>1/VLOOKUP(J7,Cabos!$B$13:$F$46,5,0) * K7 * G7</f>
        <v>3.1984647369262755E-3</v>
      </c>
      <c r="Q7" t="str">
        <f t="shared" si="11"/>
        <v>29,2472492645112-8,58932998204466i</v>
      </c>
      <c r="R7" t="str">
        <f t="shared" si="12"/>
        <v>0,0274726690613935+0,0935462954246321i</v>
      </c>
      <c r="S7" t="str">
        <f t="shared" si="13"/>
        <v>1,60271893719738+2,49804459244677i</v>
      </c>
      <c r="T7" t="str">
        <f t="shared" si="14"/>
        <v>6,86092194111777E-07+0,00160029851172335i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2549,47563032042+1314,92414219385i</v>
      </c>
      <c r="Y7" s="81" t="str">
        <f t="shared" si="19"/>
        <v>10516,9093451373+1314,92414219385i</v>
      </c>
      <c r="Z7" s="81" t="str">
        <f t="shared" si="20"/>
        <v>834,647931380381-466,910706064361i</v>
      </c>
      <c r="AA7" s="83">
        <f t="shared" si="21"/>
        <v>1.3302643141331776</v>
      </c>
      <c r="AB7" s="83"/>
      <c r="AC7" s="83">
        <f t="shared" si="22"/>
        <v>2.638260915025882</v>
      </c>
      <c r="AD7" s="83"/>
      <c r="AE7" s="88">
        <f t="shared" si="23"/>
        <v>24.49189340934312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0.22459467046715603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2.5</v>
      </c>
      <c r="P8" s="85">
        <f>1/VLOOKUP(J8,Cabos!$B$13:$F$46,5,0) * K8 * G8</f>
        <v>3.1984647369262755E-3</v>
      </c>
      <c r="Q8" t="str">
        <f t="shared" si="11"/>
        <v>29,2472492645112-8,58932998204466i</v>
      </c>
      <c r="R8" t="str">
        <f t="shared" si="12"/>
        <v>0,0274726690613935+0,0935462954246321i</v>
      </c>
      <c r="S8" t="str">
        <f t="shared" si="13"/>
        <v>1,60271893719738+2,49804459244677i</v>
      </c>
      <c r="T8" t="str">
        <f t="shared" si="14"/>
        <v>6,86092194111777E-07+0,00160029851172335i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1258,81682130116+667,686450192705i</v>
      </c>
      <c r="Y8" s="81" t="str">
        <f t="shared" si="19"/>
        <v>9226,250536118+667,686450192705i</v>
      </c>
      <c r="Z8" s="81" t="str">
        <f t="shared" si="20"/>
        <v>417,313059102348-220,730552044015i</v>
      </c>
      <c r="AA8" s="83">
        <f t="shared" si="21"/>
        <v>1.1610236025943523</v>
      </c>
      <c r="AB8" s="83"/>
      <c r="AC8" s="83">
        <f t="shared" si="22"/>
        <v>1.3023265844006795</v>
      </c>
      <c r="AD8" s="83"/>
      <c r="AE8" s="88">
        <f t="shared" si="23"/>
        <v>11.108568109586221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0.1108568109586221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2.5</v>
      </c>
      <c r="P9" s="85">
        <f>1/VLOOKUP(J9,Cabos!$B$13:$F$46,5,0) * K9 * G9</f>
        <v>3.1984647369262755E-3</v>
      </c>
      <c r="Q9" t="str">
        <f t="shared" si="11"/>
        <v>29,2472492645112-8,58932998204466i</v>
      </c>
      <c r="R9" t="str">
        <f t="shared" si="12"/>
        <v>0,0274726690613935+0,0935462954246321i</v>
      </c>
      <c r="S9" t="str">
        <f t="shared" si="13"/>
        <v>1,60271893719738+2,49804459244677i</v>
      </c>
      <c r="T9" t="str">
        <f t="shared" si="14"/>
        <v>6,86092194111777E-07+0,00160029851172335i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613,487416791539+344,067604192138i</v>
      </c>
      <c r="Y9" s="81" t="str">
        <f t="shared" si="19"/>
        <v>8580,92113160838+344,067604192138i</v>
      </c>
      <c r="Z9" s="81" t="str">
        <f t="shared" si="20"/>
        <v>208,645622963334-97,6404750338432i</v>
      </c>
      <c r="AA9" s="83">
        <f t="shared" si="21"/>
        <v>1.0778648026611011</v>
      </c>
      <c r="AB9" s="83"/>
      <c r="AC9" s="83">
        <f t="shared" si="22"/>
        <v>0.63548142303518118</v>
      </c>
      <c r="AD9" s="83"/>
      <c r="AE9" s="88">
        <f t="shared" si="23"/>
        <v>5.2703301323597689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5.4066026471953778E-2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0.45000000000000007</v>
      </c>
      <c r="P10" s="85">
        <f>1/VLOOKUP(J10,Cabos!$B$13:$F$46,5,0) * K10 * G10</f>
        <v>4.4098191974129061E-3</v>
      </c>
      <c r="Q10" t="str">
        <f t="shared" si="11"/>
        <v>11,0312705447808-4,43214731616036i</v>
      </c>
      <c r="R10" t="str">
        <f t="shared" si="12"/>
        <v>0,019544968320566+0,0486459086202297i</v>
      </c>
      <c r="S10" t="str">
        <f t="shared" si="13"/>
        <v>0,430926461301803+0,449987805562788i</v>
      </c>
      <c r="T10" t="str">
        <f t="shared" si="14"/>
        <v>3,49537032215009E-07+0,00220527422657218i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576,083324950698+170,143801006648i</v>
      </c>
      <c r="Y10" s="81" t="str">
        <f t="shared" si="19"/>
        <v>8543,51703976754+170,143801006648i</v>
      </c>
      <c r="Z10" s="81" t="str">
        <f t="shared" si="20"/>
        <v>836,37007801423-460,080841285733i</v>
      </c>
      <c r="AA10" s="83">
        <f t="shared" si="21"/>
        <v>1.0725173727434312</v>
      </c>
      <c r="AB10" s="83"/>
      <c r="AC10" s="83">
        <f t="shared" si="22"/>
        <v>1.1429146960328069</v>
      </c>
      <c r="AD10" s="83"/>
      <c r="AE10" s="88">
        <f t="shared" si="23"/>
        <v>21.201786329878768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6.0089316493938408E-2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0.45000000000000007</v>
      </c>
      <c r="P11" s="85">
        <f>1/VLOOKUP(J11,Cabos!$B$13:$F$46,5,0) * K11 * G11</f>
        <v>4.4098191974129061E-3</v>
      </c>
      <c r="Q11" t="str">
        <f t="shared" si="11"/>
        <v>11,0312705447808-4,43214731616036i</v>
      </c>
      <c r="R11" t="str">
        <f t="shared" si="12"/>
        <v>0,019544968320566+0,0486459086202297i</v>
      </c>
      <c r="S11" t="str">
        <f t="shared" si="13"/>
        <v>0,430926461301803+0,449987805562788i</v>
      </c>
      <c r="T11" t="str">
        <f t="shared" si="14"/>
        <v>3,49537032215009E-07+0,00220527422657218i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284,089035001933+88,8582971166033i</v>
      </c>
      <c r="Y11" s="81" t="str">
        <f t="shared" si="19"/>
        <v>8251,52274981877+88,8582971166033i</v>
      </c>
      <c r="Z11" s="81" t="str">
        <f t="shared" si="20"/>
        <v>418,179472495797-212,478759723667i</v>
      </c>
      <c r="AA11" s="83">
        <f t="shared" si="21"/>
        <v>1.035716326756879</v>
      </c>
      <c r="AB11" s="83"/>
      <c r="AC11" s="83">
        <f t="shared" si="22"/>
        <v>0.56161910380776603</v>
      </c>
      <c r="AD11" s="83"/>
      <c r="AE11" s="88">
        <f t="shared" si="23"/>
        <v>10.295210790131369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2.9521079013136921E-2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0.45000000000000007</v>
      </c>
      <c r="P12" s="85">
        <f>1/VLOOKUP(J12,Cabos!$B$13:$F$46,5,0) * K12 * G12</f>
        <v>4.4098191974129061E-3</v>
      </c>
      <c r="Q12" t="str">
        <f t="shared" si="11"/>
        <v>11,0312705447808-4,43214731616036i</v>
      </c>
      <c r="R12" t="str">
        <f t="shared" si="12"/>
        <v>0,019544968320566+0,0486459086202297i</v>
      </c>
      <c r="S12" t="str">
        <f t="shared" si="13"/>
        <v>0,430926461301803+0,449987805562788i</v>
      </c>
      <c r="T12" t="str">
        <f t="shared" si="14"/>
        <v>3,49537032215009E-07+0,00220527422657218i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138,091890027551+48,2155451715812i</v>
      </c>
      <c r="Y12" s="81" t="str">
        <f t="shared" si="19"/>
        <v>8105,52560484439+48,2155451715812i</v>
      </c>
      <c r="Z12" s="81" t="str">
        <f t="shared" si="20"/>
        <v>209,084169736581-88,6777189426342i</v>
      </c>
      <c r="AA12" s="83">
        <f t="shared" si="21"/>
        <v>1.0173500399595383</v>
      </c>
      <c r="AB12" s="83"/>
      <c r="AC12" s="83">
        <f t="shared" si="22"/>
        <v>0.2719254648285987</v>
      </c>
      <c r="AD12" s="83"/>
      <c r="AE12" s="88">
        <f t="shared" si="23"/>
        <v>5.0713843404123002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1.4276868082460047E-2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0.22500000000000003</v>
      </c>
      <c r="P13" s="85">
        <f>1/VLOOKUP(J13,Cabos!$B$13:$F$46,5,0) * K13 * G13</f>
        <v>2.204909598706453E-3</v>
      </c>
      <c r="Q13" t="str">
        <f t="shared" si="11"/>
        <v>11,0312705447808-4,43214731616036i</v>
      </c>
      <c r="R13" t="str">
        <f t="shared" si="12"/>
        <v>0,00977248416028301+0,0243229543101148i</v>
      </c>
      <c r="S13" t="str">
        <f t="shared" si="13"/>
        <v>0,215570179901042+0,224998478124323i</v>
      </c>
      <c r="T13" t="str">
        <f t="shared" si="14"/>
        <v>4,36791246508538E-08+0,00110250037728546i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290,109716421324+83,129900839i</v>
      </c>
      <c r="Y13" s="81" t="str">
        <f t="shared" si="19"/>
        <v>8257,54343123816+83,129900839i</v>
      </c>
      <c r="Z13" s="81" t="str">
        <f t="shared" si="20"/>
        <v>836,648578510435-478,604027856565i</v>
      </c>
      <c r="AA13" s="83">
        <f t="shared" si="21"/>
        <v>1.0364644572733279</v>
      </c>
      <c r="AB13" s="83"/>
      <c r="AC13" s="83">
        <f t="shared" si="22"/>
        <v>1.1540572202098556</v>
      </c>
      <c r="AD13" s="83"/>
      <c r="AE13" s="88">
        <f t="shared" si="23"/>
        <v>20.606627005070163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3.0331350253508128E-2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0.22500000000000003</v>
      </c>
      <c r="P14" s="85">
        <f>1/VLOOKUP(J14,Cabos!$B$13:$F$46,5,0) * K14 * G14</f>
        <v>2.204909598706453E-3</v>
      </c>
      <c r="Q14" t="str">
        <f t="shared" si="11"/>
        <v>11,0312705447808-4,43214731616036i</v>
      </c>
      <c r="R14" t="str">
        <f t="shared" si="12"/>
        <v>0,00977248416028301+0,0243229543101148i</v>
      </c>
      <c r="S14" t="str">
        <f t="shared" si="13"/>
        <v>0,215570179901042+0,224998478124323i</v>
      </c>
      <c r="T14" t="str">
        <f t="shared" si="14"/>
        <v>4,36791246508538E-08+0,00110250037728546i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144,066691304046+42,5117844364093i</v>
      </c>
      <c r="Y14" s="81" t="str">
        <f t="shared" si="19"/>
        <v>8111,50040612089+42,5117844364093i</v>
      </c>
      <c r="Z14" s="81" t="str">
        <f t="shared" si="20"/>
        <v>418,323593337724-230,519004664731i</v>
      </c>
      <c r="AA14" s="83">
        <f t="shared" si="21"/>
        <v>1.0180959260267368</v>
      </c>
      <c r="AB14" s="83"/>
      <c r="AC14" s="83">
        <f t="shared" si="22"/>
        <v>0.57187904012193491</v>
      </c>
      <c r="AD14" s="83"/>
      <c r="AE14" s="88">
        <f t="shared" si="23"/>
        <v>10.1502966690423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1.5029666904229976E-2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0.22500000000000003</v>
      </c>
      <c r="P15" s="85">
        <f>1/VLOOKUP(J15,Cabos!$B$13:$F$46,5,0) * K15 * G15</f>
        <v>2.204909598706453E-3</v>
      </c>
      <c r="Q15" t="str">
        <f t="shared" si="11"/>
        <v>11,0312705447808-4,43214731616036i</v>
      </c>
      <c r="R15" t="str">
        <f t="shared" si="12"/>
        <v>0,00977248416028301+0,0243229543101148i</v>
      </c>
      <c r="S15" t="str">
        <f t="shared" si="13"/>
        <v>0,215570179901042+0,224998478124323i</v>
      </c>
      <c r="T15" t="str">
        <f t="shared" si="14"/>
        <v>4,36791246508538E-08+0,00110250037728546i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71,0451787454069+22,2027262351142i</v>
      </c>
      <c r="Y15" s="81" t="str">
        <f t="shared" si="19"/>
        <v>8038,47889356225+22,2027262351142i</v>
      </c>
      <c r="Z15" s="81" t="str">
        <f t="shared" si="20"/>
        <v>209,16110075137-106,476493068814i</v>
      </c>
      <c r="AA15" s="83">
        <f t="shared" si="21"/>
        <v>1.0089207948021879</v>
      </c>
      <c r="AB15" s="83"/>
      <c r="AC15" s="83">
        <f t="shared" si="22"/>
        <v>0.28101441258996268</v>
      </c>
      <c r="AD15" s="83"/>
      <c r="AE15" s="88">
        <f t="shared" si="23"/>
        <v>5.0369190759541507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7.383815190830134E-3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0.13500000000000001</v>
      </c>
      <c r="P16" s="85">
        <f>1/VLOOKUP(J16,Cabos!$B$13:$F$46,5,0) * K16 * G16</f>
        <v>1.322945759223872E-3</v>
      </c>
      <c r="Q16" t="str">
        <f t="shared" si="11"/>
        <v>11,0312705447808-4,43214731616037i</v>
      </c>
      <c r="R16" t="str">
        <f t="shared" si="12"/>
        <v>0,00586349049616982+0,0145937725860689i</v>
      </c>
      <c r="S16" t="str">
        <f t="shared" si="13"/>
        <v>0,129355798731366+0,134999671386792i</v>
      </c>
      <c r="T16" t="str">
        <f t="shared" si="14"/>
        <v>9,43409259081217E-09+0,000661482724418981i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174,551894259438+49,4171879679457i</v>
      </c>
      <c r="Y16" s="81" t="str">
        <f t="shared" si="19"/>
        <v>8141,98560907628+49,4171879679457i</v>
      </c>
      <c r="Z16" s="81" t="str">
        <f t="shared" si="20"/>
        <v>836,706983926297-485,835971863196i</v>
      </c>
      <c r="AA16" s="83">
        <f t="shared" si="21"/>
        <v>1.0219269925726497</v>
      </c>
      <c r="AB16" s="83"/>
      <c r="AC16" s="83">
        <f t="shared" si="22"/>
        <v>1.1584416287857489</v>
      </c>
      <c r="AD16" s="83"/>
      <c r="AE16" s="88">
        <f t="shared" si="23"/>
        <v>20.365342723795109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1.8267136189755461E-2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0.13500000000000001</v>
      </c>
      <c r="P17" s="85">
        <f>1/VLOOKUP(J17,Cabos!$B$13:$F$46,5,0) * K17 * G17</f>
        <v>1.322945759223872E-3</v>
      </c>
      <c r="Q17" t="str">
        <f t="shared" si="11"/>
        <v>11,0312705447808-4,43214731616037i</v>
      </c>
      <c r="R17" t="str">
        <f t="shared" si="12"/>
        <v>0,00586349049616982+0,0145937725860689i</v>
      </c>
      <c r="S17" t="str">
        <f t="shared" si="13"/>
        <v>0,129355798731366+0,134999671386792i</v>
      </c>
      <c r="T17" t="str">
        <f t="shared" si="14"/>
        <v>9,43409259081217E-09+0,000661482724418981i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86,9202062733939+25,0494722687141i</v>
      </c>
      <c r="Y17" s="81" t="str">
        <f t="shared" si="19"/>
        <v>8054,35392109023+25,0494722687141i</v>
      </c>
      <c r="Z17" s="81" t="str">
        <f t="shared" si="20"/>
        <v>418,353341640203-237,647901484508i</v>
      </c>
      <c r="AA17" s="83">
        <f t="shared" si="21"/>
        <v>1.0109143247239036</v>
      </c>
      <c r="AB17" s="83"/>
      <c r="AC17" s="83">
        <f t="shared" si="22"/>
        <v>0.57607801415636684</v>
      </c>
      <c r="AD17" s="83"/>
      <c r="AE17" s="88">
        <f t="shared" si="23"/>
        <v>10.090838769369061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9.083876936906066E-3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0.13500000000000001</v>
      </c>
      <c r="P18" s="85">
        <f>1/VLOOKUP(J18,Cabos!$B$13:$F$46,5,0) * K18 * G18</f>
        <v>1.322945759223872E-3</v>
      </c>
      <c r="Q18" t="str">
        <f t="shared" si="11"/>
        <v>11,0312705447808-4,43214731616037i</v>
      </c>
      <c r="R18" t="str">
        <f t="shared" si="12"/>
        <v>0,00586349049616982+0,0145937725860689i</v>
      </c>
      <c r="S18" t="str">
        <f t="shared" si="13"/>
        <v>0,129355798731366+0,134999671386792i</v>
      </c>
      <c r="T18" t="str">
        <f t="shared" si="14"/>
        <v>9,43409259081217E-09+0,000661482724418981i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-0,711481712650206+0,68175656948271i</v>
      </c>
      <c r="Y18" s="81" t="str">
        <f t="shared" si="19"/>
        <v>7966,72223310419+0,68175656948271i</v>
      </c>
      <c r="Z18" s="81" t="str">
        <f t="shared" si="20"/>
        <v>-0,000300645890403666+10,5401688941795i</v>
      </c>
      <c r="AA18" s="83">
        <f t="shared" si="21"/>
        <v>0.99991070493119005</v>
      </c>
      <c r="AB18" s="83"/>
      <c r="AC18" s="83">
        <f t="shared" si="22"/>
        <v>1.2619934025942631E-2</v>
      </c>
      <c r="AD18" s="83"/>
      <c r="AE18" s="88">
        <f t="shared" si="23"/>
        <v>1.4372001263081671E-5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9">
        <v>183</v>
      </c>
      <c r="C28" s="206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3"/>
      <c r="C29" s="204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3"/>
      <c r="C30" s="204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3"/>
      <c r="C31" s="204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3"/>
      <c r="C32" s="204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10"/>
      <c r="C33" s="205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11">
        <v>200</v>
      </c>
      <c r="C34" s="207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3"/>
      <c r="C35" s="204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3"/>
      <c r="C36" s="204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3"/>
      <c r="C37" s="204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3"/>
      <c r="C38" s="204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10"/>
      <c r="C39" s="205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12">
        <v>325</v>
      </c>
      <c r="C40" s="208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3"/>
      <c r="C41" s="204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3"/>
      <c r="C42" s="204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3"/>
      <c r="C43" s="204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3"/>
      <c r="C44" s="204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10"/>
      <c r="C45" s="205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3">
        <v>183</v>
      </c>
      <c r="C52" s="204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3"/>
      <c r="C53" s="204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3">
        <v>200</v>
      </c>
      <c r="C54" s="204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3"/>
      <c r="C55" s="204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3">
        <v>325</v>
      </c>
      <c r="C56" s="204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3"/>
      <c r="C57" s="204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3">
        <v>183</v>
      </c>
      <c r="C65" s="204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3"/>
      <c r="C66" s="204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'[1]Dados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'[1]Dados Típicos'!G14</f>
        <v>130.5</v>
      </c>
      <c r="D9">
        <v>0.53834500000000007</v>
      </c>
      <c r="E9">
        <v>0.16800000000000001</v>
      </c>
      <c r="F9" s="77">
        <v>11132</v>
      </c>
      <c r="G9">
        <v>180</v>
      </c>
      <c r="H9">
        <v>23.570399999999999</v>
      </c>
      <c r="I9">
        <v>1</v>
      </c>
    </row>
    <row r="10" spans="1:12" ht="17.25" x14ac:dyDescent="0.25">
      <c r="B10" s="2" t="s">
        <v>142</v>
      </c>
      <c r="C10" s="3">
        <f>'[1]Dados Típicos'!O14</f>
        <v>153.70000000000002</v>
      </c>
      <c r="D10">
        <v>0.495</v>
      </c>
      <c r="E10">
        <v>0.161</v>
      </c>
      <c r="F10" s="77">
        <v>9958</v>
      </c>
      <c r="G10">
        <v>200</v>
      </c>
      <c r="H10">
        <v>24.414000000000001</v>
      </c>
      <c r="I10">
        <v>2</v>
      </c>
    </row>
    <row r="11" spans="1:12" ht="17.25" x14ac:dyDescent="0.25">
      <c r="B11" s="2" t="s">
        <v>141</v>
      </c>
      <c r="C11" s="3">
        <f>'[1]Dados Típicos'!G23</f>
        <v>187.05</v>
      </c>
      <c r="D11">
        <v>0.34399999999999997</v>
      </c>
      <c r="E11">
        <v>0.152</v>
      </c>
      <c r="F11" s="77">
        <v>8949</v>
      </c>
      <c r="G11">
        <v>220</v>
      </c>
      <c r="H11">
        <v>25.430799999999998</v>
      </c>
      <c r="I11">
        <v>3</v>
      </c>
    </row>
    <row r="12" spans="1:12" ht="17.25" x14ac:dyDescent="0.25">
      <c r="B12" s="2" t="s">
        <v>140</v>
      </c>
      <c r="C12" s="3">
        <f>'[1]Dados Típicos'!O23</f>
        <v>221.85</v>
      </c>
      <c r="D12">
        <v>0.248</v>
      </c>
      <c r="E12">
        <v>0.14399999999999999</v>
      </c>
      <c r="F12" s="77">
        <v>8025</v>
      </c>
      <c r="G12">
        <v>248.6</v>
      </c>
      <c r="H12">
        <v>26.620799999999999</v>
      </c>
      <c r="I12">
        <v>4</v>
      </c>
      <c r="L12" t="s">
        <v>165</v>
      </c>
    </row>
    <row r="13" spans="1:12" ht="18" customHeight="1" x14ac:dyDescent="0.25">
      <c r="B13" s="2" t="s">
        <v>84</v>
      </c>
      <c r="C13" s="3">
        <f>'[1]Dados Típicos'!G32</f>
        <v>250.85</v>
      </c>
      <c r="D13" s="76">
        <v>0.1582895</v>
      </c>
      <c r="E13">
        <v>0.13900000000000001</v>
      </c>
      <c r="F13" s="77">
        <v>7363</v>
      </c>
      <c r="G13">
        <v>273.89999999999998</v>
      </c>
      <c r="H13">
        <v>27.984000000000002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'[1]Dados Típicos'!O32</f>
        <v>278.39999999999998</v>
      </c>
      <c r="D14" s="76">
        <v>0.12936349999999999</v>
      </c>
      <c r="E14">
        <v>0.13500000000000001</v>
      </c>
      <c r="F14" s="77">
        <v>6803</v>
      </c>
      <c r="G14">
        <v>299.2</v>
      </c>
      <c r="H14">
        <v>29.520400000000002</v>
      </c>
      <c r="I14">
        <v>6</v>
      </c>
    </row>
    <row r="15" spans="1:12" ht="18" customHeight="1" x14ac:dyDescent="0.25">
      <c r="B15" s="2" t="s">
        <v>86</v>
      </c>
      <c r="C15" s="3">
        <f>'[1]Dados Típicos'!G41</f>
        <v>311.02500000000003</v>
      </c>
      <c r="D15" s="76">
        <v>0.10365150000000001</v>
      </c>
      <c r="E15">
        <v>0.13</v>
      </c>
      <c r="F15" s="77">
        <v>6292</v>
      </c>
      <c r="G15">
        <v>341</v>
      </c>
      <c r="H15">
        <v>31.229999999999997</v>
      </c>
      <c r="I15">
        <v>7</v>
      </c>
    </row>
    <row r="16" spans="1:12" ht="18" customHeight="1" x14ac:dyDescent="0.25">
      <c r="B16" s="2" t="s">
        <v>87</v>
      </c>
      <c r="C16" s="3">
        <f>'[1]Dados Típicos'!O41</f>
        <v>362.5</v>
      </c>
      <c r="D16" s="76">
        <v>8.0350000000000005E-2</v>
      </c>
      <c r="E16">
        <v>0.125</v>
      </c>
      <c r="F16" s="77">
        <v>6253</v>
      </c>
      <c r="G16">
        <v>382.8</v>
      </c>
      <c r="H16">
        <v>33.1128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'[1]Dados Típicos'!G50</f>
        <v>395.125</v>
      </c>
      <c r="D17" s="76">
        <v>6.5083500000000002E-2</v>
      </c>
      <c r="E17">
        <v>0.121</v>
      </c>
      <c r="F17" s="77">
        <v>5746</v>
      </c>
      <c r="G17">
        <v>478.5</v>
      </c>
      <c r="H17">
        <v>35.168799999999997</v>
      </c>
      <c r="I17">
        <v>9</v>
      </c>
    </row>
    <row r="18" spans="2:9" ht="18" customHeight="1" x14ac:dyDescent="0.25">
      <c r="B18" s="2" t="s">
        <v>89</v>
      </c>
      <c r="C18" s="3">
        <f>'[1]Dados Típicos'!O50</f>
        <v>435</v>
      </c>
      <c r="D18" s="76">
        <v>5.3031000000000002E-2</v>
      </c>
      <c r="E18">
        <v>0.11700000000000001</v>
      </c>
      <c r="F18" s="77">
        <v>5105</v>
      </c>
      <c r="G18">
        <v>526.78899082568807</v>
      </c>
      <c r="H18">
        <v>37.398000000000003</v>
      </c>
      <c r="I18">
        <v>10</v>
      </c>
    </row>
    <row r="19" spans="2:9" ht="18" customHeight="1" x14ac:dyDescent="0.25">
      <c r="B19" s="2" t="s">
        <v>90</v>
      </c>
      <c r="C19" s="3">
        <f>'[1]Dados Típicos'!G60</f>
        <v>477.77500000000003</v>
      </c>
      <c r="D19" s="76">
        <v>4.7490500000000005E-2</v>
      </c>
      <c r="E19">
        <v>0.114</v>
      </c>
      <c r="F19" s="77">
        <v>4669</v>
      </c>
      <c r="G19">
        <v>578.58990825688068</v>
      </c>
      <c r="H19">
        <v>39.800400000000003</v>
      </c>
      <c r="I19">
        <v>11</v>
      </c>
    </row>
    <row r="20" spans="2:9" ht="18" customHeight="1" x14ac:dyDescent="0.25">
      <c r="B20" s="2" t="s">
        <v>137</v>
      </c>
      <c r="C20" s="3">
        <f>'[1]Dados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v>42.375999999999998</v>
      </c>
      <c r="I20">
        <v>12</v>
      </c>
    </row>
    <row r="21" spans="2:9" ht="18" customHeight="1" x14ac:dyDescent="0.25">
      <c r="B21" s="2" t="s">
        <v>147</v>
      </c>
      <c r="C21" s="3">
        <v>131</v>
      </c>
      <c r="D21" s="76">
        <v>0.53834500000000007</v>
      </c>
      <c r="E21">
        <v>0.1852</v>
      </c>
      <c r="F21" s="77">
        <v>20314.34</v>
      </c>
      <c r="G21">
        <v>282.57979999999998</v>
      </c>
      <c r="H21">
        <v>26.5</v>
      </c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296.97199999999998</v>
      </c>
      <c r="H22">
        <v>26.812999999999999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316.91660000000002</v>
      </c>
      <c r="H23">
        <v>26.994399999999999</v>
      </c>
      <c r="I23">
        <v>2</v>
      </c>
    </row>
    <row r="24" spans="2:9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342.41359999999997</v>
      </c>
      <c r="H24">
        <v>27.676200000000001</v>
      </c>
      <c r="I24">
        <v>3</v>
      </c>
    </row>
    <row r="25" spans="2:9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0.155</v>
      </c>
      <c r="F25" s="96">
        <v>14663</v>
      </c>
      <c r="G25">
        <v>373.46300000000002</v>
      </c>
      <c r="H25">
        <v>28.8584</v>
      </c>
      <c r="I25">
        <v>4</v>
      </c>
    </row>
    <row r="26" spans="2:9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0.14899999999999999</v>
      </c>
      <c r="F26" s="96">
        <v>13715</v>
      </c>
      <c r="G26">
        <v>410.06479999999999</v>
      </c>
      <c r="H26">
        <v>30.540999999999997</v>
      </c>
      <c r="I26">
        <v>5</v>
      </c>
    </row>
    <row r="27" spans="2:9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0.14499999999999999</v>
      </c>
      <c r="F27" s="96">
        <v>12781</v>
      </c>
      <c r="G27">
        <v>452.21899999999999</v>
      </c>
      <c r="H27">
        <v>32.723999999999997</v>
      </c>
      <c r="I27">
        <v>6</v>
      </c>
    </row>
    <row r="28" spans="2:9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0.13800000000000001</v>
      </c>
      <c r="F28" s="96">
        <v>11528</v>
      </c>
      <c r="G28">
        <v>499.92560000000003</v>
      </c>
      <c r="H28">
        <v>35.407399999999996</v>
      </c>
      <c r="I28">
        <v>7</v>
      </c>
    </row>
    <row r="29" spans="2:9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0.13300000000000001</v>
      </c>
      <c r="F29" s="96">
        <v>10665</v>
      </c>
      <c r="G29">
        <v>553.18460000000005</v>
      </c>
      <c r="H29">
        <v>38.591200000000001</v>
      </c>
      <c r="I29">
        <v>8</v>
      </c>
    </row>
    <row r="30" spans="2:9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0.129</v>
      </c>
      <c r="F30" s="96">
        <v>9879</v>
      </c>
      <c r="G30">
        <v>611.99600000000009</v>
      </c>
      <c r="H30">
        <v>42.275399999999998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4.7490500000000005E-2</v>
      </c>
      <c r="E31" s="95">
        <v>0.124</v>
      </c>
      <c r="F31" s="95">
        <v>9145.1924066778101</v>
      </c>
      <c r="G31">
        <v>676.35979999999995</v>
      </c>
      <c r="H31">
        <v>46.459999999999994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4.1950000000000001E-2</v>
      </c>
      <c r="E32" s="95">
        <v>0.11480000000000003</v>
      </c>
      <c r="F32" s="95">
        <v>8442.0766014552264</v>
      </c>
      <c r="G32">
        <v>746.27599999999995</v>
      </c>
      <c r="H32">
        <v>51.144999999999996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1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1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1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1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1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1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1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1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1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1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64" si="5">C9</f>
        <v>130.5</v>
      </c>
      <c r="D49">
        <f t="shared" si="5"/>
        <v>0.53834500000000007</v>
      </c>
      <c r="E49" s="152">
        <f t="shared" si="5"/>
        <v>0.16800000000000001</v>
      </c>
      <c r="F49" s="3">
        <f t="shared" si="5"/>
        <v>11132</v>
      </c>
      <c r="H49">
        <f>($E49)*$I$48/60</f>
        <v>0.22400000000000003</v>
      </c>
      <c r="I49">
        <f>($E49)*$J$48/60</f>
        <v>0.21000000000000002</v>
      </c>
      <c r="J49">
        <f>($E49)*$K$48/60</f>
        <v>0.16800000000000001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0.161</v>
      </c>
      <c r="F50" s="3">
        <f t="shared" si="5"/>
        <v>9958</v>
      </c>
      <c r="H50">
        <f t="shared" ref="H50:H60" si="6">($E50)*$I$48/60</f>
        <v>0.21466666666666667</v>
      </c>
      <c r="I50">
        <f t="shared" ref="I50:I60" si="7">($E50)*$J$48/60</f>
        <v>0.20125000000000001</v>
      </c>
      <c r="J50">
        <f t="shared" ref="J50:J60" si="8">($E50)*$K$48/60</f>
        <v>0.161</v>
      </c>
      <c r="K50">
        <f t="shared" ref="K50:K60" si="9">($E50)*$L$48/60</f>
        <v>0</v>
      </c>
      <c r="L50">
        <f t="shared" ref="L50:M60" si="10">$F50*60/$H$48</f>
        <v>7112.8571428571431</v>
      </c>
      <c r="M50">
        <f t="shared" si="10"/>
        <v>7112.8571428571431</v>
      </c>
      <c r="N50">
        <f t="shared" ref="N50:N60" si="11">$F50*60/$I$48</f>
        <v>7468.5</v>
      </c>
      <c r="O50">
        <f t="shared" ref="O50:O60" si="12">$F50*60/$J$48</f>
        <v>7966.4</v>
      </c>
      <c r="P50">
        <f t="shared" ref="P50:P60" si="13">$F50*60/$K$48</f>
        <v>9958</v>
      </c>
      <c r="Q50" t="e">
        <f t="shared" ref="Q50:Q60" si="14">$F50*60/$L$48</f>
        <v>#DIV/0!</v>
      </c>
      <c r="R50">
        <f t="shared" ref="R50:R59" si="15">$D50*(1+(1-(60/$H$48)))</f>
        <v>0.63642857142857134</v>
      </c>
      <c r="S50">
        <f t="shared" ref="S50:S60" si="16">$D50*(1+(1-(60/$I$48)))</f>
        <v>0.61875000000000002</v>
      </c>
      <c r="T50">
        <f t="shared" ref="T50:T60" si="17">$D50*(1+(1-(60/$J$48)))</f>
        <v>0.59399999999999997</v>
      </c>
      <c r="U50">
        <f t="shared" ref="U50:U60" si="18">$D50*(1+(1-(60/$K$48)))</f>
        <v>0.495</v>
      </c>
      <c r="V50" t="e">
        <f t="shared" ref="V50:V60" si="19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0.152</v>
      </c>
      <c r="F51" s="3">
        <f t="shared" si="5"/>
        <v>8949</v>
      </c>
      <c r="H51">
        <f t="shared" si="6"/>
        <v>0.20266666666666666</v>
      </c>
      <c r="I51">
        <f t="shared" si="7"/>
        <v>0.19</v>
      </c>
      <c r="J51">
        <f t="shared" si="8"/>
        <v>0.152</v>
      </c>
      <c r="K51">
        <f t="shared" si="9"/>
        <v>0</v>
      </c>
      <c r="L51">
        <f t="shared" si="10"/>
        <v>6392.1428571428569</v>
      </c>
      <c r="M51">
        <f t="shared" si="10"/>
        <v>6392.1428571428569</v>
      </c>
      <c r="N51">
        <f t="shared" si="11"/>
        <v>6711.75</v>
      </c>
      <c r="O51">
        <f t="shared" si="12"/>
        <v>7159.2</v>
      </c>
      <c r="P51">
        <f t="shared" si="13"/>
        <v>8949</v>
      </c>
      <c r="Q51" t="e">
        <f t="shared" si="14"/>
        <v>#DIV/0!</v>
      </c>
      <c r="R51">
        <f t="shared" si="15"/>
        <v>0.44228571428571423</v>
      </c>
      <c r="S51">
        <f t="shared" si="16"/>
        <v>0.42999999999999994</v>
      </c>
      <c r="T51">
        <f t="shared" si="17"/>
        <v>0.41279999999999994</v>
      </c>
      <c r="U51">
        <f t="shared" si="18"/>
        <v>0.34399999999999997</v>
      </c>
      <c r="V51" t="e">
        <f t="shared" si="19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0.14399999999999999</v>
      </c>
      <c r="F52" s="3">
        <f t="shared" si="5"/>
        <v>8025</v>
      </c>
      <c r="H52">
        <f t="shared" si="6"/>
        <v>0.192</v>
      </c>
      <c r="I52">
        <f t="shared" si="7"/>
        <v>0.18</v>
      </c>
      <c r="J52">
        <f t="shared" si="8"/>
        <v>0.14399999999999999</v>
      </c>
      <c r="K52">
        <f t="shared" si="9"/>
        <v>0</v>
      </c>
      <c r="L52">
        <f t="shared" si="10"/>
        <v>5732.1428571428569</v>
      </c>
      <c r="M52">
        <f t="shared" si="10"/>
        <v>5732.1428571428569</v>
      </c>
      <c r="N52">
        <f t="shared" si="11"/>
        <v>6018.75</v>
      </c>
      <c r="O52">
        <f t="shared" si="12"/>
        <v>6420</v>
      </c>
      <c r="P52">
        <f t="shared" si="13"/>
        <v>8025</v>
      </c>
      <c r="Q52" t="e">
        <f t="shared" si="14"/>
        <v>#DIV/0!</v>
      </c>
      <c r="R52">
        <f t="shared" si="15"/>
        <v>0.31885714285714284</v>
      </c>
      <c r="S52">
        <f t="shared" si="16"/>
        <v>0.31</v>
      </c>
      <c r="T52">
        <f t="shared" si="17"/>
        <v>0.29759999999999998</v>
      </c>
      <c r="U52">
        <f t="shared" si="18"/>
        <v>0.248</v>
      </c>
      <c r="V52" t="e">
        <f t="shared" si="19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0.13900000000000001</v>
      </c>
      <c r="F53" s="3">
        <f t="shared" si="5"/>
        <v>7363</v>
      </c>
      <c r="H53">
        <f t="shared" si="6"/>
        <v>0.18533333333333335</v>
      </c>
      <c r="I53">
        <f t="shared" si="7"/>
        <v>0.17375000000000002</v>
      </c>
      <c r="J53">
        <f t="shared" si="8"/>
        <v>0.13899999999999998</v>
      </c>
      <c r="K53">
        <f t="shared" si="9"/>
        <v>0</v>
      </c>
      <c r="L53">
        <f t="shared" si="10"/>
        <v>5259.2857142857147</v>
      </c>
      <c r="M53">
        <f t="shared" si="10"/>
        <v>5259.2857142857147</v>
      </c>
      <c r="N53">
        <f t="shared" si="11"/>
        <v>5522.25</v>
      </c>
      <c r="O53">
        <f t="shared" si="12"/>
        <v>5890.4</v>
      </c>
      <c r="P53">
        <f t="shared" si="13"/>
        <v>7363</v>
      </c>
      <c r="Q53" t="e">
        <f t="shared" si="14"/>
        <v>#DIV/0!</v>
      </c>
      <c r="R53">
        <f t="shared" si="15"/>
        <v>0.20351507142857142</v>
      </c>
      <c r="S53">
        <f t="shared" si="16"/>
        <v>0.19786187499999999</v>
      </c>
      <c r="T53">
        <f t="shared" si="17"/>
        <v>0.18994739999999999</v>
      </c>
      <c r="U53">
        <f t="shared" si="18"/>
        <v>0.1582895</v>
      </c>
      <c r="V53" t="e">
        <f t="shared" si="19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0.13500000000000001</v>
      </c>
      <c r="F54" s="3">
        <f t="shared" si="5"/>
        <v>6803</v>
      </c>
      <c r="H54">
        <f t="shared" si="6"/>
        <v>0.18000000000000002</v>
      </c>
      <c r="I54">
        <f t="shared" si="7"/>
        <v>0.16875000000000001</v>
      </c>
      <c r="J54">
        <f t="shared" si="8"/>
        <v>0.13500000000000004</v>
      </c>
      <c r="K54">
        <f t="shared" si="9"/>
        <v>0</v>
      </c>
      <c r="L54">
        <f t="shared" si="10"/>
        <v>4859.2857142857147</v>
      </c>
      <c r="M54">
        <f t="shared" si="10"/>
        <v>4859.2857142857147</v>
      </c>
      <c r="N54">
        <f t="shared" si="11"/>
        <v>5102.25</v>
      </c>
      <c r="O54">
        <f t="shared" si="12"/>
        <v>5442.4</v>
      </c>
      <c r="P54">
        <f t="shared" si="13"/>
        <v>6803</v>
      </c>
      <c r="Q54" t="e">
        <f t="shared" si="14"/>
        <v>#DIV/0!</v>
      </c>
      <c r="R54">
        <f t="shared" si="15"/>
        <v>0.16632449999999999</v>
      </c>
      <c r="S54">
        <f t="shared" si="16"/>
        <v>0.16170437499999998</v>
      </c>
      <c r="T54">
        <f t="shared" si="17"/>
        <v>0.15523619999999999</v>
      </c>
      <c r="U54">
        <f t="shared" si="18"/>
        <v>0.12936349999999999</v>
      </c>
      <c r="V54" t="e">
        <f t="shared" si="19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0.13</v>
      </c>
      <c r="F55" s="3">
        <f t="shared" si="5"/>
        <v>6292</v>
      </c>
      <c r="H55">
        <f t="shared" si="6"/>
        <v>0.17333333333333334</v>
      </c>
      <c r="I55">
        <f t="shared" si="7"/>
        <v>0.16250000000000001</v>
      </c>
      <c r="J55">
        <f t="shared" si="8"/>
        <v>0.13</v>
      </c>
      <c r="K55">
        <f t="shared" si="9"/>
        <v>0</v>
      </c>
      <c r="L55">
        <f t="shared" si="10"/>
        <v>4494.2857142857147</v>
      </c>
      <c r="M55">
        <f t="shared" si="10"/>
        <v>4494.2857142857147</v>
      </c>
      <c r="N55">
        <f t="shared" si="11"/>
        <v>4719</v>
      </c>
      <c r="O55">
        <f t="shared" si="12"/>
        <v>5033.6000000000004</v>
      </c>
      <c r="P55">
        <f t="shared" si="13"/>
        <v>6292</v>
      </c>
      <c r="Q55" t="e">
        <f t="shared" si="14"/>
        <v>#DIV/0!</v>
      </c>
      <c r="R55">
        <f t="shared" si="15"/>
        <v>0.13326621428571428</v>
      </c>
      <c r="S55">
        <f t="shared" si="16"/>
        <v>0.12956437500000001</v>
      </c>
      <c r="T55">
        <f t="shared" si="17"/>
        <v>0.1243818</v>
      </c>
      <c r="U55">
        <f t="shared" si="18"/>
        <v>0.10365150000000001</v>
      </c>
      <c r="V55" t="e">
        <f t="shared" si="19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0.125</v>
      </c>
      <c r="F56" s="3">
        <f t="shared" si="5"/>
        <v>6253</v>
      </c>
      <c r="H56">
        <f t="shared" si="6"/>
        <v>0.16666666666666666</v>
      </c>
      <c r="I56">
        <f t="shared" si="7"/>
        <v>0.15625</v>
      </c>
      <c r="J56">
        <f t="shared" si="8"/>
        <v>0.125</v>
      </c>
      <c r="K56">
        <f t="shared" si="9"/>
        <v>0</v>
      </c>
      <c r="L56">
        <f t="shared" si="10"/>
        <v>4466.4285714285716</v>
      </c>
      <c r="M56">
        <f t="shared" si="10"/>
        <v>4466.4285714285716</v>
      </c>
      <c r="N56">
        <f t="shared" si="11"/>
        <v>4689.75</v>
      </c>
      <c r="O56">
        <f t="shared" si="12"/>
        <v>5002.3999999999996</v>
      </c>
      <c r="P56">
        <f t="shared" si="13"/>
        <v>6253</v>
      </c>
      <c r="Q56" t="e">
        <f t="shared" si="14"/>
        <v>#DIV/0!</v>
      </c>
      <c r="R56">
        <f t="shared" si="15"/>
        <v>0.10330714285714285</v>
      </c>
      <c r="S56">
        <f t="shared" si="16"/>
        <v>0.10043750000000001</v>
      </c>
      <c r="T56">
        <f t="shared" si="17"/>
        <v>9.6420000000000006E-2</v>
      </c>
      <c r="U56">
        <f t="shared" si="18"/>
        <v>8.0350000000000005E-2</v>
      </c>
      <c r="V56" t="e">
        <f t="shared" si="19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0.121</v>
      </c>
      <c r="F57" s="3">
        <f t="shared" si="5"/>
        <v>5746</v>
      </c>
      <c r="H57">
        <f t="shared" si="6"/>
        <v>0.16133333333333333</v>
      </c>
      <c r="I57">
        <f t="shared" si="7"/>
        <v>0.15125</v>
      </c>
      <c r="J57">
        <f t="shared" si="8"/>
        <v>0.121</v>
      </c>
      <c r="K57">
        <f t="shared" si="9"/>
        <v>0</v>
      </c>
      <c r="L57">
        <f t="shared" si="10"/>
        <v>4104.2857142857147</v>
      </c>
      <c r="M57">
        <f t="shared" si="10"/>
        <v>4104.2857142857147</v>
      </c>
      <c r="N57">
        <f t="shared" si="11"/>
        <v>4309.5</v>
      </c>
      <c r="O57">
        <f t="shared" si="12"/>
        <v>4596.8</v>
      </c>
      <c r="P57">
        <f t="shared" si="13"/>
        <v>5746</v>
      </c>
      <c r="Q57" t="e">
        <f t="shared" si="14"/>
        <v>#DIV/0!</v>
      </c>
      <c r="R57">
        <f t="shared" si="15"/>
        <v>8.3678785714285706E-2</v>
      </c>
      <c r="S57">
        <f t="shared" si="16"/>
        <v>8.1354375000000007E-2</v>
      </c>
      <c r="T57">
        <f t="shared" si="17"/>
        <v>7.8100199999999995E-2</v>
      </c>
      <c r="U57">
        <f t="shared" si="18"/>
        <v>6.5083500000000002E-2</v>
      </c>
      <c r="V57" t="e">
        <f t="shared" si="19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0.11700000000000001</v>
      </c>
      <c r="F58" s="3">
        <f t="shared" si="5"/>
        <v>5105</v>
      </c>
      <c r="H58">
        <f t="shared" si="6"/>
        <v>0.15600000000000003</v>
      </c>
      <c r="I58">
        <f t="shared" si="7"/>
        <v>0.14625000000000002</v>
      </c>
      <c r="J58">
        <f t="shared" si="8"/>
        <v>0.11700000000000001</v>
      </c>
      <c r="K58">
        <f t="shared" si="9"/>
        <v>0</v>
      </c>
      <c r="L58">
        <f t="shared" si="10"/>
        <v>3646.4285714285716</v>
      </c>
      <c r="M58">
        <f t="shared" si="10"/>
        <v>3646.4285714285716</v>
      </c>
      <c r="N58">
        <f t="shared" si="11"/>
        <v>3828.75</v>
      </c>
      <c r="O58">
        <f t="shared" si="12"/>
        <v>4084</v>
      </c>
      <c r="P58">
        <f t="shared" si="13"/>
        <v>5105</v>
      </c>
      <c r="Q58" t="e">
        <f t="shared" si="14"/>
        <v>#DIV/0!</v>
      </c>
      <c r="R58">
        <f t="shared" si="15"/>
        <v>6.8182714285714277E-2</v>
      </c>
      <c r="S58">
        <f t="shared" si="16"/>
        <v>6.6288750000000007E-2</v>
      </c>
      <c r="T58">
        <f t="shared" si="17"/>
        <v>6.3637200000000005E-2</v>
      </c>
      <c r="U58">
        <f t="shared" si="18"/>
        <v>5.3031000000000002E-2</v>
      </c>
      <c r="V58" t="e">
        <f t="shared" si="19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0.114</v>
      </c>
      <c r="F59" s="3">
        <f t="shared" si="5"/>
        <v>4669</v>
      </c>
      <c r="H59">
        <f t="shared" si="6"/>
        <v>0.15200000000000002</v>
      </c>
      <c r="I59">
        <f t="shared" si="7"/>
        <v>0.14250000000000002</v>
      </c>
      <c r="J59">
        <f t="shared" si="8"/>
        <v>0.114</v>
      </c>
      <c r="K59">
        <f t="shared" si="9"/>
        <v>0</v>
      </c>
      <c r="L59">
        <f t="shared" si="10"/>
        <v>3335</v>
      </c>
      <c r="M59">
        <f t="shared" si="10"/>
        <v>3335</v>
      </c>
      <c r="N59">
        <f t="shared" si="11"/>
        <v>3501.75</v>
      </c>
      <c r="O59">
        <f t="shared" si="12"/>
        <v>3735.2</v>
      </c>
      <c r="P59">
        <f t="shared" si="13"/>
        <v>4669</v>
      </c>
      <c r="Q59" t="e">
        <f t="shared" si="14"/>
        <v>#DIV/0!</v>
      </c>
      <c r="R59">
        <f t="shared" si="15"/>
        <v>6.1059214285714286E-2</v>
      </c>
      <c r="S59">
        <f t="shared" si="16"/>
        <v>5.9363125000000003E-2</v>
      </c>
      <c r="T59">
        <f t="shared" si="17"/>
        <v>5.69886E-2</v>
      </c>
      <c r="U59">
        <f t="shared" si="18"/>
        <v>4.7490500000000005E-2</v>
      </c>
      <c r="V59" t="e">
        <f t="shared" si="19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0.15160000000000001</v>
      </c>
      <c r="I60">
        <f t="shared" si="7"/>
        <v>0.142125</v>
      </c>
      <c r="J60">
        <f t="shared" si="8"/>
        <v>0.1137</v>
      </c>
      <c r="K60">
        <f t="shared" si="9"/>
        <v>0</v>
      </c>
      <c r="L60">
        <f t="shared" si="10"/>
        <v>3273.5714285714284</v>
      </c>
      <c r="M60">
        <f t="shared" si="10"/>
        <v>3273.5714285714284</v>
      </c>
      <c r="N60">
        <f t="shared" si="11"/>
        <v>3437.25</v>
      </c>
      <c r="O60">
        <f t="shared" si="12"/>
        <v>3666.4</v>
      </c>
      <c r="P60">
        <f t="shared" si="13"/>
        <v>4583</v>
      </c>
      <c r="Q60" t="e">
        <f t="shared" si="14"/>
        <v>#DIV/0!</v>
      </c>
      <c r="R60">
        <f>$D60*(1+(1-(60/$H$48)))</f>
        <v>5.3935714285714281E-2</v>
      </c>
      <c r="S60">
        <f t="shared" si="16"/>
        <v>5.2437499999999998E-2</v>
      </c>
      <c r="T60">
        <f t="shared" si="17"/>
        <v>5.0340000000000003E-2</v>
      </c>
      <c r="U60">
        <f t="shared" si="18"/>
        <v>4.1950000000000001E-2</v>
      </c>
      <c r="V60" t="e">
        <f t="shared" si="19"/>
        <v>#DIV/0!</v>
      </c>
    </row>
    <row r="61" spans="1:22" ht="18" customHeight="1" x14ac:dyDescent="0.25">
      <c r="B61" s="3" t="str">
        <f>B21</f>
        <v>20/35kV EPR 35mm2 Cu</v>
      </c>
      <c r="C61" s="3">
        <f t="shared" si="5"/>
        <v>131</v>
      </c>
      <c r="D61" s="152">
        <f t="shared" si="5"/>
        <v>0.53834500000000007</v>
      </c>
      <c r="E61" s="152">
        <f t="shared" si="5"/>
        <v>0.1852</v>
      </c>
      <c r="F61" s="3">
        <f t="shared" si="5"/>
        <v>20314.34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ref="C65:F71" si="20">C25</f>
        <v>250.85</v>
      </c>
      <c r="D65" s="152">
        <f t="shared" si="20"/>
        <v>0.1582895</v>
      </c>
      <c r="E65" s="152">
        <f t="shared" si="20"/>
        <v>0.155</v>
      </c>
      <c r="F65" s="3">
        <f t="shared" si="20"/>
        <v>14663</v>
      </c>
    </row>
    <row r="66" spans="2:6" ht="18" customHeight="1" x14ac:dyDescent="0.25">
      <c r="B66" s="2" t="s">
        <v>11</v>
      </c>
      <c r="C66" s="3">
        <f t="shared" si="20"/>
        <v>278.39999999999998</v>
      </c>
      <c r="D66" s="152">
        <f t="shared" si="20"/>
        <v>0.12936349999999999</v>
      </c>
      <c r="E66" s="152">
        <f t="shared" si="20"/>
        <v>0.14899999999999999</v>
      </c>
      <c r="F66" s="3">
        <f t="shared" si="20"/>
        <v>13715</v>
      </c>
    </row>
    <row r="67" spans="2:6" ht="18" customHeight="1" x14ac:dyDescent="0.25">
      <c r="B67" s="2" t="s">
        <v>12</v>
      </c>
      <c r="C67" s="3">
        <f t="shared" si="20"/>
        <v>311.02500000000003</v>
      </c>
      <c r="D67" s="152">
        <f t="shared" si="20"/>
        <v>0.10365150000000001</v>
      </c>
      <c r="E67" s="152">
        <f t="shared" si="20"/>
        <v>0.14499999999999999</v>
      </c>
      <c r="F67" s="3">
        <f t="shared" si="20"/>
        <v>12781</v>
      </c>
    </row>
    <row r="68" spans="2:6" ht="18" customHeight="1" x14ac:dyDescent="0.25">
      <c r="B68" s="2" t="s">
        <v>13</v>
      </c>
      <c r="C68" s="3">
        <f t="shared" si="20"/>
        <v>362.5</v>
      </c>
      <c r="D68" s="152">
        <f t="shared" si="20"/>
        <v>8.0350000000000005E-2</v>
      </c>
      <c r="E68" s="152">
        <f t="shared" si="20"/>
        <v>0.13800000000000001</v>
      </c>
      <c r="F68" s="3">
        <f t="shared" si="20"/>
        <v>11528</v>
      </c>
    </row>
    <row r="69" spans="2:6" ht="18" customHeight="1" x14ac:dyDescent="0.25">
      <c r="B69" s="2" t="s">
        <v>14</v>
      </c>
      <c r="C69" s="3">
        <f t="shared" si="20"/>
        <v>395.125</v>
      </c>
      <c r="D69" s="152">
        <f t="shared" si="20"/>
        <v>6.5083500000000002E-2</v>
      </c>
      <c r="E69" s="152">
        <f t="shared" si="20"/>
        <v>0.13300000000000001</v>
      </c>
      <c r="F69" s="3">
        <f t="shared" si="20"/>
        <v>10665</v>
      </c>
    </row>
    <row r="70" spans="2:6" ht="18" customHeight="1" x14ac:dyDescent="0.25">
      <c r="B70" s="2" t="s">
        <v>16</v>
      </c>
      <c r="C70" s="3">
        <f t="shared" si="20"/>
        <v>435</v>
      </c>
      <c r="D70" s="152">
        <f t="shared" si="20"/>
        <v>5.3031000000000002E-2</v>
      </c>
      <c r="E70" s="152">
        <f t="shared" si="20"/>
        <v>0.129</v>
      </c>
      <c r="F70" s="3">
        <f t="shared" si="20"/>
        <v>9879</v>
      </c>
    </row>
    <row r="71" spans="2:6" ht="18" customHeight="1" x14ac:dyDescent="0.25">
      <c r="B71" s="2" t="s">
        <v>15</v>
      </c>
      <c r="C71" s="3">
        <f t="shared" si="20"/>
        <v>477.77500000000003</v>
      </c>
      <c r="D71" s="152">
        <f t="shared" si="20"/>
        <v>4.7490500000000005E-2</v>
      </c>
      <c r="E71" s="152">
        <f t="shared" si="20"/>
        <v>0.124</v>
      </c>
      <c r="F71" s="3">
        <f t="shared" si="20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3" t="s">
        <v>28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5"/>
      <c r="Q2" s="11"/>
      <c r="R2" s="12"/>
      <c r="S2" s="263" t="s">
        <v>29</v>
      </c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5"/>
      <c r="AH2" s="13"/>
      <c r="AI2" s="12"/>
      <c r="AJ2" s="254" t="s">
        <v>30</v>
      </c>
      <c r="AK2" s="255"/>
      <c r="AL2" s="255"/>
      <c r="AM2" s="255"/>
      <c r="AN2" s="255"/>
      <c r="AO2" s="255"/>
      <c r="AP2" s="255"/>
      <c r="AQ2" s="255"/>
      <c r="AR2" s="255"/>
      <c r="AS2" s="255"/>
      <c r="AT2" s="255"/>
      <c r="AU2" s="255"/>
      <c r="AV2" s="255"/>
      <c r="AW2" s="255"/>
      <c r="AX2" s="256"/>
      <c r="AY2" s="13"/>
      <c r="AZ2" s="12"/>
      <c r="BA2" s="263" t="s">
        <v>31</v>
      </c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5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6"/>
      <c r="AK3" s="267"/>
      <c r="AL3" s="267"/>
      <c r="AM3" s="267"/>
      <c r="AN3" s="267"/>
      <c r="AO3" s="267"/>
      <c r="AP3" s="267"/>
      <c r="AQ3" s="267"/>
      <c r="AR3" s="267"/>
      <c r="AS3" s="267"/>
      <c r="AT3" s="267"/>
      <c r="AU3" s="267"/>
      <c r="AV3" s="267"/>
      <c r="AW3" s="267"/>
      <c r="AX3" s="268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9" t="s">
        <v>32</v>
      </c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1"/>
      <c r="Q4" s="20"/>
      <c r="R4" s="21"/>
      <c r="S4" s="269" t="s">
        <v>33</v>
      </c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9"/>
      <c r="AH4" s="22"/>
      <c r="AI4" s="21"/>
      <c r="AJ4" s="257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9"/>
      <c r="AY4" s="22"/>
      <c r="AZ4" s="21"/>
      <c r="BA4" s="286" t="s">
        <v>34</v>
      </c>
      <c r="BB4" s="286"/>
      <c r="BC4" s="286"/>
      <c r="BD4" s="286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2"/>
    </row>
    <row r="5" spans="1:68" s="23" customFormat="1" ht="15" customHeight="1" thickBot="1" x14ac:dyDescent="0.3">
      <c r="A5" s="19"/>
      <c r="B5" s="272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4"/>
      <c r="Q5" s="20"/>
      <c r="R5" s="21"/>
      <c r="S5" s="280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2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6" t="s">
        <v>35</v>
      </c>
      <c r="BB5" s="286"/>
      <c r="BC5" s="286" t="s">
        <v>36</v>
      </c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2"/>
    </row>
    <row r="6" spans="1:68" s="23" customFormat="1" ht="15" customHeight="1" thickBot="1" x14ac:dyDescent="0.3">
      <c r="A6" s="19"/>
      <c r="B6" s="272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4"/>
      <c r="Q6" s="20"/>
      <c r="R6" s="21"/>
      <c r="S6" s="280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2"/>
      <c r="AH6" s="22"/>
      <c r="AI6" s="21"/>
      <c r="AJ6" s="242" t="s">
        <v>37</v>
      </c>
      <c r="AK6" s="243"/>
      <c r="AL6" s="243"/>
      <c r="AM6" s="243"/>
      <c r="AN6" s="243"/>
      <c r="AO6" s="244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5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  <c r="O7" s="276"/>
      <c r="P7" s="277"/>
      <c r="Q7" s="20"/>
      <c r="R7" s="21"/>
      <c r="S7" s="283"/>
      <c r="T7" s="284"/>
      <c r="U7" s="284"/>
      <c r="V7" s="284"/>
      <c r="W7" s="284"/>
      <c r="X7" s="284"/>
      <c r="Y7" s="284"/>
      <c r="Z7" s="284"/>
      <c r="AA7" s="284"/>
      <c r="AB7" s="284"/>
      <c r="AC7" s="284"/>
      <c r="AD7" s="284"/>
      <c r="AE7" s="284"/>
      <c r="AF7" s="284"/>
      <c r="AG7" s="285"/>
      <c r="AH7" s="22"/>
      <c r="AI7" s="21"/>
      <c r="AJ7" s="251" t="s">
        <v>39</v>
      </c>
      <c r="AK7" s="252"/>
      <c r="AL7" s="252"/>
      <c r="AM7" s="252"/>
      <c r="AN7" s="252"/>
      <c r="AO7" s="253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21" t="s">
        <v>41</v>
      </c>
      <c r="AK8" s="222"/>
      <c r="AL8" s="222"/>
      <c r="AM8" s="222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60" t="s">
        <v>43</v>
      </c>
      <c r="C9" s="261"/>
      <c r="D9" s="261"/>
      <c r="E9" s="261"/>
      <c r="F9" s="261"/>
      <c r="G9" s="261"/>
      <c r="H9" s="262"/>
      <c r="I9" s="11"/>
      <c r="J9" s="242" t="s">
        <v>44</v>
      </c>
      <c r="K9" s="243"/>
      <c r="L9" s="243"/>
      <c r="M9" s="243"/>
      <c r="N9" s="243"/>
      <c r="O9" s="243"/>
      <c r="P9" s="244"/>
      <c r="Q9" s="11"/>
      <c r="R9" s="12"/>
      <c r="S9" s="242" t="s">
        <v>43</v>
      </c>
      <c r="T9" s="243"/>
      <c r="U9" s="243"/>
      <c r="V9" s="243"/>
      <c r="W9" s="243"/>
      <c r="X9" s="243"/>
      <c r="Y9" s="244"/>
      <c r="Z9" s="11"/>
      <c r="AA9" s="242" t="s">
        <v>44</v>
      </c>
      <c r="AB9" s="243"/>
      <c r="AC9" s="243"/>
      <c r="AD9" s="243"/>
      <c r="AE9" s="243"/>
      <c r="AF9" s="243"/>
      <c r="AG9" s="244"/>
      <c r="AH9" s="13"/>
      <c r="AI9" s="12"/>
      <c r="AJ9" s="221" t="s">
        <v>5</v>
      </c>
      <c r="AK9" s="222"/>
      <c r="AL9" s="222"/>
      <c r="AM9" s="222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19" t="s">
        <v>46</v>
      </c>
      <c r="C10" s="220"/>
      <c r="D10" s="220"/>
      <c r="E10" s="220"/>
      <c r="F10" s="220"/>
      <c r="G10" s="30">
        <v>35</v>
      </c>
      <c r="H10" s="31" t="s">
        <v>47</v>
      </c>
      <c r="I10" s="29"/>
      <c r="J10" s="219" t="s">
        <v>46</v>
      </c>
      <c r="K10" s="220"/>
      <c r="L10" s="220"/>
      <c r="M10" s="220"/>
      <c r="N10" s="220"/>
      <c r="O10" s="30">
        <v>50</v>
      </c>
      <c r="P10" s="31" t="s">
        <v>47</v>
      </c>
      <c r="Q10" s="29"/>
      <c r="R10" s="32"/>
      <c r="S10" s="233" t="s">
        <v>46</v>
      </c>
      <c r="T10" s="234"/>
      <c r="U10" s="234"/>
      <c r="V10" s="234"/>
      <c r="W10" s="235"/>
      <c r="X10" s="30">
        <v>35</v>
      </c>
      <c r="Y10" s="31" t="s">
        <v>47</v>
      </c>
      <c r="Z10" s="29"/>
      <c r="AA10" s="233" t="s">
        <v>46</v>
      </c>
      <c r="AB10" s="234"/>
      <c r="AC10" s="234"/>
      <c r="AD10" s="234"/>
      <c r="AE10" s="235"/>
      <c r="AF10" s="30">
        <v>50</v>
      </c>
      <c r="AG10" s="31" t="s">
        <v>47</v>
      </c>
      <c r="AH10" s="33"/>
      <c r="AI10" s="32"/>
      <c r="AJ10" s="221" t="s">
        <v>41</v>
      </c>
      <c r="AK10" s="222"/>
      <c r="AL10" s="222"/>
      <c r="AM10" s="222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21" t="s">
        <v>49</v>
      </c>
      <c r="C11" s="222"/>
      <c r="D11" s="222"/>
      <c r="E11" s="222"/>
      <c r="F11" s="222"/>
      <c r="G11" s="34">
        <v>180</v>
      </c>
      <c r="H11" s="27" t="s">
        <v>50</v>
      </c>
      <c r="I11" s="29"/>
      <c r="J11" s="221" t="s">
        <v>49</v>
      </c>
      <c r="K11" s="222"/>
      <c r="L11" s="222"/>
      <c r="M11" s="222"/>
      <c r="N11" s="222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21" t="s">
        <v>53</v>
      </c>
      <c r="AK11" s="222"/>
      <c r="AL11" s="222"/>
      <c r="AM11" s="222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21" t="s">
        <v>55</v>
      </c>
      <c r="C12" s="222"/>
      <c r="D12" s="222"/>
      <c r="E12" s="222"/>
      <c r="F12" s="222"/>
      <c r="G12" s="38">
        <f>G11/1.2</f>
        <v>150</v>
      </c>
      <c r="H12" s="27" t="s">
        <v>50</v>
      </c>
      <c r="I12" s="29"/>
      <c r="J12" s="221" t="s">
        <v>55</v>
      </c>
      <c r="K12" s="222"/>
      <c r="L12" s="222"/>
      <c r="M12" s="222"/>
      <c r="N12" s="222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21" t="s">
        <v>57</v>
      </c>
      <c r="AK12" s="222"/>
      <c r="AL12" s="222"/>
      <c r="AM12" s="222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17" t="s">
        <v>58</v>
      </c>
      <c r="C13" s="218"/>
      <c r="D13" s="218"/>
      <c r="E13" s="218"/>
      <c r="F13" s="218"/>
      <c r="G13" s="41">
        <f>G11*0.87</f>
        <v>156.6</v>
      </c>
      <c r="H13" s="42" t="s">
        <v>50</v>
      </c>
      <c r="I13" s="29"/>
      <c r="J13" s="217" t="s">
        <v>58</v>
      </c>
      <c r="K13" s="218"/>
      <c r="L13" s="218"/>
      <c r="M13" s="218"/>
      <c r="N13" s="218"/>
      <c r="O13" s="41">
        <f>O11*0.87</f>
        <v>184.44</v>
      </c>
      <c r="P13" s="42" t="s">
        <v>50</v>
      </c>
      <c r="Q13" s="43"/>
      <c r="R13" s="44"/>
      <c r="S13" s="230" t="s">
        <v>59</v>
      </c>
      <c r="T13" s="231"/>
      <c r="U13" s="231"/>
      <c r="V13" s="231"/>
      <c r="W13" s="232"/>
      <c r="X13" s="45">
        <v>0.157</v>
      </c>
      <c r="Y13" s="46" t="s">
        <v>52</v>
      </c>
      <c r="Z13" s="29"/>
      <c r="AA13" s="230" t="s">
        <v>59</v>
      </c>
      <c r="AB13" s="231"/>
      <c r="AC13" s="231"/>
      <c r="AD13" s="231"/>
      <c r="AE13" s="232"/>
      <c r="AF13" s="45">
        <v>0.14899999999999999</v>
      </c>
      <c r="AG13" s="46" t="s">
        <v>52</v>
      </c>
      <c r="AH13" s="47"/>
      <c r="AI13" s="44"/>
      <c r="AJ13" s="221" t="s">
        <v>60</v>
      </c>
      <c r="AK13" s="222"/>
      <c r="AL13" s="222"/>
      <c r="AM13" s="222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17" t="s">
        <v>62</v>
      </c>
      <c r="C14" s="218"/>
      <c r="D14" s="218"/>
      <c r="E14" s="218"/>
      <c r="F14" s="218"/>
      <c r="G14" s="41">
        <f>G13/1.2</f>
        <v>130.5</v>
      </c>
      <c r="H14" s="42" t="s">
        <v>50</v>
      </c>
      <c r="I14" s="29"/>
      <c r="J14" s="217" t="s">
        <v>62</v>
      </c>
      <c r="K14" s="218"/>
      <c r="L14" s="218"/>
      <c r="M14" s="218"/>
      <c r="N14" s="218"/>
      <c r="O14" s="41">
        <f>O13/1.2</f>
        <v>153.70000000000002</v>
      </c>
      <c r="P14" s="42" t="s">
        <v>50</v>
      </c>
      <c r="Q14" s="43"/>
      <c r="R14" s="44"/>
      <c r="S14" s="227">
        <v>60</v>
      </c>
      <c r="T14" s="227"/>
      <c r="U14" s="227"/>
      <c r="V14" s="227"/>
      <c r="W14" s="227"/>
      <c r="X14" s="48"/>
      <c r="Y14" s="29"/>
      <c r="Z14" s="29"/>
      <c r="AA14" s="227"/>
      <c r="AB14" s="227"/>
      <c r="AC14" s="227"/>
      <c r="AD14" s="227"/>
      <c r="AE14" s="227"/>
      <c r="AF14" s="48"/>
      <c r="AG14" s="29"/>
      <c r="AH14" s="47"/>
      <c r="AI14" s="44"/>
      <c r="AJ14" s="221" t="s">
        <v>63</v>
      </c>
      <c r="AK14" s="222"/>
      <c r="AL14" s="222"/>
      <c r="AM14" s="222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28" t="s">
        <v>64</v>
      </c>
      <c r="C15" s="229"/>
      <c r="D15" s="229"/>
      <c r="E15" s="229"/>
      <c r="F15" s="229"/>
      <c r="G15" s="51">
        <f>G11*0.76</f>
        <v>136.80000000000001</v>
      </c>
      <c r="H15" s="52" t="s">
        <v>50</v>
      </c>
      <c r="I15" s="29"/>
      <c r="J15" s="228" t="s">
        <v>64</v>
      </c>
      <c r="K15" s="229"/>
      <c r="L15" s="229"/>
      <c r="M15" s="229"/>
      <c r="N15" s="229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21" t="s">
        <v>65</v>
      </c>
      <c r="AK15" s="222"/>
      <c r="AL15" s="222"/>
      <c r="AM15" s="222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5" t="s">
        <v>66</v>
      </c>
      <c r="C16" s="216"/>
      <c r="D16" s="216"/>
      <c r="E16" s="216"/>
      <c r="F16" s="216"/>
      <c r="G16" s="56">
        <f>G15/1.2</f>
        <v>114.00000000000001</v>
      </c>
      <c r="H16" s="57" t="s">
        <v>50</v>
      </c>
      <c r="I16" s="29"/>
      <c r="J16" s="215" t="s">
        <v>66</v>
      </c>
      <c r="K16" s="216"/>
      <c r="L16" s="216"/>
      <c r="M16" s="216"/>
      <c r="N16" s="216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5" t="s">
        <v>67</v>
      </c>
      <c r="AK16" s="246"/>
      <c r="AL16" s="246"/>
      <c r="AM16" s="246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3" t="s">
        <v>158</v>
      </c>
      <c r="C17" s="214"/>
      <c r="D17" s="214"/>
      <c r="E17" s="214"/>
      <c r="F17" s="214"/>
      <c r="G17" s="191">
        <f>G11*0.708</f>
        <v>127.44</v>
      </c>
      <c r="H17" s="190" t="s">
        <v>50</v>
      </c>
      <c r="I17" s="29"/>
      <c r="J17" s="213" t="s">
        <v>158</v>
      </c>
      <c r="K17" s="214"/>
      <c r="L17" s="214"/>
      <c r="M17" s="214"/>
      <c r="N17" s="214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42" t="s">
        <v>69</v>
      </c>
      <c r="C18" s="243"/>
      <c r="D18" s="243"/>
      <c r="E18" s="243"/>
      <c r="F18" s="243"/>
      <c r="G18" s="243"/>
      <c r="H18" s="244"/>
      <c r="I18" s="11"/>
      <c r="J18" s="242" t="s">
        <v>70</v>
      </c>
      <c r="K18" s="243"/>
      <c r="L18" s="243"/>
      <c r="M18" s="243"/>
      <c r="N18" s="243"/>
      <c r="O18" s="243"/>
      <c r="P18" s="244"/>
      <c r="Q18" s="11"/>
      <c r="R18" s="12"/>
      <c r="S18" s="242" t="s">
        <v>69</v>
      </c>
      <c r="T18" s="243"/>
      <c r="U18" s="243"/>
      <c r="V18" s="243"/>
      <c r="W18" s="243"/>
      <c r="X18" s="243"/>
      <c r="Y18" s="244"/>
      <c r="Z18" s="11"/>
      <c r="AA18" s="242" t="s">
        <v>70</v>
      </c>
      <c r="AB18" s="243"/>
      <c r="AC18" s="243"/>
      <c r="AD18" s="243"/>
      <c r="AE18" s="243"/>
      <c r="AF18" s="243"/>
      <c r="AG18" s="244"/>
      <c r="AH18" s="13"/>
      <c r="AI18" s="12"/>
      <c r="AJ18" s="254" t="s">
        <v>71</v>
      </c>
      <c r="AK18" s="255"/>
      <c r="AL18" s="255"/>
      <c r="AM18" s="255"/>
      <c r="AN18" s="255"/>
      <c r="AO18" s="255"/>
      <c r="AP18" s="255"/>
      <c r="AQ18" s="255"/>
      <c r="AR18" s="255"/>
      <c r="AS18" s="255"/>
      <c r="AT18" s="255"/>
      <c r="AU18" s="255"/>
      <c r="AV18" s="255"/>
      <c r="AW18" s="255"/>
      <c r="AX18" s="256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19" t="s">
        <v>46</v>
      </c>
      <c r="C19" s="220"/>
      <c r="D19" s="220"/>
      <c r="E19" s="220"/>
      <c r="F19" s="220"/>
      <c r="G19" s="30">
        <v>70</v>
      </c>
      <c r="H19" s="31" t="s">
        <v>47</v>
      </c>
      <c r="I19" s="29"/>
      <c r="J19" s="219" t="s">
        <v>46</v>
      </c>
      <c r="K19" s="220"/>
      <c r="L19" s="220"/>
      <c r="M19" s="220"/>
      <c r="N19" s="220"/>
      <c r="O19" s="30">
        <v>95</v>
      </c>
      <c r="P19" s="31" t="s">
        <v>47</v>
      </c>
      <c r="Q19" s="29"/>
      <c r="R19" s="32"/>
      <c r="S19" s="233" t="s">
        <v>46</v>
      </c>
      <c r="T19" s="234"/>
      <c r="U19" s="234"/>
      <c r="V19" s="234"/>
      <c r="W19" s="235"/>
      <c r="X19" s="30">
        <v>70</v>
      </c>
      <c r="Y19" s="31" t="s">
        <v>47</v>
      </c>
      <c r="Z19" s="29"/>
      <c r="AA19" s="233" t="s">
        <v>46</v>
      </c>
      <c r="AB19" s="234"/>
      <c r="AC19" s="234"/>
      <c r="AD19" s="234"/>
      <c r="AE19" s="235"/>
      <c r="AF19" s="30">
        <v>95</v>
      </c>
      <c r="AG19" s="31" t="s">
        <v>47</v>
      </c>
      <c r="AH19" s="33"/>
      <c r="AI19" s="32"/>
      <c r="AJ19" s="257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9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21" t="s">
        <v>49</v>
      </c>
      <c r="C20" s="222"/>
      <c r="D20" s="222"/>
      <c r="E20" s="222"/>
      <c r="F20" s="222"/>
      <c r="G20" s="34">
        <v>258</v>
      </c>
      <c r="H20" s="27" t="s">
        <v>50</v>
      </c>
      <c r="I20" s="29"/>
      <c r="J20" s="221" t="s">
        <v>49</v>
      </c>
      <c r="K20" s="222"/>
      <c r="L20" s="222"/>
      <c r="M20" s="222"/>
      <c r="N20" s="222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21" t="s">
        <v>55</v>
      </c>
      <c r="C21" s="222"/>
      <c r="D21" s="222"/>
      <c r="E21" s="222"/>
      <c r="F21" s="222"/>
      <c r="G21" s="38">
        <f>G20/1.2</f>
        <v>215</v>
      </c>
      <c r="H21" s="27" t="s">
        <v>50</v>
      </c>
      <c r="I21" s="29"/>
      <c r="J21" s="221" t="s">
        <v>55</v>
      </c>
      <c r="K21" s="222"/>
      <c r="L21" s="222"/>
      <c r="M21" s="222"/>
      <c r="N21" s="222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42" t="s">
        <v>72</v>
      </c>
      <c r="AK21" s="243"/>
      <c r="AL21" s="243"/>
      <c r="AM21" s="243"/>
      <c r="AN21" s="244"/>
      <c r="AO21" s="29"/>
      <c r="AP21" s="242" t="s">
        <v>73</v>
      </c>
      <c r="AQ21" s="243"/>
      <c r="AR21" s="243"/>
      <c r="AS21" s="243"/>
      <c r="AT21" s="244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17" t="s">
        <v>58</v>
      </c>
      <c r="C22" s="218"/>
      <c r="D22" s="218"/>
      <c r="E22" s="218"/>
      <c r="F22" s="218"/>
      <c r="G22" s="41">
        <f>G20*0.87</f>
        <v>224.46</v>
      </c>
      <c r="H22" s="42" t="s">
        <v>50</v>
      </c>
      <c r="I22" s="29"/>
      <c r="J22" s="217" t="s">
        <v>58</v>
      </c>
      <c r="K22" s="218"/>
      <c r="L22" s="218"/>
      <c r="M22" s="218"/>
      <c r="N22" s="218"/>
      <c r="O22" s="41">
        <f>O20*0.87</f>
        <v>266.21999999999997</v>
      </c>
      <c r="P22" s="42" t="s">
        <v>50</v>
      </c>
      <c r="Q22" s="43"/>
      <c r="R22" s="44"/>
      <c r="S22" s="230" t="s">
        <v>59</v>
      </c>
      <c r="T22" s="231"/>
      <c r="U22" s="231"/>
      <c r="V22" s="231"/>
      <c r="W22" s="232"/>
      <c r="X22" s="45">
        <v>0.14099999999999999</v>
      </c>
      <c r="Y22" s="46" t="s">
        <v>52</v>
      </c>
      <c r="Z22" s="29"/>
      <c r="AA22" s="230" t="s">
        <v>59</v>
      </c>
      <c r="AB22" s="231"/>
      <c r="AC22" s="231"/>
      <c r="AD22" s="231"/>
      <c r="AE22" s="232"/>
      <c r="AF22" s="45">
        <v>0.13500000000000001</v>
      </c>
      <c r="AG22" s="46" t="s">
        <v>52</v>
      </c>
      <c r="AH22" s="47"/>
      <c r="AI22" s="44"/>
      <c r="AJ22" s="251" t="s">
        <v>39</v>
      </c>
      <c r="AK22" s="252"/>
      <c r="AL22" s="252"/>
      <c r="AM22" s="252"/>
      <c r="AN22" s="253"/>
      <c r="AO22" s="43"/>
      <c r="AP22" s="251" t="s">
        <v>39</v>
      </c>
      <c r="AQ22" s="252"/>
      <c r="AR22" s="252"/>
      <c r="AS22" s="252"/>
      <c r="AT22" s="253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17" t="s">
        <v>62</v>
      </c>
      <c r="C23" s="218"/>
      <c r="D23" s="218"/>
      <c r="E23" s="218"/>
      <c r="F23" s="218"/>
      <c r="G23" s="41">
        <f>G22/1.2</f>
        <v>187.05</v>
      </c>
      <c r="H23" s="42" t="s">
        <v>50</v>
      </c>
      <c r="I23" s="29"/>
      <c r="J23" s="217" t="s">
        <v>62</v>
      </c>
      <c r="K23" s="218"/>
      <c r="L23" s="218"/>
      <c r="M23" s="218"/>
      <c r="N23" s="218"/>
      <c r="O23" s="41">
        <f>O22/1.2</f>
        <v>221.85</v>
      </c>
      <c r="P23" s="42" t="s">
        <v>50</v>
      </c>
      <c r="Q23" s="43"/>
      <c r="R23" s="44"/>
      <c r="S23" s="227"/>
      <c r="T23" s="227"/>
      <c r="U23" s="227"/>
      <c r="V23" s="227"/>
      <c r="W23" s="227"/>
      <c r="X23" s="48"/>
      <c r="Y23" s="29"/>
      <c r="Z23" s="29"/>
      <c r="AA23" s="227"/>
      <c r="AB23" s="227"/>
      <c r="AC23" s="227"/>
      <c r="AD23" s="227"/>
      <c r="AE23" s="227"/>
      <c r="AF23" s="48"/>
      <c r="AG23" s="29"/>
      <c r="AH23" s="47"/>
      <c r="AI23" s="44"/>
      <c r="AJ23" s="221" t="s">
        <v>41</v>
      </c>
      <c r="AK23" s="222"/>
      <c r="AL23" s="222"/>
      <c r="AM23" s="26">
        <v>1119</v>
      </c>
      <c r="AN23" s="60" t="s">
        <v>48</v>
      </c>
      <c r="AO23" s="43"/>
      <c r="AP23" s="221" t="s">
        <v>41</v>
      </c>
      <c r="AQ23" s="222"/>
      <c r="AR23" s="222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28" t="s">
        <v>64</v>
      </c>
      <c r="C24" s="229"/>
      <c r="D24" s="229"/>
      <c r="E24" s="229"/>
      <c r="F24" s="229"/>
      <c r="G24" s="51">
        <f>G20*0.76</f>
        <v>196.08</v>
      </c>
      <c r="H24" s="52" t="s">
        <v>50</v>
      </c>
      <c r="I24" s="29"/>
      <c r="J24" s="228" t="s">
        <v>64</v>
      </c>
      <c r="K24" s="229"/>
      <c r="L24" s="229"/>
      <c r="M24" s="229"/>
      <c r="N24" s="229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21" t="s">
        <v>5</v>
      </c>
      <c r="AK24" s="222"/>
      <c r="AL24" s="222"/>
      <c r="AM24" s="26">
        <v>6600</v>
      </c>
      <c r="AN24" s="60" t="s">
        <v>45</v>
      </c>
      <c r="AO24" s="53"/>
      <c r="AP24" s="221" t="s">
        <v>5</v>
      </c>
      <c r="AQ24" s="222"/>
      <c r="AR24" s="222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5" t="s">
        <v>66</v>
      </c>
      <c r="C25" s="216"/>
      <c r="D25" s="216"/>
      <c r="E25" s="216"/>
      <c r="F25" s="216"/>
      <c r="G25" s="56">
        <f>G24/1.2</f>
        <v>163.4</v>
      </c>
      <c r="H25" s="57" t="s">
        <v>50</v>
      </c>
      <c r="I25" s="29"/>
      <c r="J25" s="215" t="s">
        <v>66</v>
      </c>
      <c r="K25" s="216"/>
      <c r="L25" s="216"/>
      <c r="M25" s="216"/>
      <c r="N25" s="216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21" t="s">
        <v>74</v>
      </c>
      <c r="AK25" s="222"/>
      <c r="AL25" s="222"/>
      <c r="AM25" s="61">
        <v>86</v>
      </c>
      <c r="AN25" s="60" t="s">
        <v>54</v>
      </c>
      <c r="AO25" s="53"/>
      <c r="AP25" s="221" t="s">
        <v>74</v>
      </c>
      <c r="AQ25" s="222"/>
      <c r="AR25" s="222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3" t="s">
        <v>158</v>
      </c>
      <c r="C26" s="214"/>
      <c r="D26" s="214"/>
      <c r="E26" s="214"/>
      <c r="F26" s="214"/>
      <c r="G26" s="191">
        <f>G20*0.708</f>
        <v>182.66399999999999</v>
      </c>
      <c r="H26" s="190" t="s">
        <v>50</v>
      </c>
      <c r="I26" s="29"/>
      <c r="J26" s="213" t="s">
        <v>158</v>
      </c>
      <c r="K26" s="214"/>
      <c r="L26" s="214"/>
      <c r="M26" s="214"/>
      <c r="N26" s="214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47" t="s">
        <v>75</v>
      </c>
      <c r="AK26" s="248"/>
      <c r="AL26" s="249"/>
      <c r="AM26" s="61">
        <f>71/AM25*100</f>
        <v>82.558139534883722</v>
      </c>
      <c r="AN26" s="60" t="s">
        <v>54</v>
      </c>
      <c r="AO26" s="29"/>
      <c r="AP26" s="247" t="s">
        <v>75</v>
      </c>
      <c r="AQ26" s="248"/>
      <c r="AR26" s="249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42" t="s">
        <v>76</v>
      </c>
      <c r="C27" s="243"/>
      <c r="D27" s="243"/>
      <c r="E27" s="243"/>
      <c r="F27" s="243"/>
      <c r="G27" s="243"/>
      <c r="H27" s="244"/>
      <c r="I27" s="11"/>
      <c r="J27" s="242" t="s">
        <v>77</v>
      </c>
      <c r="K27" s="243"/>
      <c r="L27" s="243"/>
      <c r="M27" s="243"/>
      <c r="N27" s="243"/>
      <c r="O27" s="243"/>
      <c r="P27" s="244"/>
      <c r="Q27" s="11"/>
      <c r="R27" s="12"/>
      <c r="S27" s="242" t="s">
        <v>76</v>
      </c>
      <c r="T27" s="243"/>
      <c r="U27" s="243"/>
      <c r="V27" s="243"/>
      <c r="W27" s="243"/>
      <c r="X27" s="243"/>
      <c r="Y27" s="244"/>
      <c r="Z27" s="11"/>
      <c r="AA27" s="242" t="s">
        <v>77</v>
      </c>
      <c r="AB27" s="243"/>
      <c r="AC27" s="243"/>
      <c r="AD27" s="243"/>
      <c r="AE27" s="243"/>
      <c r="AF27" s="243"/>
      <c r="AG27" s="244"/>
      <c r="AH27" s="13"/>
      <c r="AI27" s="12"/>
      <c r="AJ27" s="221" t="s">
        <v>60</v>
      </c>
      <c r="AK27" s="222"/>
      <c r="AL27" s="222"/>
      <c r="AM27" s="26">
        <f>AM23/AM25/AM26*10000</f>
        <v>1576.056338028169</v>
      </c>
      <c r="AN27" s="60" t="s">
        <v>61</v>
      </c>
      <c r="AO27" s="11"/>
      <c r="AP27" s="221" t="s">
        <v>60</v>
      </c>
      <c r="AQ27" s="222"/>
      <c r="AR27" s="222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19" t="s">
        <v>46</v>
      </c>
      <c r="C28" s="220"/>
      <c r="D28" s="220"/>
      <c r="E28" s="220"/>
      <c r="F28" s="220"/>
      <c r="G28" s="30">
        <v>120</v>
      </c>
      <c r="H28" s="31" t="s">
        <v>47</v>
      </c>
      <c r="I28" s="29"/>
      <c r="J28" s="219" t="s">
        <v>46</v>
      </c>
      <c r="K28" s="220"/>
      <c r="L28" s="220"/>
      <c r="M28" s="220"/>
      <c r="N28" s="220"/>
      <c r="O28" s="30">
        <v>150</v>
      </c>
      <c r="P28" s="31" t="s">
        <v>47</v>
      </c>
      <c r="Q28" s="29"/>
      <c r="R28" s="32"/>
      <c r="S28" s="233" t="s">
        <v>46</v>
      </c>
      <c r="T28" s="234"/>
      <c r="U28" s="234"/>
      <c r="V28" s="234"/>
      <c r="W28" s="235"/>
      <c r="X28" s="30">
        <v>120</v>
      </c>
      <c r="Y28" s="31" t="s">
        <v>47</v>
      </c>
      <c r="Z28" s="29"/>
      <c r="AA28" s="233" t="s">
        <v>46</v>
      </c>
      <c r="AB28" s="234"/>
      <c r="AC28" s="234"/>
      <c r="AD28" s="234"/>
      <c r="AE28" s="235"/>
      <c r="AF28" s="30">
        <v>150</v>
      </c>
      <c r="AG28" s="31" t="s">
        <v>47</v>
      </c>
      <c r="AH28" s="33"/>
      <c r="AI28" s="32"/>
      <c r="AJ28" s="221" t="s">
        <v>19</v>
      </c>
      <c r="AK28" s="222"/>
      <c r="AL28" s="222"/>
      <c r="AM28" s="62">
        <f>AM27/SQRT(3)/AM24*1000</f>
        <v>137.86917439675443</v>
      </c>
      <c r="AN28" s="60" t="s">
        <v>50</v>
      </c>
      <c r="AO28" s="29"/>
      <c r="AP28" s="221" t="s">
        <v>19</v>
      </c>
      <c r="AQ28" s="222"/>
      <c r="AR28" s="222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21" t="s">
        <v>49</v>
      </c>
      <c r="C29" s="222"/>
      <c r="D29" s="222"/>
      <c r="E29" s="222"/>
      <c r="F29" s="222"/>
      <c r="G29" s="34">
        <v>346</v>
      </c>
      <c r="H29" s="27" t="s">
        <v>50</v>
      </c>
      <c r="I29" s="29"/>
      <c r="J29" s="221" t="s">
        <v>49</v>
      </c>
      <c r="K29" s="222"/>
      <c r="L29" s="222"/>
      <c r="M29" s="222"/>
      <c r="N29" s="222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21" t="s">
        <v>65</v>
      </c>
      <c r="AK29" s="222"/>
      <c r="AL29" s="222"/>
      <c r="AM29" s="64">
        <f>AM23/AM26*100</f>
        <v>1355.4084507042253</v>
      </c>
      <c r="AN29" s="60" t="s">
        <v>48</v>
      </c>
      <c r="AO29" s="29"/>
      <c r="AP29" s="221" t="s">
        <v>65</v>
      </c>
      <c r="AQ29" s="222"/>
      <c r="AR29" s="222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21" t="s">
        <v>55</v>
      </c>
      <c r="C30" s="222"/>
      <c r="D30" s="222"/>
      <c r="E30" s="222"/>
      <c r="F30" s="222"/>
      <c r="G30" s="38">
        <f>G29/1.2</f>
        <v>288.33333333333337</v>
      </c>
      <c r="H30" s="27" t="s">
        <v>50</v>
      </c>
      <c r="I30" s="29"/>
      <c r="J30" s="221" t="s">
        <v>55</v>
      </c>
      <c r="K30" s="222"/>
      <c r="L30" s="222"/>
      <c r="M30" s="222"/>
      <c r="N30" s="222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5" t="s">
        <v>67</v>
      </c>
      <c r="AK30" s="246"/>
      <c r="AL30" s="246"/>
      <c r="AM30" s="65">
        <f>SQRT(AM27^2-AM29^2)</f>
        <v>804.25214478938983</v>
      </c>
      <c r="AN30" s="66" t="s">
        <v>68</v>
      </c>
      <c r="AO30" s="29"/>
      <c r="AP30" s="245" t="s">
        <v>67</v>
      </c>
      <c r="AQ30" s="246"/>
      <c r="AR30" s="246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17" t="s">
        <v>58</v>
      </c>
      <c r="C31" s="218"/>
      <c r="D31" s="218"/>
      <c r="E31" s="218"/>
      <c r="F31" s="218"/>
      <c r="G31" s="41">
        <f>G29*0.87</f>
        <v>301.02</v>
      </c>
      <c r="H31" s="42" t="s">
        <v>50</v>
      </c>
      <c r="I31" s="29"/>
      <c r="J31" s="217" t="s">
        <v>58</v>
      </c>
      <c r="K31" s="218"/>
      <c r="L31" s="218"/>
      <c r="M31" s="218"/>
      <c r="N31" s="218"/>
      <c r="O31" s="41">
        <f>O29*0.87</f>
        <v>334.08</v>
      </c>
      <c r="P31" s="42" t="s">
        <v>50</v>
      </c>
      <c r="Q31" s="43"/>
      <c r="R31" s="44"/>
      <c r="S31" s="230" t="s">
        <v>59</v>
      </c>
      <c r="T31" s="231"/>
      <c r="U31" s="231"/>
      <c r="V31" s="231"/>
      <c r="W31" s="232"/>
      <c r="X31" s="45">
        <v>0.13</v>
      </c>
      <c r="Y31" s="46" t="s">
        <v>52</v>
      </c>
      <c r="Z31" s="29"/>
      <c r="AA31" s="230" t="s">
        <v>59</v>
      </c>
      <c r="AB31" s="231"/>
      <c r="AC31" s="231"/>
      <c r="AD31" s="231"/>
      <c r="AE31" s="232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17" t="s">
        <v>62</v>
      </c>
      <c r="C32" s="218"/>
      <c r="D32" s="218"/>
      <c r="E32" s="218"/>
      <c r="F32" s="218"/>
      <c r="G32" s="41">
        <f>G31/1.2</f>
        <v>250.85</v>
      </c>
      <c r="H32" s="42" t="s">
        <v>50</v>
      </c>
      <c r="I32" s="29"/>
      <c r="J32" s="217" t="s">
        <v>62</v>
      </c>
      <c r="K32" s="218"/>
      <c r="L32" s="218"/>
      <c r="M32" s="218"/>
      <c r="N32" s="218"/>
      <c r="O32" s="41">
        <f>O31/1.2</f>
        <v>278.39999999999998</v>
      </c>
      <c r="P32" s="42" t="s">
        <v>50</v>
      </c>
      <c r="Q32" s="43"/>
      <c r="R32" s="44"/>
      <c r="S32" s="227"/>
      <c r="T32" s="227"/>
      <c r="U32" s="227"/>
      <c r="V32" s="227"/>
      <c r="W32" s="227"/>
      <c r="X32" s="48"/>
      <c r="Y32" s="29"/>
      <c r="Z32" s="29"/>
      <c r="AA32" s="227"/>
      <c r="AB32" s="227"/>
      <c r="AC32" s="227"/>
      <c r="AD32" s="227"/>
      <c r="AE32" s="227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42" t="s">
        <v>78</v>
      </c>
      <c r="AQ32" s="243"/>
      <c r="AR32" s="243"/>
      <c r="AS32" s="243"/>
      <c r="AT32" s="244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28" t="s">
        <v>64</v>
      </c>
      <c r="C33" s="229"/>
      <c r="D33" s="229"/>
      <c r="E33" s="229"/>
      <c r="F33" s="229"/>
      <c r="G33" s="51">
        <f>G29*0.76</f>
        <v>262.95999999999998</v>
      </c>
      <c r="H33" s="52" t="s">
        <v>50</v>
      </c>
      <c r="I33" s="29"/>
      <c r="J33" s="228" t="s">
        <v>64</v>
      </c>
      <c r="K33" s="229"/>
      <c r="L33" s="229"/>
      <c r="M33" s="229"/>
      <c r="N33" s="229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50"/>
      <c r="AN33" s="250"/>
      <c r="AO33" s="53"/>
      <c r="AP33" s="251" t="s">
        <v>39</v>
      </c>
      <c r="AQ33" s="252"/>
      <c r="AR33" s="252"/>
      <c r="AS33" s="252"/>
      <c r="AT33" s="253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5" t="s">
        <v>66</v>
      </c>
      <c r="C34" s="216"/>
      <c r="D34" s="216"/>
      <c r="E34" s="216"/>
      <c r="F34" s="216"/>
      <c r="G34" s="56">
        <f>G33/1.2</f>
        <v>219.13333333333333</v>
      </c>
      <c r="H34" s="57" t="s">
        <v>50</v>
      </c>
      <c r="I34" s="29"/>
      <c r="J34" s="215" t="s">
        <v>66</v>
      </c>
      <c r="K34" s="216"/>
      <c r="L34" s="216"/>
      <c r="M34" s="216"/>
      <c r="N34" s="216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21" t="s">
        <v>41</v>
      </c>
      <c r="AQ34" s="222"/>
      <c r="AR34" s="222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3" t="s">
        <v>158</v>
      </c>
      <c r="C35" s="214"/>
      <c r="D35" s="214"/>
      <c r="E35" s="214"/>
      <c r="F35" s="214"/>
      <c r="G35" s="191">
        <f>G29*0.708</f>
        <v>244.96799999999999</v>
      </c>
      <c r="H35" s="190" t="s">
        <v>50</v>
      </c>
      <c r="I35" s="29"/>
      <c r="J35" s="213" t="s">
        <v>158</v>
      </c>
      <c r="K35" s="214"/>
      <c r="L35" s="214"/>
      <c r="M35" s="214"/>
      <c r="N35" s="214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21" t="s">
        <v>5</v>
      </c>
      <c r="AQ35" s="222"/>
      <c r="AR35" s="222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42" t="s">
        <v>79</v>
      </c>
      <c r="C36" s="243"/>
      <c r="D36" s="243"/>
      <c r="E36" s="243"/>
      <c r="F36" s="243"/>
      <c r="G36" s="243"/>
      <c r="H36" s="244"/>
      <c r="I36" s="11"/>
      <c r="J36" s="242" t="s">
        <v>80</v>
      </c>
      <c r="K36" s="243"/>
      <c r="L36" s="243"/>
      <c r="M36" s="243"/>
      <c r="N36" s="243"/>
      <c r="O36" s="243"/>
      <c r="P36" s="244"/>
      <c r="Q36" s="11"/>
      <c r="R36" s="12"/>
      <c r="S36" s="242" t="s">
        <v>79</v>
      </c>
      <c r="T36" s="243"/>
      <c r="U36" s="243"/>
      <c r="V36" s="243"/>
      <c r="W36" s="243"/>
      <c r="X36" s="243"/>
      <c r="Y36" s="244"/>
      <c r="Z36" s="11"/>
      <c r="AA36" s="242" t="s">
        <v>80</v>
      </c>
      <c r="AB36" s="243"/>
      <c r="AC36" s="243"/>
      <c r="AD36" s="243"/>
      <c r="AE36" s="243"/>
      <c r="AF36" s="243"/>
      <c r="AG36" s="244"/>
      <c r="AH36" s="13"/>
      <c r="AI36" s="12"/>
      <c r="AJ36" s="29"/>
      <c r="AK36" s="29"/>
      <c r="AL36" s="29"/>
      <c r="AM36" s="29"/>
      <c r="AN36" s="29"/>
      <c r="AO36" s="11"/>
      <c r="AP36" s="221" t="s">
        <v>74</v>
      </c>
      <c r="AQ36" s="222"/>
      <c r="AR36" s="222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19" t="s">
        <v>46</v>
      </c>
      <c r="C37" s="220"/>
      <c r="D37" s="220"/>
      <c r="E37" s="220"/>
      <c r="F37" s="220"/>
      <c r="G37" s="30">
        <v>185</v>
      </c>
      <c r="H37" s="31" t="s">
        <v>47</v>
      </c>
      <c r="I37" s="29"/>
      <c r="J37" s="219" t="s">
        <v>46</v>
      </c>
      <c r="K37" s="220"/>
      <c r="L37" s="220"/>
      <c r="M37" s="220"/>
      <c r="N37" s="220"/>
      <c r="O37" s="30">
        <v>240</v>
      </c>
      <c r="P37" s="31" t="s">
        <v>47</v>
      </c>
      <c r="Q37" s="29"/>
      <c r="R37" s="32"/>
      <c r="S37" s="233" t="s">
        <v>46</v>
      </c>
      <c r="T37" s="234"/>
      <c r="U37" s="234"/>
      <c r="V37" s="234"/>
      <c r="W37" s="235"/>
      <c r="X37" s="30">
        <v>185</v>
      </c>
      <c r="Y37" s="31" t="s">
        <v>47</v>
      </c>
      <c r="Z37" s="29"/>
      <c r="AA37" s="233" t="s">
        <v>46</v>
      </c>
      <c r="AB37" s="234"/>
      <c r="AC37" s="234"/>
      <c r="AD37" s="234"/>
      <c r="AE37" s="235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47" t="s">
        <v>75</v>
      </c>
      <c r="AQ37" s="248"/>
      <c r="AR37" s="249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21" t="s">
        <v>49</v>
      </c>
      <c r="C38" s="222"/>
      <c r="D38" s="222"/>
      <c r="E38" s="222"/>
      <c r="F38" s="222"/>
      <c r="G38" s="34">
        <v>429</v>
      </c>
      <c r="H38" s="27" t="s">
        <v>50</v>
      </c>
      <c r="I38" s="29"/>
      <c r="J38" s="221" t="s">
        <v>49</v>
      </c>
      <c r="K38" s="222"/>
      <c r="L38" s="222"/>
      <c r="M38" s="222"/>
      <c r="N38" s="222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21" t="s">
        <v>60</v>
      </c>
      <c r="AQ38" s="222"/>
      <c r="AR38" s="222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21" t="s">
        <v>55</v>
      </c>
      <c r="C39" s="222"/>
      <c r="D39" s="222"/>
      <c r="E39" s="222"/>
      <c r="F39" s="222"/>
      <c r="G39" s="38">
        <f>G38/1.2</f>
        <v>357.5</v>
      </c>
      <c r="H39" s="27" t="s">
        <v>50</v>
      </c>
      <c r="I39" s="29"/>
      <c r="J39" s="221" t="s">
        <v>55</v>
      </c>
      <c r="K39" s="222"/>
      <c r="L39" s="222"/>
      <c r="M39" s="222"/>
      <c r="N39" s="222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21" t="s">
        <v>19</v>
      </c>
      <c r="AQ39" s="222"/>
      <c r="AR39" s="222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17" t="s">
        <v>58</v>
      </c>
      <c r="C40" s="218"/>
      <c r="D40" s="218"/>
      <c r="E40" s="218"/>
      <c r="F40" s="218"/>
      <c r="G40" s="41">
        <f>G38*0.87</f>
        <v>373.23</v>
      </c>
      <c r="H40" s="42" t="s">
        <v>50</v>
      </c>
      <c r="I40" s="29"/>
      <c r="J40" s="217" t="s">
        <v>58</v>
      </c>
      <c r="K40" s="218"/>
      <c r="L40" s="218"/>
      <c r="M40" s="218"/>
      <c r="N40" s="218"/>
      <c r="O40" s="41">
        <f>O38*0.87</f>
        <v>435</v>
      </c>
      <c r="P40" s="42" t="s">
        <v>50</v>
      </c>
      <c r="Q40" s="43"/>
      <c r="R40" s="44"/>
      <c r="S40" s="230" t="s">
        <v>59</v>
      </c>
      <c r="T40" s="231"/>
      <c r="U40" s="231"/>
      <c r="V40" s="231"/>
      <c r="W40" s="232"/>
      <c r="X40" s="45">
        <v>0.122</v>
      </c>
      <c r="Y40" s="46" t="s">
        <v>52</v>
      </c>
      <c r="Z40" s="29"/>
      <c r="AA40" s="230" t="s">
        <v>59</v>
      </c>
      <c r="AB40" s="231"/>
      <c r="AC40" s="231"/>
      <c r="AD40" s="231"/>
      <c r="AE40" s="232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21" t="s">
        <v>65</v>
      </c>
      <c r="AQ40" s="222"/>
      <c r="AR40" s="222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17" t="s">
        <v>62</v>
      </c>
      <c r="C41" s="218"/>
      <c r="D41" s="218"/>
      <c r="E41" s="218"/>
      <c r="F41" s="218"/>
      <c r="G41" s="41">
        <f>G40/1.2</f>
        <v>311.02500000000003</v>
      </c>
      <c r="H41" s="42" t="s">
        <v>50</v>
      </c>
      <c r="I41" s="29"/>
      <c r="J41" s="217" t="s">
        <v>62</v>
      </c>
      <c r="K41" s="218"/>
      <c r="L41" s="218"/>
      <c r="M41" s="218"/>
      <c r="N41" s="218"/>
      <c r="O41" s="41">
        <f>O40/1.2</f>
        <v>362.5</v>
      </c>
      <c r="P41" s="42" t="s">
        <v>50</v>
      </c>
      <c r="Q41" s="43"/>
      <c r="R41" s="44"/>
      <c r="S41" s="227"/>
      <c r="T41" s="227"/>
      <c r="U41" s="227"/>
      <c r="V41" s="227"/>
      <c r="W41" s="227"/>
      <c r="X41" s="48"/>
      <c r="Y41" s="29"/>
      <c r="Z41" s="29"/>
      <c r="AA41" s="227"/>
      <c r="AB41" s="227"/>
      <c r="AC41" s="227"/>
      <c r="AD41" s="227"/>
      <c r="AE41" s="227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5" t="s">
        <v>67</v>
      </c>
      <c r="AQ41" s="246"/>
      <c r="AR41" s="246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28" t="s">
        <v>64</v>
      </c>
      <c r="C42" s="229"/>
      <c r="D42" s="229"/>
      <c r="E42" s="229"/>
      <c r="F42" s="229"/>
      <c r="G42" s="51">
        <f>G38*0.76</f>
        <v>326.04000000000002</v>
      </c>
      <c r="H42" s="52" t="s">
        <v>50</v>
      </c>
      <c r="I42" s="29"/>
      <c r="J42" s="228" t="s">
        <v>64</v>
      </c>
      <c r="K42" s="229"/>
      <c r="L42" s="229"/>
      <c r="M42" s="229"/>
      <c r="N42" s="229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5" t="s">
        <v>66</v>
      </c>
      <c r="C43" s="216"/>
      <c r="D43" s="216"/>
      <c r="E43" s="216"/>
      <c r="F43" s="216"/>
      <c r="G43" s="56">
        <f>G42/1.2</f>
        <v>271.70000000000005</v>
      </c>
      <c r="H43" s="57" t="s">
        <v>50</v>
      </c>
      <c r="I43" s="29"/>
      <c r="J43" s="215" t="s">
        <v>66</v>
      </c>
      <c r="K43" s="216"/>
      <c r="L43" s="216"/>
      <c r="M43" s="216"/>
      <c r="N43" s="216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6" t="s">
        <v>81</v>
      </c>
      <c r="AK43" s="237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8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3" t="s">
        <v>158</v>
      </c>
      <c r="C44" s="214"/>
      <c r="D44" s="214"/>
      <c r="E44" s="214"/>
      <c r="F44" s="214"/>
      <c r="G44" s="191">
        <f>G38*0.708</f>
        <v>303.73199999999997</v>
      </c>
      <c r="H44" s="190" t="s">
        <v>50</v>
      </c>
      <c r="I44" s="29"/>
      <c r="J44" s="213" t="s">
        <v>158</v>
      </c>
      <c r="K44" s="214"/>
      <c r="L44" s="214"/>
      <c r="M44" s="214"/>
      <c r="N44" s="214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39"/>
      <c r="AK44" s="240"/>
      <c r="AL44" s="240"/>
      <c r="AM44" s="240"/>
      <c r="AN44" s="240"/>
      <c r="AO44" s="240"/>
      <c r="AP44" s="240"/>
      <c r="AQ44" s="240"/>
      <c r="AR44" s="240"/>
      <c r="AS44" s="240"/>
      <c r="AT44" s="240"/>
      <c r="AU44" s="240"/>
      <c r="AV44" s="240"/>
      <c r="AW44" s="240"/>
      <c r="AX44" s="241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42" t="s">
        <v>82</v>
      </c>
      <c r="C45" s="243"/>
      <c r="D45" s="243"/>
      <c r="E45" s="243"/>
      <c r="F45" s="243"/>
      <c r="G45" s="243"/>
      <c r="H45" s="244"/>
      <c r="I45" s="11"/>
      <c r="J45" s="242" t="s">
        <v>83</v>
      </c>
      <c r="K45" s="243"/>
      <c r="L45" s="243"/>
      <c r="M45" s="243"/>
      <c r="N45" s="243"/>
      <c r="O45" s="243"/>
      <c r="P45" s="244"/>
      <c r="Q45" s="11"/>
      <c r="R45" s="12"/>
      <c r="S45" s="242" t="s">
        <v>82</v>
      </c>
      <c r="T45" s="243"/>
      <c r="U45" s="243"/>
      <c r="V45" s="243"/>
      <c r="W45" s="243"/>
      <c r="X45" s="243"/>
      <c r="Y45" s="244"/>
      <c r="Z45" s="11"/>
      <c r="AA45" s="242" t="s">
        <v>83</v>
      </c>
      <c r="AB45" s="243"/>
      <c r="AC45" s="243"/>
      <c r="AD45" s="243"/>
      <c r="AE45" s="243"/>
      <c r="AF45" s="243"/>
      <c r="AG45" s="244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19" t="s">
        <v>46</v>
      </c>
      <c r="C46" s="220"/>
      <c r="D46" s="220"/>
      <c r="E46" s="220"/>
      <c r="F46" s="220"/>
      <c r="G46" s="30">
        <v>300</v>
      </c>
      <c r="H46" s="31" t="s">
        <v>47</v>
      </c>
      <c r="I46" s="29"/>
      <c r="J46" s="219" t="s">
        <v>46</v>
      </c>
      <c r="K46" s="220"/>
      <c r="L46" s="220"/>
      <c r="M46" s="220"/>
      <c r="N46" s="220"/>
      <c r="O46" s="30">
        <v>400</v>
      </c>
      <c r="P46" s="31" t="s">
        <v>47</v>
      </c>
      <c r="Q46" s="29"/>
      <c r="R46" s="32"/>
      <c r="S46" s="233" t="s">
        <v>46</v>
      </c>
      <c r="T46" s="234"/>
      <c r="U46" s="234"/>
      <c r="V46" s="234"/>
      <c r="W46" s="235"/>
      <c r="X46" s="30">
        <v>300</v>
      </c>
      <c r="Y46" s="31" t="s">
        <v>47</v>
      </c>
      <c r="Z46" s="29"/>
      <c r="AA46" s="233" t="s">
        <v>46</v>
      </c>
      <c r="AB46" s="234"/>
      <c r="AC46" s="234"/>
      <c r="AD46" s="234"/>
      <c r="AE46" s="235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21" t="s">
        <v>49</v>
      </c>
      <c r="C47" s="222"/>
      <c r="D47" s="222"/>
      <c r="E47" s="222"/>
      <c r="F47" s="222"/>
      <c r="G47" s="34">
        <v>545</v>
      </c>
      <c r="H47" s="27" t="s">
        <v>50</v>
      </c>
      <c r="I47" s="29"/>
      <c r="J47" s="221" t="s">
        <v>49</v>
      </c>
      <c r="K47" s="222"/>
      <c r="L47" s="222"/>
      <c r="M47" s="222"/>
      <c r="N47" s="222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21" t="s">
        <v>55</v>
      </c>
      <c r="C48" s="222"/>
      <c r="D48" s="222"/>
      <c r="E48" s="222"/>
      <c r="F48" s="222"/>
      <c r="G48" s="38">
        <f>G47/1.2</f>
        <v>454.16666666666669</v>
      </c>
      <c r="H48" s="27" t="s">
        <v>50</v>
      </c>
      <c r="I48" s="29"/>
      <c r="J48" s="221" t="s">
        <v>55</v>
      </c>
      <c r="K48" s="222"/>
      <c r="L48" s="222"/>
      <c r="M48" s="222"/>
      <c r="N48" s="222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17" t="s">
        <v>58</v>
      </c>
      <c r="C49" s="218"/>
      <c r="D49" s="218"/>
      <c r="E49" s="218"/>
      <c r="F49" s="218"/>
      <c r="G49" s="41">
        <f>G47*0.87</f>
        <v>474.15</v>
      </c>
      <c r="H49" s="42" t="s">
        <v>50</v>
      </c>
      <c r="I49" s="29"/>
      <c r="J49" s="217" t="s">
        <v>58</v>
      </c>
      <c r="K49" s="218"/>
      <c r="L49" s="218"/>
      <c r="M49" s="218"/>
      <c r="N49" s="218"/>
      <c r="O49" s="41">
        <f>O47*0.87</f>
        <v>522</v>
      </c>
      <c r="P49" s="42" t="s">
        <v>50</v>
      </c>
      <c r="Q49" s="43"/>
      <c r="R49" s="44"/>
      <c r="S49" s="230" t="s">
        <v>59</v>
      </c>
      <c r="T49" s="231"/>
      <c r="U49" s="231"/>
      <c r="V49" s="231"/>
      <c r="W49" s="232"/>
      <c r="X49" s="45">
        <v>0.11700000000000001</v>
      </c>
      <c r="Y49" s="46" t="s">
        <v>52</v>
      </c>
      <c r="Z49" s="29"/>
      <c r="AA49" s="230" t="s">
        <v>59</v>
      </c>
      <c r="AB49" s="231"/>
      <c r="AC49" s="231"/>
      <c r="AD49" s="231"/>
      <c r="AE49" s="232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17" t="s">
        <v>62</v>
      </c>
      <c r="C50" s="218"/>
      <c r="D50" s="218"/>
      <c r="E50" s="218"/>
      <c r="F50" s="218"/>
      <c r="G50" s="41">
        <f>G49/1.2</f>
        <v>395.125</v>
      </c>
      <c r="H50" s="42" t="s">
        <v>50</v>
      </c>
      <c r="I50" s="29"/>
      <c r="J50" s="217" t="s">
        <v>62</v>
      </c>
      <c r="K50" s="218"/>
      <c r="L50" s="218"/>
      <c r="M50" s="218"/>
      <c r="N50" s="218"/>
      <c r="O50" s="41">
        <f>O49/1.2</f>
        <v>435</v>
      </c>
      <c r="P50" s="42" t="s">
        <v>50</v>
      </c>
      <c r="Q50" s="43"/>
      <c r="R50" s="44"/>
      <c r="S50" s="227"/>
      <c r="T50" s="227"/>
      <c r="U50" s="227"/>
      <c r="V50" s="227"/>
      <c r="W50" s="227"/>
      <c r="X50" s="48"/>
      <c r="Y50" s="29"/>
      <c r="Z50" s="29"/>
      <c r="AA50" s="227"/>
      <c r="AB50" s="227"/>
      <c r="AC50" s="227"/>
      <c r="AD50" s="227"/>
      <c r="AE50" s="227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28" t="s">
        <v>64</v>
      </c>
      <c r="C51" s="229"/>
      <c r="D51" s="229"/>
      <c r="E51" s="229"/>
      <c r="F51" s="229"/>
      <c r="G51" s="51">
        <f>G47*0.76</f>
        <v>414.2</v>
      </c>
      <c r="H51" s="52" t="s">
        <v>50</v>
      </c>
      <c r="I51" s="29"/>
      <c r="J51" s="228" t="s">
        <v>64</v>
      </c>
      <c r="K51" s="229"/>
      <c r="L51" s="229"/>
      <c r="M51" s="229"/>
      <c r="N51" s="229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5" t="s">
        <v>66</v>
      </c>
      <c r="C52" s="216"/>
      <c r="D52" s="216"/>
      <c r="E52" s="216"/>
      <c r="F52" s="216"/>
      <c r="G52" s="56">
        <f>G51/1.2</f>
        <v>345.16666666666669</v>
      </c>
      <c r="H52" s="57" t="s">
        <v>50</v>
      </c>
      <c r="I52" s="69"/>
      <c r="J52" s="215" t="s">
        <v>66</v>
      </c>
      <c r="K52" s="216"/>
      <c r="L52" s="216"/>
      <c r="M52" s="216"/>
      <c r="N52" s="216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3" t="s">
        <v>158</v>
      </c>
      <c r="C53" s="214"/>
      <c r="D53" s="214"/>
      <c r="E53" s="214"/>
      <c r="F53" s="214"/>
      <c r="G53" s="191">
        <f>G47*0.708</f>
        <v>385.85999999999996</v>
      </c>
      <c r="H53" s="190" t="s">
        <v>50</v>
      </c>
      <c r="J53" s="213" t="s">
        <v>158</v>
      </c>
      <c r="K53" s="214"/>
      <c r="L53" s="214"/>
      <c r="M53" s="214"/>
      <c r="N53" s="214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89" t="s">
        <v>138</v>
      </c>
      <c r="C55" s="290"/>
      <c r="D55" s="290"/>
      <c r="E55" s="290"/>
      <c r="F55" s="290"/>
      <c r="G55" s="290"/>
      <c r="H55" s="291"/>
      <c r="J55" s="242" t="s">
        <v>139</v>
      </c>
      <c r="K55" s="243"/>
      <c r="L55" s="243"/>
      <c r="M55" s="243"/>
      <c r="N55" s="243"/>
      <c r="O55" s="243"/>
      <c r="P55" s="244"/>
      <c r="S55" s="289" t="s">
        <v>138</v>
      </c>
      <c r="T55" s="290"/>
      <c r="U55" s="290"/>
      <c r="V55" s="290"/>
      <c r="W55" s="290"/>
      <c r="X55" s="290"/>
      <c r="Y55" s="291"/>
      <c r="AA55" s="242" t="s">
        <v>139</v>
      </c>
      <c r="AB55" s="243"/>
      <c r="AC55" s="243"/>
      <c r="AD55" s="243"/>
      <c r="AE55" s="243"/>
      <c r="AF55" s="243"/>
      <c r="AG55" s="244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98" t="s">
        <v>46</v>
      </c>
      <c r="C56" s="299"/>
      <c r="D56" s="299"/>
      <c r="E56" s="299"/>
      <c r="F56" s="299"/>
      <c r="G56" s="134">
        <v>400</v>
      </c>
      <c r="H56" s="135" t="s">
        <v>47</v>
      </c>
      <c r="J56" s="219" t="s">
        <v>46</v>
      </c>
      <c r="K56" s="220"/>
      <c r="L56" s="220"/>
      <c r="M56" s="220"/>
      <c r="N56" s="220"/>
      <c r="O56" s="30">
        <v>630</v>
      </c>
      <c r="P56" s="31" t="s">
        <v>47</v>
      </c>
      <c r="S56" s="292" t="s">
        <v>46</v>
      </c>
      <c r="T56" s="293"/>
      <c r="U56" s="293"/>
      <c r="V56" s="293"/>
      <c r="W56" s="294"/>
      <c r="X56" s="134">
        <v>500</v>
      </c>
      <c r="Y56" s="135" t="s">
        <v>47</v>
      </c>
      <c r="AA56" s="233" t="s">
        <v>46</v>
      </c>
      <c r="AB56" s="234"/>
      <c r="AC56" s="234"/>
      <c r="AD56" s="234"/>
      <c r="AE56" s="235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300" t="s">
        <v>49</v>
      </c>
      <c r="C57" s="301"/>
      <c r="D57" s="301"/>
      <c r="E57" s="301"/>
      <c r="F57" s="301"/>
      <c r="G57" s="144">
        <v>659</v>
      </c>
      <c r="H57" s="140" t="s">
        <v>50</v>
      </c>
      <c r="J57" s="221" t="s">
        <v>49</v>
      </c>
      <c r="K57" s="222"/>
      <c r="L57" s="222"/>
      <c r="M57" s="222"/>
      <c r="N57" s="222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300" t="s">
        <v>55</v>
      </c>
      <c r="C58" s="301"/>
      <c r="D58" s="301"/>
      <c r="E58" s="301"/>
      <c r="F58" s="301"/>
      <c r="G58" s="145">
        <f>G57/1.2</f>
        <v>549.16666666666674</v>
      </c>
      <c r="H58" s="140" t="s">
        <v>50</v>
      </c>
      <c r="J58" s="221" t="s">
        <v>55</v>
      </c>
      <c r="K58" s="222"/>
      <c r="L58" s="222"/>
      <c r="M58" s="222"/>
      <c r="N58" s="222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3" t="s">
        <v>58</v>
      </c>
      <c r="C59" s="224"/>
      <c r="D59" s="224"/>
      <c r="E59" s="224"/>
      <c r="F59" s="224"/>
      <c r="G59" s="146">
        <f>G57*0.87</f>
        <v>573.33000000000004</v>
      </c>
      <c r="H59" s="147" t="s">
        <v>50</v>
      </c>
      <c r="J59" s="217" t="s">
        <v>58</v>
      </c>
      <c r="K59" s="218"/>
      <c r="L59" s="218"/>
      <c r="M59" s="218"/>
      <c r="N59" s="218"/>
      <c r="O59" s="41">
        <f>O57*0.87</f>
        <v>627.27</v>
      </c>
      <c r="P59" s="42" t="s">
        <v>50</v>
      </c>
      <c r="S59" s="295" t="s">
        <v>59</v>
      </c>
      <c r="T59" s="296"/>
      <c r="U59" s="296"/>
      <c r="V59" s="296"/>
      <c r="W59" s="297"/>
      <c r="X59" s="142">
        <v>0.112</v>
      </c>
      <c r="Y59" s="143" t="s">
        <v>52</v>
      </c>
      <c r="AA59" s="230" t="s">
        <v>59</v>
      </c>
      <c r="AB59" s="231"/>
      <c r="AC59" s="231"/>
      <c r="AD59" s="231"/>
      <c r="AE59" s="232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3" t="s">
        <v>62</v>
      </c>
      <c r="C60" s="224"/>
      <c r="D60" s="224"/>
      <c r="E60" s="224"/>
      <c r="F60" s="224"/>
      <c r="G60" s="146">
        <f>G59/1.2</f>
        <v>477.77500000000003</v>
      </c>
      <c r="H60" s="147" t="s">
        <v>50</v>
      </c>
      <c r="J60" s="217" t="s">
        <v>62</v>
      </c>
      <c r="K60" s="218"/>
      <c r="L60" s="218"/>
      <c r="M60" s="218"/>
      <c r="N60" s="218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5" t="s">
        <v>64</v>
      </c>
      <c r="C61" s="226"/>
      <c r="D61" s="226"/>
      <c r="E61" s="226"/>
      <c r="F61" s="226"/>
      <c r="G61" s="148">
        <f>G57*0.76</f>
        <v>500.84000000000003</v>
      </c>
      <c r="H61" s="149" t="s">
        <v>50</v>
      </c>
      <c r="J61" s="228" t="s">
        <v>64</v>
      </c>
      <c r="K61" s="229"/>
      <c r="L61" s="229"/>
      <c r="M61" s="229"/>
      <c r="N61" s="229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87" t="s">
        <v>66</v>
      </c>
      <c r="C62" s="288"/>
      <c r="D62" s="288"/>
      <c r="E62" s="288"/>
      <c r="F62" s="288"/>
      <c r="G62" s="150">
        <f>G61/1.2</f>
        <v>417.36666666666673</v>
      </c>
      <c r="H62" s="151" t="s">
        <v>50</v>
      </c>
      <c r="J62" s="215" t="s">
        <v>66</v>
      </c>
      <c r="K62" s="216"/>
      <c r="L62" s="216"/>
      <c r="M62" s="216"/>
      <c r="N62" s="216"/>
      <c r="O62" s="56">
        <f>O61/1.2</f>
        <v>456.63333333333338</v>
      </c>
      <c r="P62" s="57" t="s">
        <v>50</v>
      </c>
    </row>
    <row r="63" spans="1:68" ht="15" customHeight="1" x14ac:dyDescent="0.25">
      <c r="B63" s="213" t="s">
        <v>158</v>
      </c>
      <c r="C63" s="214"/>
      <c r="D63" s="214"/>
      <c r="E63" s="214"/>
      <c r="F63" s="214"/>
      <c r="G63" s="191">
        <f>G57*0.708</f>
        <v>466.572</v>
      </c>
      <c r="H63" s="190" t="s">
        <v>50</v>
      </c>
      <c r="J63" s="213" t="s">
        <v>158</v>
      </c>
      <c r="K63" s="214"/>
      <c r="L63" s="214"/>
      <c r="M63" s="214"/>
      <c r="N63" s="214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2020-11-16T16:55:59Z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