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30\Documents\1 - Tarefas\01 - E&amp;P Competências\Curso\BI MASTER\Dissertação\"/>
    </mc:Choice>
  </mc:AlternateContent>
  <xr:revisionPtr revIDLastSave="0" documentId="13_ncr:1_{1CE6DCFF-F886-4607-B119-26D2373F83B9}" xr6:coauthVersionLast="45" xr6:coauthVersionMax="45" xr10:uidLastSave="{00000000-0000-0000-0000-000000000000}"/>
  <bookViews>
    <workbookView xWindow="20370" yWindow="-7920" windowWidth="29040" windowHeight="1584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Calculo!$I$12:$J$12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Calculo!$AF$12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Calculo!$I$12</definedName>
    <definedName name="solver_lhs3" localSheetId="1" hidden="1">Avaliação!$A$4</definedName>
    <definedName name="solver_lhs3" localSheetId="0" hidden="1">Calculo!$I$12</definedName>
    <definedName name="solver_lhs4" localSheetId="1" hidden="1">Avaliação!$A$4</definedName>
    <definedName name="solver_lhs4" localSheetId="0" hidden="1">Calculo!$J$12</definedName>
    <definedName name="solver_lhs5" localSheetId="1" hidden="1">Avaliação!$AA$3</definedName>
    <definedName name="solver_lhs5" localSheetId="0" hidden="1">Calculo!$J$12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Calculo!$AT$13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3" l="1"/>
  <c r="K12" i="9"/>
  <c r="AT12" i="9" s="1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K6" i="9" l="1"/>
  <c r="AT6" i="9" s="1"/>
  <c r="K7" i="9"/>
  <c r="AT7" i="9" s="1"/>
  <c r="K3" i="9"/>
  <c r="AT3" i="9" s="1"/>
  <c r="K9" i="9"/>
  <c r="AT9" i="9" s="1"/>
  <c r="K11" i="9"/>
  <c r="AT11" i="9" s="1"/>
  <c r="K5" i="9"/>
  <c r="AT5" i="9" s="1"/>
  <c r="K10" i="9"/>
  <c r="AT10" i="9" s="1"/>
  <c r="K8" i="9"/>
  <c r="AT8" i="9" s="1"/>
  <c r="K4" i="9"/>
  <c r="AT4" i="9" s="1"/>
  <c r="O17" i="4"/>
  <c r="G17" i="4"/>
  <c r="O26" i="4"/>
  <c r="G26" i="4"/>
  <c r="O35" i="4"/>
  <c r="G35" i="4"/>
  <c r="O44" i="4"/>
  <c r="G44" i="4"/>
  <c r="O53" i="4"/>
  <c r="G53" i="4"/>
  <c r="G63" i="4"/>
  <c r="O63" i="4"/>
  <c r="AT13" i="9" l="1"/>
  <c r="T12" i="9"/>
  <c r="S12" i="9"/>
  <c r="P12" i="9"/>
  <c r="A12" i="9"/>
  <c r="R12" i="9" s="1"/>
  <c r="AO11" i="9"/>
  <c r="T11" i="9"/>
  <c r="S11" i="9"/>
  <c r="P11" i="9"/>
  <c r="F11" i="9"/>
  <c r="A11" i="9"/>
  <c r="R11" i="9" s="1"/>
  <c r="AO10" i="9"/>
  <c r="T10" i="9"/>
  <c r="S10" i="9"/>
  <c r="P10" i="9"/>
  <c r="F10" i="9"/>
  <c r="A10" i="9"/>
  <c r="R10" i="9" s="1"/>
  <c r="AO9" i="9"/>
  <c r="T9" i="9"/>
  <c r="S9" i="9"/>
  <c r="P9" i="9"/>
  <c r="F9" i="9"/>
  <c r="A9" i="9"/>
  <c r="R9" i="9" s="1"/>
  <c r="AO8" i="9"/>
  <c r="T8" i="9"/>
  <c r="S8" i="9"/>
  <c r="P8" i="9"/>
  <c r="F8" i="9"/>
  <c r="A8" i="9"/>
  <c r="R8" i="9" s="1"/>
  <c r="AO7" i="9"/>
  <c r="T7" i="9"/>
  <c r="S7" i="9"/>
  <c r="P7" i="9"/>
  <c r="F7" i="9"/>
  <c r="A7" i="9"/>
  <c r="R7" i="9" s="1"/>
  <c r="AO6" i="9"/>
  <c r="T6" i="9"/>
  <c r="S6" i="9"/>
  <c r="P6" i="9"/>
  <c r="F6" i="9"/>
  <c r="A6" i="9"/>
  <c r="R6" i="9" s="1"/>
  <c r="Z6" i="9" l="1"/>
  <c r="AL6" i="9" s="1"/>
  <c r="Y6" i="9"/>
  <c r="AA6" i="9" s="1"/>
  <c r="U12" i="9"/>
  <c r="V10" i="9"/>
  <c r="U10" i="9"/>
  <c r="V11" i="9"/>
  <c r="U11" i="9"/>
  <c r="V12" i="9"/>
  <c r="V7" i="9"/>
  <c r="U7" i="9"/>
  <c r="V9" i="9"/>
  <c r="U9" i="9"/>
  <c r="U6" i="9"/>
  <c r="V6" i="9"/>
  <c r="U8" i="9"/>
  <c r="V8" i="9"/>
  <c r="Y7" i="9"/>
  <c r="AA7" i="9" s="1"/>
  <c r="AJ6" i="9" l="1"/>
  <c r="Z7" i="9"/>
  <c r="X11" i="9"/>
  <c r="W11" i="9"/>
  <c r="X12" i="9"/>
  <c r="W12" i="9"/>
  <c r="W10" i="9"/>
  <c r="X10" i="9"/>
  <c r="W9" i="9"/>
  <c r="X9" i="9"/>
  <c r="W8" i="9"/>
  <c r="X8" i="9"/>
  <c r="X6" i="9"/>
  <c r="W6" i="9"/>
  <c r="X7" i="9"/>
  <c r="W7" i="9"/>
  <c r="AL7" i="9" l="1"/>
  <c r="AJ7" i="9"/>
  <c r="Z8" i="9"/>
  <c r="Y8" i="9"/>
  <c r="AA8" i="9" s="1"/>
  <c r="AB7" i="9"/>
  <c r="AC7" i="9" s="1"/>
  <c r="AE7" i="9" s="1"/>
  <c r="AF7" i="9" s="1"/>
  <c r="AB6" i="9"/>
  <c r="AC6" i="9" s="1"/>
  <c r="AE6" i="9" s="1"/>
  <c r="AF6" i="9" s="1"/>
  <c r="AD7" i="9" l="1"/>
  <c r="AL8" i="9"/>
  <c r="AJ8" i="9"/>
  <c r="AD6" i="9"/>
  <c r="AS6" i="9" s="1"/>
  <c r="AB8" i="9"/>
  <c r="AC8" i="9" s="1"/>
  <c r="Z9" i="9"/>
  <c r="Y9" i="9"/>
  <c r="AA9" i="9" s="1"/>
  <c r="AI7" i="9" l="1"/>
  <c r="AS7" i="9"/>
  <c r="AI6" i="9"/>
  <c r="AD8" i="9"/>
  <c r="AS8" i="9" s="1"/>
  <c r="AE8" i="9"/>
  <c r="AF8" i="9" s="1"/>
  <c r="Z10" i="9"/>
  <c r="Y10" i="9"/>
  <c r="AA10" i="9" s="1"/>
  <c r="AL9" i="9"/>
  <c r="AJ9" i="9"/>
  <c r="AB9" i="9"/>
  <c r="AC9" i="9" s="1"/>
  <c r="AP6" i="9" l="1"/>
  <c r="AK6" i="9"/>
  <c r="AP7" i="9"/>
  <c r="AK7" i="9"/>
  <c r="Y11" i="9"/>
  <c r="AA11" i="9" s="1"/>
  <c r="Z11" i="9"/>
  <c r="AL10" i="9"/>
  <c r="AJ10" i="9"/>
  <c r="AB10" i="9"/>
  <c r="AC10" i="9" s="1"/>
  <c r="AE9" i="9"/>
  <c r="AF9" i="9" s="1"/>
  <c r="AD9" i="9"/>
  <c r="AS9" i="9" s="1"/>
  <c r="AI8" i="9"/>
  <c r="AP8" i="9" l="1"/>
  <c r="AK8" i="9"/>
  <c r="AI9" i="9"/>
  <c r="AL11" i="9"/>
  <c r="AJ11" i="9"/>
  <c r="AB11" i="9"/>
  <c r="AC11" i="9" s="1"/>
  <c r="AD10" i="9"/>
  <c r="AS10" i="9" s="1"/>
  <c r="AE10" i="9"/>
  <c r="AF10" i="9" s="1"/>
  <c r="AP9" i="9" l="1"/>
  <c r="AK9" i="9"/>
  <c r="AI10" i="9"/>
  <c r="AD11" i="9"/>
  <c r="AS11" i="9" s="1"/>
  <c r="AE11" i="9"/>
  <c r="AF11" i="9" s="1"/>
  <c r="AP10" i="9" l="1"/>
  <c r="AK10" i="9"/>
  <c r="AI11" i="9"/>
  <c r="AP11" i="9" l="1"/>
  <c r="AK11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C19" i="3"/>
  <c r="AL54" i="4"/>
  <c r="AM54" i="4"/>
  <c r="AM55" i="4"/>
  <c r="AM56" i="4"/>
  <c r="AM57" i="4"/>
  <c r="AM58" i="4"/>
  <c r="AM59" i="4"/>
  <c r="C20" i="3"/>
  <c r="S60" i="4"/>
  <c r="AK60" i="4" l="1"/>
  <c r="AK54" i="4"/>
  <c r="P3" i="9"/>
  <c r="P4" i="9"/>
  <c r="P5" i="9"/>
  <c r="C31" i="3"/>
  <c r="Q12" i="9" s="1"/>
  <c r="C9" i="3"/>
  <c r="F4" i="9"/>
  <c r="F5" i="9"/>
  <c r="AO5" i="9" l="1"/>
  <c r="Z5" i="9"/>
  <c r="AJ5" i="9" s="1"/>
  <c r="Y5" i="9"/>
  <c r="AA5" i="9" s="1"/>
  <c r="A5" i="9"/>
  <c r="Z4" i="9"/>
  <c r="AJ4" i="9" s="1"/>
  <c r="A4" i="9"/>
  <c r="F3" i="9"/>
  <c r="AL4" i="9" l="1"/>
  <c r="AL5" i="9"/>
  <c r="AB16" i="4" l="1"/>
  <c r="A3" i="9"/>
  <c r="B62" i="3"/>
  <c r="B63" i="3"/>
  <c r="B64" i="3"/>
  <c r="B61" i="3"/>
  <c r="D61" i="3"/>
  <c r="E61" i="3"/>
  <c r="F61" i="3"/>
  <c r="D62" i="3"/>
  <c r="E62" i="3"/>
  <c r="F62" i="3"/>
  <c r="D63" i="3"/>
  <c r="E63" i="3"/>
  <c r="F63" i="3"/>
  <c r="D64" i="3"/>
  <c r="E64" i="3"/>
  <c r="F64" i="3"/>
  <c r="C61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F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F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F85" i="3"/>
  <c r="C71" i="3"/>
  <c r="C78" i="3"/>
  <c r="C85" i="3"/>
  <c r="V16" i="4"/>
  <c r="X16" i="4" s="1"/>
  <c r="Y16" i="4" s="1"/>
  <c r="F51" i="3"/>
  <c r="F50" i="3"/>
  <c r="O50" i="3" s="1"/>
  <c r="F49" i="3"/>
  <c r="E51" i="3"/>
  <c r="J51" i="3" s="1"/>
  <c r="E50" i="3"/>
  <c r="I50" i="3" s="1"/>
  <c r="E49" i="3"/>
  <c r="I49" i="3" s="1"/>
  <c r="F59" i="3"/>
  <c r="Q59" i="3" s="1"/>
  <c r="E59" i="3"/>
  <c r="J59" i="3" s="1"/>
  <c r="O61" i="4"/>
  <c r="O62" i="4" s="1"/>
  <c r="O59" i="4"/>
  <c r="O60" i="4" s="1"/>
  <c r="O58" i="4"/>
  <c r="G61" i="4"/>
  <c r="G62" i="4" s="1"/>
  <c r="G59" i="4"/>
  <c r="G60" i="4" s="1"/>
  <c r="G58" i="4"/>
  <c r="Z3" i="9"/>
  <c r="AO3" i="9"/>
  <c r="V4" i="1"/>
  <c r="F4" i="1"/>
  <c r="U4" i="1" s="1"/>
  <c r="W4" i="1" s="1"/>
  <c r="O59" i="3" l="1"/>
  <c r="K50" i="3"/>
  <c r="AJ3" i="9"/>
  <c r="AL3" i="9"/>
  <c r="N59" i="3"/>
  <c r="J50" i="3"/>
  <c r="P50" i="3"/>
  <c r="K59" i="3"/>
  <c r="H50" i="3"/>
  <c r="M50" i="3"/>
  <c r="N50" i="3"/>
  <c r="L50" i="3"/>
  <c r="Q50" i="3"/>
  <c r="P49" i="3"/>
  <c r="Q49" i="3"/>
  <c r="M49" i="3"/>
  <c r="O49" i="3"/>
  <c r="N49" i="3"/>
  <c r="D60" i="3"/>
  <c r="R4" i="9"/>
  <c r="R5" i="9"/>
  <c r="Q51" i="3"/>
  <c r="P51" i="3"/>
  <c r="M51" i="3"/>
  <c r="N51" i="3"/>
  <c r="S5" i="9"/>
  <c r="S4" i="9"/>
  <c r="T5" i="9"/>
  <c r="T4" i="9"/>
  <c r="R3" i="9"/>
  <c r="H51" i="3"/>
  <c r="L51" i="3"/>
  <c r="I51" i="3"/>
  <c r="K51" i="3"/>
  <c r="H59" i="3"/>
  <c r="L59" i="3"/>
  <c r="I59" i="3"/>
  <c r="K49" i="3"/>
  <c r="H49" i="3"/>
  <c r="L49" i="3"/>
  <c r="O51" i="3"/>
  <c r="J49" i="3"/>
  <c r="M59" i="3"/>
  <c r="P59" i="3"/>
  <c r="C60" i="3"/>
  <c r="C59" i="3"/>
  <c r="E60" i="3"/>
  <c r="E52" i="3"/>
  <c r="F60" i="3"/>
  <c r="F52" i="3"/>
  <c r="Y3" i="9"/>
  <c r="AA3" i="9" s="1"/>
  <c r="I66" i="1"/>
  <c r="I65" i="1"/>
  <c r="I57" i="1"/>
  <c r="I56" i="1"/>
  <c r="I55" i="1"/>
  <c r="I54" i="1"/>
  <c r="I53" i="1"/>
  <c r="I52" i="1"/>
  <c r="Q52" i="3" l="1"/>
  <c r="O52" i="3"/>
  <c r="N52" i="3"/>
  <c r="M52" i="3"/>
  <c r="P52" i="3"/>
  <c r="Q60" i="3"/>
  <c r="O60" i="3"/>
  <c r="N60" i="3"/>
  <c r="M60" i="3"/>
  <c r="P60" i="3"/>
  <c r="K52" i="3"/>
  <c r="H52" i="3"/>
  <c r="L52" i="3"/>
  <c r="J52" i="3"/>
  <c r="I52" i="3"/>
  <c r="U5" i="9"/>
  <c r="V5" i="9"/>
  <c r="V60" i="3"/>
  <c r="U60" i="3"/>
  <c r="T60" i="3"/>
  <c r="S60" i="3"/>
  <c r="R60" i="3"/>
  <c r="V4" i="9"/>
  <c r="U4" i="9"/>
  <c r="H60" i="3"/>
  <c r="L60" i="3"/>
  <c r="I60" i="3"/>
  <c r="J60" i="3"/>
  <c r="K60" i="3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5" i="3"/>
  <c r="B4" i="1"/>
  <c r="C7" i="1" s="1"/>
  <c r="B3" i="1"/>
  <c r="D3" i="1" s="1"/>
  <c r="C6" i="1" s="1"/>
  <c r="AF4" i="1"/>
  <c r="X4" i="9" l="1"/>
  <c r="W4" i="9"/>
  <c r="W5" i="9"/>
  <c r="X5" i="9"/>
  <c r="AO4" i="9"/>
  <c r="F3" i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B5" i="9" l="1"/>
  <c r="AC5" i="9" s="1"/>
  <c r="AD5" i="9" s="1"/>
  <c r="Y4" i="9"/>
  <c r="AA4" i="9" s="1"/>
  <c r="AF23" i="1"/>
  <c r="AF22" i="1"/>
  <c r="AF21" i="1"/>
  <c r="O20" i="1"/>
  <c r="AI5" i="9" l="1"/>
  <c r="AS5" i="9"/>
  <c r="AE5" i="9"/>
  <c r="AF5" i="9" s="1"/>
  <c r="AB4" i="9"/>
  <c r="AC4" i="9" s="1"/>
  <c r="U5" i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AP5" i="9" l="1"/>
  <c r="AK5" i="9"/>
  <c r="AD4" i="9"/>
  <c r="AS4" i="9" s="1"/>
  <c r="AE4" i="9"/>
  <c r="AF4" i="9" s="1"/>
  <c r="F56" i="3"/>
  <c r="E56" i="3"/>
  <c r="F55" i="3"/>
  <c r="E55" i="3"/>
  <c r="F54" i="3"/>
  <c r="E54" i="3"/>
  <c r="V3" i="1"/>
  <c r="AF3" i="1" s="1"/>
  <c r="U3" i="1"/>
  <c r="W3" i="1" s="1"/>
  <c r="I54" i="3" l="1"/>
  <c r="J54" i="3"/>
  <c r="H54" i="3"/>
  <c r="L54" i="3"/>
  <c r="K54" i="3"/>
  <c r="K56" i="3"/>
  <c r="H56" i="3"/>
  <c r="L56" i="3"/>
  <c r="I56" i="3"/>
  <c r="J56" i="3"/>
  <c r="O54" i="3"/>
  <c r="N54" i="3"/>
  <c r="P54" i="3"/>
  <c r="Q54" i="3"/>
  <c r="M54" i="3"/>
  <c r="Q56" i="3"/>
  <c r="P56" i="3"/>
  <c r="M56" i="3"/>
  <c r="N56" i="3"/>
  <c r="O56" i="3"/>
  <c r="H55" i="3"/>
  <c r="L55" i="3"/>
  <c r="I55" i="3"/>
  <c r="K55" i="3"/>
  <c r="J55" i="3"/>
  <c r="Q55" i="3"/>
  <c r="P55" i="3"/>
  <c r="M55" i="3"/>
  <c r="N55" i="3"/>
  <c r="O55" i="3"/>
  <c r="AI4" i="9"/>
  <c r="T3" i="9"/>
  <c r="F58" i="3"/>
  <c r="F57" i="3"/>
  <c r="S3" i="9"/>
  <c r="E58" i="3"/>
  <c r="E57" i="3"/>
  <c r="O4" i="1"/>
  <c r="P4" i="1"/>
  <c r="F42" i="3"/>
  <c r="F81" i="3" s="1"/>
  <c r="F67" i="3"/>
  <c r="F35" i="3"/>
  <c r="F74" i="3" s="1"/>
  <c r="O5" i="1"/>
  <c r="O6" i="1"/>
  <c r="O3" i="1"/>
  <c r="F37" i="3"/>
  <c r="F76" i="3" s="1"/>
  <c r="F44" i="3"/>
  <c r="F83" i="3" s="1"/>
  <c r="P5" i="1"/>
  <c r="P6" i="1"/>
  <c r="F69" i="3"/>
  <c r="P3" i="1"/>
  <c r="O11" i="1"/>
  <c r="O12" i="1"/>
  <c r="O13" i="1"/>
  <c r="O17" i="1"/>
  <c r="O15" i="1"/>
  <c r="O16" i="1"/>
  <c r="O14" i="1"/>
  <c r="O18" i="1"/>
  <c r="O10" i="1"/>
  <c r="P10" i="1"/>
  <c r="P15" i="1"/>
  <c r="F34" i="3"/>
  <c r="F73" i="3" s="1"/>
  <c r="P16" i="1"/>
  <c r="P13" i="1"/>
  <c r="P14" i="1"/>
  <c r="P17" i="1"/>
  <c r="F41" i="3"/>
  <c r="F80" i="3" s="1"/>
  <c r="F66" i="3"/>
  <c r="P11" i="1"/>
  <c r="P12" i="1"/>
  <c r="P18" i="1"/>
  <c r="F38" i="3"/>
  <c r="F77" i="3" s="1"/>
  <c r="F45" i="3"/>
  <c r="F84" i="3" s="1"/>
  <c r="F70" i="3"/>
  <c r="O8" i="1"/>
  <c r="O9" i="1"/>
  <c r="O7" i="1"/>
  <c r="P9" i="1"/>
  <c r="F68" i="3"/>
  <c r="P8" i="1"/>
  <c r="F36" i="3"/>
  <c r="F75" i="3" s="1"/>
  <c r="F43" i="3"/>
  <c r="F82" i="3" s="1"/>
  <c r="P7" i="1"/>
  <c r="F53" i="3"/>
  <c r="E53" i="3"/>
  <c r="O51" i="4"/>
  <c r="O52" i="4" s="1"/>
  <c r="G51" i="4"/>
  <c r="G52" i="4" s="1"/>
  <c r="O49" i="4"/>
  <c r="O50" i="4" s="1"/>
  <c r="C18" i="3" s="1"/>
  <c r="G49" i="4"/>
  <c r="G50" i="4" s="1"/>
  <c r="C17" i="3" s="1"/>
  <c r="AF48" i="4"/>
  <c r="X48" i="4"/>
  <c r="O48" i="4"/>
  <c r="G48" i="4"/>
  <c r="O42" i="4"/>
  <c r="O43" i="4" s="1"/>
  <c r="D4" i="3" s="1"/>
  <c r="G42" i="4"/>
  <c r="G43" i="4" s="1"/>
  <c r="O40" i="4"/>
  <c r="O41" i="4" s="1"/>
  <c r="C16" i="3" s="1"/>
  <c r="G40" i="4"/>
  <c r="AF39" i="4"/>
  <c r="D56" i="3" s="1"/>
  <c r="X39" i="4"/>
  <c r="D55" i="3" s="1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D54" i="3" s="1"/>
  <c r="X30" i="4"/>
  <c r="D53" i="3" s="1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C12" i="3" s="1"/>
  <c r="C24" i="3" s="1"/>
  <c r="C64" i="3" s="1"/>
  <c r="G22" i="4"/>
  <c r="G23" i="4" s="1"/>
  <c r="C11" i="3" s="1"/>
  <c r="C23" i="3" s="1"/>
  <c r="C63" i="3" s="1"/>
  <c r="AF21" i="4"/>
  <c r="X21" i="4"/>
  <c r="D51" i="3" s="1"/>
  <c r="O21" i="4"/>
  <c r="G21" i="4"/>
  <c r="O15" i="4"/>
  <c r="O16" i="4" s="1"/>
  <c r="G15" i="4"/>
  <c r="G16" i="4" s="1"/>
  <c r="O13" i="4"/>
  <c r="O14" i="4" s="1"/>
  <c r="C10" i="3" s="1"/>
  <c r="C22" i="3" s="1"/>
  <c r="G13" i="4"/>
  <c r="G14" i="4" s="1"/>
  <c r="AF12" i="4"/>
  <c r="D50" i="3" s="1"/>
  <c r="X12" i="4"/>
  <c r="D49" i="3" s="1"/>
  <c r="O12" i="4"/>
  <c r="G12" i="4"/>
  <c r="AN10" i="4"/>
  <c r="AN15" i="4" s="1"/>
  <c r="AP4" i="9" l="1"/>
  <c r="AK4" i="9"/>
  <c r="C62" i="3"/>
  <c r="Q6" i="9"/>
  <c r="Q11" i="9"/>
  <c r="Q7" i="9"/>
  <c r="Q9" i="9"/>
  <c r="Q8" i="9"/>
  <c r="Q10" i="9"/>
  <c r="C57" i="3"/>
  <c r="V53" i="3"/>
  <c r="T53" i="3"/>
  <c r="R53" i="3"/>
  <c r="U53" i="3"/>
  <c r="S53" i="3"/>
  <c r="V55" i="3"/>
  <c r="U55" i="3"/>
  <c r="T55" i="3"/>
  <c r="S55" i="3"/>
  <c r="R55" i="3"/>
  <c r="O58" i="3"/>
  <c r="P58" i="3"/>
  <c r="Q58" i="3"/>
  <c r="M58" i="3"/>
  <c r="N58" i="3"/>
  <c r="V49" i="3"/>
  <c r="T49" i="3"/>
  <c r="R49" i="3"/>
  <c r="U49" i="3"/>
  <c r="S49" i="3"/>
  <c r="V51" i="3"/>
  <c r="U51" i="3"/>
  <c r="T51" i="3"/>
  <c r="S51" i="3"/>
  <c r="R51" i="3"/>
  <c r="V56" i="3"/>
  <c r="U56" i="3"/>
  <c r="T56" i="3"/>
  <c r="S56" i="3"/>
  <c r="R56" i="3"/>
  <c r="C58" i="3"/>
  <c r="J57" i="3"/>
  <c r="K57" i="3"/>
  <c r="I57" i="3"/>
  <c r="H57" i="3"/>
  <c r="L57" i="3"/>
  <c r="N57" i="3"/>
  <c r="O57" i="3"/>
  <c r="M57" i="3"/>
  <c r="Q57" i="3"/>
  <c r="P57" i="3"/>
  <c r="N53" i="3"/>
  <c r="Q53" i="3"/>
  <c r="O53" i="3"/>
  <c r="P53" i="3"/>
  <c r="M53" i="3"/>
  <c r="R54" i="3"/>
  <c r="V54" i="3"/>
  <c r="T54" i="3"/>
  <c r="U54" i="3"/>
  <c r="S54" i="3"/>
  <c r="R50" i="3"/>
  <c r="V50" i="3"/>
  <c r="U50" i="3"/>
  <c r="S50" i="3"/>
  <c r="T50" i="3"/>
  <c r="J53" i="3"/>
  <c r="K53" i="3"/>
  <c r="I53" i="3"/>
  <c r="H53" i="3"/>
  <c r="L53" i="3"/>
  <c r="I58" i="3"/>
  <c r="J58" i="3"/>
  <c r="L58" i="3"/>
  <c r="H58" i="3"/>
  <c r="K58" i="3"/>
  <c r="Q5" i="9"/>
  <c r="Q4" i="9"/>
  <c r="C30" i="3"/>
  <c r="C29" i="3"/>
  <c r="C28" i="3"/>
  <c r="C56" i="3"/>
  <c r="C14" i="3"/>
  <c r="C26" i="3" s="1"/>
  <c r="S26" i="4"/>
  <c r="C52" i="3"/>
  <c r="C51" i="3"/>
  <c r="C50" i="3"/>
  <c r="C49" i="3"/>
  <c r="D57" i="3"/>
  <c r="D52" i="3"/>
  <c r="Q3" i="9"/>
  <c r="X58" i="4"/>
  <c r="D59" i="3" s="1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F40" i="3"/>
  <c r="F79" i="3" s="1"/>
  <c r="F65" i="3"/>
  <c r="F33" i="3"/>
  <c r="F72" i="3" s="1"/>
  <c r="N9" i="1"/>
  <c r="R9" i="1" s="1"/>
  <c r="N7" i="1"/>
  <c r="N8" i="1"/>
  <c r="Q12" i="1"/>
  <c r="G32" i="4"/>
  <c r="G41" i="4"/>
  <c r="C15" i="3" s="1"/>
  <c r="C27" i="3" s="1"/>
  <c r="AN16" i="4"/>
  <c r="AS27" i="4"/>
  <c r="AS38" i="4"/>
  <c r="AM27" i="4"/>
  <c r="AM9" i="9" l="1"/>
  <c r="AN9" i="9" s="1"/>
  <c r="AR9" i="9" s="1"/>
  <c r="AG9" i="9"/>
  <c r="AH9" i="9" s="1"/>
  <c r="AQ9" i="9" s="1"/>
  <c r="AM6" i="9"/>
  <c r="AN6" i="9" s="1"/>
  <c r="AR6" i="9" s="1"/>
  <c r="AG6" i="9"/>
  <c r="AH6" i="9" s="1"/>
  <c r="AQ6" i="9" s="1"/>
  <c r="AM10" i="9"/>
  <c r="AN10" i="9" s="1"/>
  <c r="AR10" i="9" s="1"/>
  <c r="AG10" i="9"/>
  <c r="AH10" i="9" s="1"/>
  <c r="AQ10" i="9" s="1"/>
  <c r="AM8" i="9"/>
  <c r="AN8" i="9" s="1"/>
  <c r="AR8" i="9" s="1"/>
  <c r="AG8" i="9"/>
  <c r="AH8" i="9" s="1"/>
  <c r="AQ8" i="9" s="1"/>
  <c r="AM11" i="9"/>
  <c r="AN11" i="9" s="1"/>
  <c r="AR11" i="9" s="1"/>
  <c r="AG11" i="9"/>
  <c r="AH11" i="9" s="1"/>
  <c r="AQ11" i="9" s="1"/>
  <c r="AM7" i="9"/>
  <c r="AN7" i="9" s="1"/>
  <c r="AR7" i="9" s="1"/>
  <c r="AG7" i="9"/>
  <c r="AH7" i="9" s="1"/>
  <c r="AQ7" i="9" s="1"/>
  <c r="V59" i="3"/>
  <c r="U59" i="3"/>
  <c r="T59" i="3"/>
  <c r="S59" i="3"/>
  <c r="R59" i="3"/>
  <c r="C66" i="3"/>
  <c r="C34" i="3"/>
  <c r="C69" i="3"/>
  <c r="C37" i="3"/>
  <c r="C70" i="3"/>
  <c r="C38" i="3"/>
  <c r="V52" i="3"/>
  <c r="U52" i="3"/>
  <c r="T52" i="3"/>
  <c r="S52" i="3"/>
  <c r="R52" i="3"/>
  <c r="C67" i="3"/>
  <c r="C35" i="3"/>
  <c r="U57" i="3"/>
  <c r="S57" i="3"/>
  <c r="V57" i="3"/>
  <c r="T57" i="3"/>
  <c r="R57" i="3"/>
  <c r="C68" i="3"/>
  <c r="C36" i="3"/>
  <c r="AM4" i="9"/>
  <c r="AN4" i="9" s="1"/>
  <c r="AR4" i="9" s="1"/>
  <c r="AG4" i="9"/>
  <c r="AH4" i="9" s="1"/>
  <c r="AQ4" i="9" s="1"/>
  <c r="AM5" i="9"/>
  <c r="AN5" i="9" s="1"/>
  <c r="AR5" i="9" s="1"/>
  <c r="AG5" i="9"/>
  <c r="AH5" i="9" s="1"/>
  <c r="AQ5" i="9" s="1"/>
  <c r="C55" i="3"/>
  <c r="C54" i="3"/>
  <c r="C13" i="3"/>
  <c r="T26" i="4"/>
  <c r="AM3" i="9"/>
  <c r="AN3" i="9" s="1"/>
  <c r="AR3" i="9" s="1"/>
  <c r="D58" i="3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C42" i="3" l="1"/>
  <c r="C81" i="3" s="1"/>
  <c r="C74" i="3"/>
  <c r="C45" i="3"/>
  <c r="C84" i="3" s="1"/>
  <c r="C77" i="3"/>
  <c r="C41" i="3"/>
  <c r="C80" i="3" s="1"/>
  <c r="C73" i="3"/>
  <c r="C43" i="3"/>
  <c r="C82" i="3" s="1"/>
  <c r="C75" i="3"/>
  <c r="R58" i="3"/>
  <c r="U58" i="3"/>
  <c r="S58" i="3"/>
  <c r="V58" i="3"/>
  <c r="T58" i="3"/>
  <c r="C44" i="3"/>
  <c r="C76" i="3"/>
  <c r="C25" i="3"/>
  <c r="C33" i="3" s="1"/>
  <c r="C53" i="3"/>
  <c r="U3" i="9"/>
  <c r="V3" i="9"/>
  <c r="T4" i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C40" i="3" l="1"/>
  <c r="C79" i="3" s="1"/>
  <c r="C72" i="3"/>
  <c r="C83" i="3"/>
  <c r="M22" i="1"/>
  <c r="AG22" i="1" s="1"/>
  <c r="M23" i="1"/>
  <c r="AG23" i="1" s="1"/>
  <c r="M21" i="1"/>
  <c r="AG21" i="1" s="1"/>
  <c r="M20" i="1"/>
  <c r="AG20" i="1" s="1"/>
  <c r="C65" i="3"/>
  <c r="W3" i="9"/>
  <c r="X3" i="9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B3" i="9" l="1"/>
  <c r="AC3" i="9" s="1"/>
  <c r="AD3" i="9" s="1"/>
  <c r="AC12" i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I3" i="9" l="1"/>
  <c r="AP3" i="9" s="1"/>
  <c r="AS3" i="9"/>
  <c r="AG3" i="9"/>
  <c r="AH3" i="9" s="1"/>
  <c r="AE3" i="9"/>
  <c r="AF3" i="9" s="1"/>
  <c r="AE4" i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AK3" i="9" l="1"/>
  <c r="AQ3" i="9"/>
  <c r="L12" i="9" l="1"/>
  <c r="Z12" i="9" s="1"/>
  <c r="AL12" i="9" l="1"/>
  <c r="AJ12" i="9"/>
  <c r="D12" i="9" l="1"/>
  <c r="AO12" i="9" s="1"/>
  <c r="E12" i="9"/>
  <c r="F12" i="9" l="1"/>
  <c r="Y12" i="9" s="1"/>
  <c r="AA12" i="9" s="1"/>
  <c r="AM12" i="9" s="1"/>
  <c r="AN12" i="9" s="1"/>
  <c r="AR12" i="9" s="1"/>
  <c r="AB12" i="9" l="1"/>
  <c r="AC12" i="9" s="1"/>
  <c r="AD12" i="9" s="1"/>
  <c r="AS12" i="9" s="1"/>
  <c r="AE12" i="9" l="1"/>
  <c r="AF12" i="9" s="1"/>
  <c r="AI12" i="9"/>
  <c r="AG12" i="9"/>
  <c r="AH12" i="9" s="1"/>
  <c r="AQ12" i="9" l="1"/>
  <c r="AP12" i="9"/>
  <c r="AK12" i="9"/>
</calcChain>
</file>

<file path=xl/sharedStrings.xml><?xml version="1.0" encoding="utf-8"?>
<sst xmlns="http://schemas.openxmlformats.org/spreadsheetml/2006/main" count="634" uniqueCount="166">
  <si>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</si>
  <si>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</si>
  <si>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</si>
  <si>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</si>
  <si>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</si>
  <si>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</si>
  <si>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</si>
  <si>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</si>
  <si>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</si>
  <si>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</si>
  <si>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</si>
  <si>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</si>
  <si>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</si>
  <si>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</si>
  <si>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</si>
  <si>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</si>
  <si>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</si>
  <si>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</si>
  <si>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</si>
  <si>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</si>
  <si>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</si>
  <si>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</si>
  <si>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</si>
  <si>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</si>
  <si>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</si>
  <si>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</si>
  <si>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</si>
  <si>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</si>
  <si>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</si>
  <si>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</si>
  <si>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</si>
  <si>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</si>
  <si>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</si>
  <si>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</si>
  <si>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</si>
  <si>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</si>
  <si>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</si>
  <si>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</si>
  <si>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</si>
  <si>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</si>
  <si>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</si>
  <si>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</si>
  <si>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</si>
  <si>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</si>
  <si>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</si>
  <si>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</si>
  <si>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</si>
  <si>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</si>
  <si>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</si>
  <si>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</si>
  <si>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</si>
  <si>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</si>
  <si>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</si>
  <si>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</si>
  <si>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</si>
  <si>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</si>
  <si>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</si>
  <si>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</si>
  <si>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</si>
  <si>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</si>
  <si>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</si>
  <si>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</si>
  <si>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</si>
  <si>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</si>
  <si>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</si>
  <si>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</si>
  <si>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</si>
  <si>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</si>
  <si>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</si>
  <si>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</si>
  <si>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</si>
  <si>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</si>
  <si>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</si>
  <si>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</si>
  <si>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</si>
  <si>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</si>
  <si>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</si>
  <si>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</si>
  <si>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</si>
  <si>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</si>
  <si>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</si>
  <si>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</si>
  <si>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</si>
  <si>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</si>
  <si>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</si>
  <si>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</si>
  <si>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</si>
  <si>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</si>
  <si>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</si>
  <si>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</si>
  <si>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</si>
  <si>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</si>
  <si>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</si>
  <si>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</si>
  <si>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</si>
  <si>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</si>
  <si>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</si>
  <si>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</si>
  <si>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</si>
  <si>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</si>
  <si>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</si>
  <si>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</si>
  <si>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</si>
  <si>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</si>
  <si>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</si>
  <si>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</si>
  <si>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</si>
  <si>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</si>
  <si>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</si>
  <si>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</si>
  <si>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</si>
  <si>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</si>
  <si>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</si>
  <si>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</si>
  <si>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</si>
  <si>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</si>
  <si>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</si>
  <si>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</si>
  <si>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</si>
  <si>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</si>
  <si>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</si>
  <si>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</si>
  <si>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</si>
  <si>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</si>
  <si>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</si>
  <si>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</si>
  <si>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</si>
  <si>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</si>
  <si>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</si>
  <si>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</si>
  <si>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</si>
  <si>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</si>
  <si>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</si>
  <si>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</si>
  <si>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</si>
  <si>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</si>
  <si>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</si>
  <si>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</si>
  <si>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</si>
  <si>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</si>
  <si>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</si>
  <si>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</si>
  <si>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</si>
  <si>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</si>
  <si>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</si>
  <si>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</si>
  <si>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</si>
  <si>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</si>
  <si>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</si>
  <si>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</si>
  <si>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</si>
  <si>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</si>
  <si>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</si>
  <si>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</si>
  <si>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</si>
  <si>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</si>
  <si>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</si>
  <si>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</si>
  <si>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</si>
  <si>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</si>
  <si>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</si>
  <si>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</si>
  <si>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</si>
  <si>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</si>
  <si>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</si>
  <si>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20/35kV EPR 500mm2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</si>
</sst>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2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left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104775</xdr:colOff>
      <xdr:row>10</xdr:row>
      <xdr:rowOff>38100</xdr:rowOff>
    </xdr:from>
    <xdr:to>
      <xdr:col>46</xdr:col>
      <xdr:colOff>72693</xdr:colOff>
      <xdr:row>10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4751F8-6458-4E26-91FA-4897F612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7715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46</xdr:col>
      <xdr:colOff>409575</xdr:colOff>
      <xdr:row>9</xdr:row>
      <xdr:rowOff>152400</xdr:rowOff>
    </xdr:from>
    <xdr:to>
      <xdr:col>48</xdr:col>
      <xdr:colOff>409423</xdr:colOff>
      <xdr:row>9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45369-9106-492D-99EA-1A719111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78200" y="7715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11</xdr:row>
      <xdr:rowOff>104775</xdr:rowOff>
    </xdr:from>
    <xdr:to>
      <xdr:col>49</xdr:col>
      <xdr:colOff>28395</xdr:colOff>
      <xdr:row>11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87725" y="771525"/>
          <a:ext cx="1438095" cy="104761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8</xdr:row>
      <xdr:rowOff>152400</xdr:rowOff>
    </xdr:from>
    <xdr:ext cx="1219048" cy="0"/>
    <xdr:pic>
      <xdr:nvPicPr>
        <xdr:cNvPr id="6" name="Imagem 5">
          <a:extLst>
            <a:ext uri="{FF2B5EF4-FFF2-40B4-BE49-F238E27FC236}">
              <a16:creationId xmlns:a16="http://schemas.microsoft.com/office/drawing/2014/main" id="{F9B1C4E4-6CFF-4506-8E97-E60C57E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0100" y="2066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12</xdr:row>
      <xdr:rowOff>0</xdr:rowOff>
    </xdr:from>
    <xdr:ext cx="2666668" cy="0"/>
    <xdr:pic>
      <xdr:nvPicPr>
        <xdr:cNvPr id="8" name="Imagem 7">
          <a:extLst>
            <a:ext uri="{FF2B5EF4-FFF2-40B4-BE49-F238E27FC236}">
              <a16:creationId xmlns:a16="http://schemas.microsoft.com/office/drawing/2014/main" id="{E8439219-F80A-4F43-9689-FD5B4E8D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2144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12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12</xdr:row>
      <xdr:rowOff>0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4430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12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27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42</xdr:col>
      <xdr:colOff>147108</xdr:colOff>
      <xdr:row>12</xdr:row>
      <xdr:rowOff>31750</xdr:rowOff>
    </xdr:from>
    <xdr:ext cx="2666668" cy="0"/>
    <xdr:pic>
      <xdr:nvPicPr>
        <xdr:cNvPr id="19" name="Imagem 18">
          <a:extLst>
            <a:ext uri="{FF2B5EF4-FFF2-40B4-BE49-F238E27FC236}">
              <a16:creationId xmlns:a16="http://schemas.microsoft.com/office/drawing/2014/main" id="{2F02CC8C-8464-4C6D-9753-B746A190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8275" y="232833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12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AT313"/>
  <sheetViews>
    <sheetView tabSelected="1" zoomScale="90" zoomScaleNormal="90" workbookViewId="0">
      <selection activeCell="AT13" sqref="AT13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</cols>
  <sheetData>
    <row r="1" spans="1:46" x14ac:dyDescent="0.25">
      <c r="A1" t="s">
        <v>155</v>
      </c>
      <c r="B1" t="s">
        <v>154</v>
      </c>
      <c r="D1" s="198" t="s">
        <v>123</v>
      </c>
      <c r="E1" s="198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198" t="s">
        <v>6</v>
      </c>
      <c r="O1" s="198"/>
      <c r="P1" s="198"/>
      <c r="Q1" s="198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</row>
    <row r="2" spans="1:46" ht="15.75" x14ac:dyDescent="0.25">
      <c r="A2" t="s">
        <v>151</v>
      </c>
      <c r="B2" t="s">
        <v>152</v>
      </c>
      <c r="C2" t="s">
        <v>128</v>
      </c>
      <c r="D2" s="90" t="s">
        <v>0</v>
      </c>
      <c r="E2" s="90" t="s">
        <v>1</v>
      </c>
      <c r="F2" s="90" t="s">
        <v>129</v>
      </c>
      <c r="G2" s="90" t="s">
        <v>161</v>
      </c>
      <c r="H2" s="90" t="s">
        <v>160</v>
      </c>
      <c r="I2" s="90" t="s">
        <v>161</v>
      </c>
      <c r="J2" s="90" t="s">
        <v>160</v>
      </c>
      <c r="K2" s="101" t="s">
        <v>2</v>
      </c>
      <c r="L2" s="101" t="s">
        <v>4</v>
      </c>
      <c r="M2" s="101" t="s">
        <v>118</v>
      </c>
      <c r="N2" s="101" t="s">
        <v>7</v>
      </c>
      <c r="O2" s="91" t="s">
        <v>8</v>
      </c>
      <c r="P2" s="91" t="s">
        <v>109</v>
      </c>
      <c r="Q2" s="91" t="s">
        <v>108</v>
      </c>
      <c r="R2" s="101" t="s">
        <v>93</v>
      </c>
      <c r="S2" s="101" t="s">
        <v>94</v>
      </c>
      <c r="T2" s="101" t="s">
        <v>95</v>
      </c>
      <c r="U2" s="101" t="s">
        <v>96</v>
      </c>
      <c r="V2" s="92" t="s">
        <v>125</v>
      </c>
      <c r="W2" s="101" t="s">
        <v>97</v>
      </c>
      <c r="X2" s="101" t="s">
        <v>101</v>
      </c>
      <c r="Y2" s="101" t="s">
        <v>20</v>
      </c>
      <c r="Z2" s="101" t="s">
        <v>98</v>
      </c>
      <c r="AA2" s="101" t="s">
        <v>99</v>
      </c>
      <c r="AB2" s="86" t="s">
        <v>103</v>
      </c>
      <c r="AC2" s="101" t="s">
        <v>100</v>
      </c>
      <c r="AD2" s="101" t="s">
        <v>102</v>
      </c>
      <c r="AE2" s="101" t="s">
        <v>106</v>
      </c>
      <c r="AF2" s="101"/>
      <c r="AG2" s="101" t="s">
        <v>107</v>
      </c>
      <c r="AH2" s="101"/>
      <c r="AI2" s="101" t="s">
        <v>122</v>
      </c>
      <c r="AJ2" s="101" t="s">
        <v>104</v>
      </c>
      <c r="AK2" s="189"/>
      <c r="AL2" s="154"/>
      <c r="AM2" s="101" t="s">
        <v>105</v>
      </c>
      <c r="AN2" s="101"/>
      <c r="AO2" s="101" t="s">
        <v>126</v>
      </c>
      <c r="AP2" s="101" t="s">
        <v>124</v>
      </c>
      <c r="AQ2" s="154" t="s">
        <v>156</v>
      </c>
      <c r="AR2" s="154" t="s">
        <v>157</v>
      </c>
      <c r="AS2" s="189" t="s">
        <v>163</v>
      </c>
    </row>
    <row r="3" spans="1:46" x14ac:dyDescent="0.25">
      <c r="A3" s="153">
        <f t="shared" ref="A3:A11" si="0">IF($B$1="não",0,1-60/$B3)</f>
        <v>0</v>
      </c>
      <c r="B3">
        <v>60</v>
      </c>
      <c r="C3" s="133">
        <v>1</v>
      </c>
      <c r="D3" s="107">
        <v>4</v>
      </c>
      <c r="E3" s="194">
        <v>0.92</v>
      </c>
      <c r="F3" s="168">
        <f t="shared" ref="F3" si="1">D3/(E3*C3)</f>
        <v>4.3478260869565215</v>
      </c>
      <c r="G3" s="157">
        <f t="shared" ref="G3:G11" si="2">$I$12</f>
        <v>29.909164761434866</v>
      </c>
      <c r="H3" s="157">
        <f t="shared" ref="H3:H11" si="3">$J$12</f>
        <v>4.0019395154409567</v>
      </c>
      <c r="I3">
        <v>30</v>
      </c>
      <c r="J3">
        <v>8</v>
      </c>
      <c r="K3" s="192">
        <f t="shared" ref="K3:K12" si="4">SQRT((G3-I3)^2+(H3-J3)^2)</f>
        <v>3.9990922318393305</v>
      </c>
      <c r="L3" s="107">
        <v>25</v>
      </c>
      <c r="M3" s="169">
        <v>1</v>
      </c>
      <c r="N3" s="156" t="s">
        <v>159</v>
      </c>
      <c r="O3" s="159">
        <v>1</v>
      </c>
      <c r="P3" s="159">
        <f t="shared" ref="P3:P5" si="5">IF(O3=1,1,IF(O3=2,0.9,0.8))</f>
        <v>1</v>
      </c>
      <c r="Q3" s="170">
        <f>VLOOKUP(N3,Cabos!$B$13:$F$46,2,0)*O3*P3</f>
        <v>153.70000000000002</v>
      </c>
      <c r="R3" s="171">
        <f>((VLOOKUP(N3,Cabos!$B$13:$F$46,3,0)/O3*K3))*(1+A3)</f>
        <v>1.9795506547604687</v>
      </c>
      <c r="S3" s="171">
        <f>(VLOOKUP(N3,Cabos!$B$13:$F$46,4,0)/O3*K3)*B3/60</f>
        <v>0.71583750949924008</v>
      </c>
      <c r="T3" s="171">
        <f>1/(VLOOKUP(N3,Cabos!$B$13:$F$46,5,0)*60/B3) * O3 * K3</f>
        <v>2.0978294244554008E-4</v>
      </c>
      <c r="U3" s="155" t="str">
        <f t="shared" ref="U3:U5" si="6">IMSQRT(IMDIV(COMPLEX(R3,S3),COMPLEX(0,T3)))</f>
        <v>81,9953644820213-57,5409662461409i</v>
      </c>
      <c r="V3" s="155" t="str">
        <f t="shared" ref="V3:V5" si="7">IMSQRT(IMPRODUCT(COMPLEX(R3,S3),COMPLEX(0,T3)))</f>
        <v>0,0120711132102749+0,017201228827933i</v>
      </c>
      <c r="W3" s="155" t="str">
        <f t="shared" ref="W3:W5" si="8">IMPRODUCT(U3,_xlfn.IMSINH(V3))</f>
        <v>1,97945156299511+0,715956600234972i</v>
      </c>
      <c r="X3" s="155" t="str">
        <f t="shared" ref="X3:X5" si="9">IMDIV(IMSUB(_xlfn.IMCOSH(V3),COMPLEX(1,0)),IMPRODUCT(U3,_xlfn.IMSINH(V3)))</f>
        <v>3,63001774864872E-09+0,000104892783725501i</v>
      </c>
      <c r="Y3" s="172">
        <f t="shared" ref="Y3:Y5" si="10">F3/L3/SQRT(3)*1000</f>
        <v>100.408742467761</v>
      </c>
      <c r="Z3" s="173" t="str">
        <f t="shared" ref="Z3:Z5" si="11">COMPLEX(L3*1000/SQRT(3)*M3,0)</f>
        <v>14433,7567297406</v>
      </c>
      <c r="AA3" s="173" t="str">
        <f t="shared" ref="AA3:AA5" si="12">COMPLEX(Y3*E3,-Y3*SQRT(1-E3*E3))</f>
        <v>92,3760430703401-39,3520295616861i</v>
      </c>
      <c r="AB3" s="173" t="str">
        <f t="shared" ref="AB3:AB5" si="13">IMPRODUCT(W3,IMSUM(AA3,IMPRODUCT(X3,Z3)))</f>
        <v>209,944395759418-8,76127759511078i</v>
      </c>
      <c r="AC3" s="173" t="str">
        <f t="shared" ref="AC3:AC5" si="14">IMSUM(Z3,AB3)</f>
        <v>14643,7011255-8,76127759511078i</v>
      </c>
      <c r="AD3" s="173" t="str">
        <f t="shared" ref="AD3:AD5" si="15">IMSUM(IMPRODUCT(AC3,X3),IMDIV(AB3,W3))</f>
        <v>92,3770676168243-36,3020140953927i</v>
      </c>
      <c r="AE3" s="174">
        <f t="shared" ref="AE3:AE5" si="16">IMABS(AC3)/L3/1000*SQRT(3)</f>
        <v>1.0145455559915406</v>
      </c>
      <c r="AF3" s="175">
        <f t="shared" ref="AF3:AF5" si="17">L3*AE3</f>
        <v>25.363638899788516</v>
      </c>
      <c r="AG3" s="174">
        <f t="shared" ref="AG3:AG5" si="18">IMABS(AD3)/Q3</f>
        <v>0.64576455271305333</v>
      </c>
      <c r="AH3" s="175">
        <f t="shared" ref="AH3:AH5" si="19">AG3*Q3/O3</f>
        <v>99.254011751996302</v>
      </c>
      <c r="AI3" s="176">
        <f t="shared" ref="AI3:AI5" si="20">IMREAL(IMPRODUCT(AC3,IMCONJUGATE(AD3)))*3/1000000</f>
        <v>4.0591806631608902</v>
      </c>
      <c r="AJ3" s="174">
        <f t="shared" ref="AJ3:AJ6" si="21">IMABS(Z3)/L3/1000*SQRT(3)</f>
        <v>0.99999999999999678</v>
      </c>
      <c r="AK3" s="176">
        <f t="shared" ref="AK3:AK12" si="22">SQRT(AI3^2+AS3^2)</f>
        <v>4.3603390312201729</v>
      </c>
      <c r="AL3" s="175">
        <f t="shared" ref="AL3:AL12" si="23">IMABS(Z3)*SQRT(3)/1000</f>
        <v>24.999999999999922</v>
      </c>
      <c r="AM3" s="174">
        <f t="shared" ref="AM3:AM12" si="24">IMABS(AA3)/Q3</f>
        <v>0.65327743960807394</v>
      </c>
      <c r="AN3" s="175">
        <f t="shared" ref="AN3:AN12" si="25">Q3*AM3/P3</f>
        <v>100.40874246776097</v>
      </c>
      <c r="AO3" s="177">
        <f t="shared" ref="AO3:AO12" si="26">D3</f>
        <v>4</v>
      </c>
      <c r="AP3" s="174">
        <f t="shared" ref="AP3:AP12" si="27">IF(AO3&gt;0, (AI3-AO3)/AO3,0)</f>
        <v>1.4795165790222553E-2</v>
      </c>
      <c r="AQ3" s="168">
        <f t="shared" ref="AQ3:AQ12" si="28">AF3*AH3*SQRT(3)*O3/1000</f>
        <v>4.3603390312201746</v>
      </c>
      <c r="AR3" s="168">
        <f t="shared" ref="AR3:AR5" si="29">AL3*AN3*SQRT(3)/1000</f>
        <v>4.3478260869565064</v>
      </c>
      <c r="AS3" s="176">
        <f t="shared" ref="AS3:AS12" si="30">IMAGINARY(IMPRODUCT(AC3,IMCONJUGATE(AD3)))*3/1000000</f>
        <v>1.5923595106014179</v>
      </c>
      <c r="AT3" s="196">
        <f>VLOOKUP(N3,Cabos!$B$13:'Cabos'!$G$46,6,0)*K3*1000</f>
        <v>1839582.426646092</v>
      </c>
    </row>
    <row r="4" spans="1:46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7" si="31">D4/(E4*C4)</f>
        <v>4.3478260869565215</v>
      </c>
      <c r="G4" s="157">
        <f t="shared" si="2"/>
        <v>29.909164761434866</v>
      </c>
      <c r="H4" s="157">
        <f t="shared" si="3"/>
        <v>4.0019395154409567</v>
      </c>
      <c r="I4">
        <v>30</v>
      </c>
      <c r="J4">
        <v>7</v>
      </c>
      <c r="K4" s="192">
        <f t="shared" si="4"/>
        <v>2.9994362319675325</v>
      </c>
      <c r="L4" s="107">
        <v>25</v>
      </c>
      <c r="M4" s="180">
        <v>1</v>
      </c>
      <c r="N4" s="156" t="s">
        <v>159</v>
      </c>
      <c r="O4" s="159">
        <v>1</v>
      </c>
      <c r="P4" s="159">
        <f t="shared" si="5"/>
        <v>1</v>
      </c>
      <c r="Q4" s="181">
        <f>VLOOKUP(N4,Cabos!$B$13:$F$46,2,0)*O4*P4</f>
        <v>153.70000000000002</v>
      </c>
      <c r="R4" s="182">
        <f>((VLOOKUP(N4,Cabos!$B$13:$F$46,3,0)/O4*K4))*(1+A4)</f>
        <v>1.4847209348239285</v>
      </c>
      <c r="S4" s="182">
        <f>(VLOOKUP(N4,Cabos!$B$13:$F$46,4,0)/O4*K4)*B4/60</f>
        <v>0.53689908552218835</v>
      </c>
      <c r="T4" s="182">
        <f>1/(VLOOKUP(N4,Cabos!$B$13:$F$46,5,0)*60/B4) * O4 * K4</f>
        <v>1.5734334742524957E-4</v>
      </c>
      <c r="U4" s="178" t="str">
        <f t="shared" si="6"/>
        <v>81,9953644820212-57,5409662461408i</v>
      </c>
      <c r="V4" s="178" t="str">
        <f t="shared" si="7"/>
        <v>0,00905368824325112+0,0129014251209547i</v>
      </c>
      <c r="W4" s="178" t="str">
        <f t="shared" si="8"/>
        <v>1,48467912590967+0,53694933335386i</v>
      </c>
      <c r="X4" s="178" t="str">
        <f t="shared" si="9"/>
        <v>1,53157325780329E-09+0,0000786722275136161i</v>
      </c>
      <c r="Y4" s="183">
        <f t="shared" si="10"/>
        <v>100.408742467761</v>
      </c>
      <c r="Z4" s="184" t="str">
        <f t="shared" si="11"/>
        <v>14433,7567297406</v>
      </c>
      <c r="AA4" s="184" t="str">
        <f t="shared" si="12"/>
        <v>92,3760430703401-39,3520295616861i</v>
      </c>
      <c r="AB4" s="184" t="str">
        <f t="shared" si="13"/>
        <v>157,669136553559-7,13796394887307i</v>
      </c>
      <c r="AC4" s="184" t="str">
        <f t="shared" si="14"/>
        <v>14591,4258662942-7,13796394887307i</v>
      </c>
      <c r="AD4" s="184" t="str">
        <f t="shared" si="15"/>
        <v>92,3766490840575-37,068553803799i</v>
      </c>
      <c r="AE4" s="185">
        <f t="shared" si="16"/>
        <v>1.0109237591717914</v>
      </c>
      <c r="AF4" s="186">
        <f t="shared" si="17"/>
        <v>25.273093979294785</v>
      </c>
      <c r="AG4" s="185">
        <f t="shared" si="18"/>
        <v>0.64760273854195682</v>
      </c>
      <c r="AH4" s="186">
        <f t="shared" si="19"/>
        <v>99.536540913898776</v>
      </c>
      <c r="AI4" s="187">
        <f t="shared" si="20"/>
        <v>4.0445148626621696</v>
      </c>
      <c r="AJ4" s="185">
        <f t="shared" si="21"/>
        <v>0.99999999999999678</v>
      </c>
      <c r="AK4" s="176">
        <f t="shared" si="22"/>
        <v>4.3571406945419842</v>
      </c>
      <c r="AL4" s="186">
        <f t="shared" si="23"/>
        <v>24.999999999999922</v>
      </c>
      <c r="AM4" s="185">
        <f t="shared" si="24"/>
        <v>0.65327743960807394</v>
      </c>
      <c r="AN4" s="186">
        <f t="shared" si="25"/>
        <v>100.40874246776097</v>
      </c>
      <c r="AO4" s="188">
        <f t="shared" si="26"/>
        <v>4</v>
      </c>
      <c r="AP4" s="185">
        <f t="shared" si="27"/>
        <v>1.112871566554241E-2</v>
      </c>
      <c r="AQ4" s="179">
        <f t="shared" si="28"/>
        <v>4.3571406945419788</v>
      </c>
      <c r="AR4" s="179">
        <f t="shared" si="29"/>
        <v>4.3478260869565064</v>
      </c>
      <c r="AS4" s="176">
        <f t="shared" si="30"/>
        <v>1.6206710208239727</v>
      </c>
      <c r="AT4" s="196">
        <f>VLOOKUP(N4,Cabos!$B$13:'Cabos'!$G$46,6,0)*K4*1000</f>
        <v>1379740.6667050649</v>
      </c>
    </row>
    <row r="5" spans="1:46" x14ac:dyDescent="0.25">
      <c r="A5" s="153">
        <f t="shared" si="0"/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31"/>
        <v>4.3478260869565215</v>
      </c>
      <c r="G5" s="157">
        <f t="shared" si="2"/>
        <v>29.909164761434866</v>
      </c>
      <c r="H5" s="157">
        <f t="shared" si="3"/>
        <v>4.0019395154409567</v>
      </c>
      <c r="I5">
        <v>30</v>
      </c>
      <c r="J5">
        <v>6</v>
      </c>
      <c r="K5" s="192">
        <f t="shared" si="4"/>
        <v>2.0001241812751287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5"/>
        <v>1</v>
      </c>
      <c r="Q5" s="170">
        <f>VLOOKUP(N5,Cabos!$B$13:$F$46,2,0)*O5*P5</f>
        <v>153.70000000000002</v>
      </c>
      <c r="R5" s="171">
        <f>((VLOOKUP(N5,Cabos!$B$13:$F$46,3,0)/O5*K5))*(1+A5)</f>
        <v>0.99006146973118869</v>
      </c>
      <c r="S5" s="171">
        <f>(VLOOKUP(N5,Cabos!$B$13:$F$46,4,0)/O5*K5)*B5/60</f>
        <v>0.35802222844824805</v>
      </c>
      <c r="T5" s="171">
        <f>1/(VLOOKUP(N5,Cabos!$B$13:$F$46,5,0)*60/B5) * O5 * K5</f>
        <v>1.0492179516734662E-4</v>
      </c>
      <c r="U5" s="155" t="str">
        <f t="shared" si="6"/>
        <v>81,9953644820212-57,5409662461407i</v>
      </c>
      <c r="V5" s="155" t="str">
        <f t="shared" si="7"/>
        <v>0,00603730147420879+0,00860310083685457i</v>
      </c>
      <c r="W5" s="155" t="str">
        <f t="shared" si="8"/>
        <v>0,990049072676872+0,358037127981705i</v>
      </c>
      <c r="X5" s="155" t="str">
        <f t="shared" si="9"/>
        <v>4,54135242658918E-10+0,0000524610618012843i</v>
      </c>
      <c r="Y5" s="172">
        <f t="shared" si="10"/>
        <v>100.408742467761</v>
      </c>
      <c r="Z5" s="173" t="str">
        <f t="shared" si="11"/>
        <v>14433,7567297406</v>
      </c>
      <c r="AA5" s="173" t="str">
        <f t="shared" si="12"/>
        <v>92,3760430703401-39,3520295616861i</v>
      </c>
      <c r="AB5" s="173" t="str">
        <f t="shared" si="13"/>
        <v>105,275200546861-5,13670961327475i</v>
      </c>
      <c r="AC5" s="173" t="str">
        <f t="shared" si="14"/>
        <v>14539,0319302875-5,13670961327475i</v>
      </c>
      <c r="AD5" s="173" t="str">
        <f t="shared" si="15"/>
        <v>92,3763257051447-37,8320863075695i</v>
      </c>
      <c r="AE5" s="174">
        <f t="shared" si="16"/>
        <v>1.0072937427123154</v>
      </c>
      <c r="AF5" s="175">
        <f t="shared" si="17"/>
        <v>25.182343567807884</v>
      </c>
      <c r="AG5" s="174">
        <f t="shared" si="18"/>
        <v>0.64946717675175514</v>
      </c>
      <c r="AH5" s="175">
        <f t="shared" si="19"/>
        <v>99.823105066744773</v>
      </c>
      <c r="AI5" s="176">
        <f t="shared" si="20"/>
        <v>4.0297700444134801</v>
      </c>
      <c r="AJ5" s="174">
        <f t="shared" si="21"/>
        <v>0.99999999999999678</v>
      </c>
      <c r="AK5" s="176">
        <f t="shared" si="22"/>
        <v>4.3539942075795874</v>
      </c>
      <c r="AL5" s="175">
        <f t="shared" si="23"/>
        <v>24.999999999999922</v>
      </c>
      <c r="AM5" s="174">
        <f t="shared" si="24"/>
        <v>0.65327743960807394</v>
      </c>
      <c r="AN5" s="175">
        <f t="shared" si="25"/>
        <v>100.40874246776097</v>
      </c>
      <c r="AO5" s="177">
        <f t="shared" si="26"/>
        <v>4</v>
      </c>
      <c r="AP5" s="174">
        <f t="shared" si="27"/>
        <v>7.4425111033700198E-3</v>
      </c>
      <c r="AQ5" s="168">
        <f t="shared" si="28"/>
        <v>4.3539942075795954</v>
      </c>
      <c r="AR5" s="168">
        <f t="shared" si="29"/>
        <v>4.3478260869565064</v>
      </c>
      <c r="AS5" s="176">
        <f t="shared" si="30"/>
        <v>1.6487022013645711</v>
      </c>
      <c r="AT5" s="196">
        <f>VLOOKUP(N5,Cabos!$B$13:'Cabos'!$G$46,6,0)*K5*1000</f>
        <v>920057.12338655919</v>
      </c>
    </row>
    <row r="6" spans="1:46" x14ac:dyDescent="0.25">
      <c r="A6" s="153">
        <f>IF($B$1="não",0,1-60/$B6)</f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si="31"/>
        <v>4.3478260869565215</v>
      </c>
      <c r="G6" s="157">
        <f t="shared" si="2"/>
        <v>29.909164761434866</v>
      </c>
      <c r="H6" s="157">
        <f t="shared" si="3"/>
        <v>4.0019395154409567</v>
      </c>
      <c r="I6">
        <v>30</v>
      </c>
      <c r="J6">
        <v>5</v>
      </c>
      <c r="K6" s="192">
        <f t="shared" si="4"/>
        <v>1.0021854975020428</v>
      </c>
      <c r="L6" s="107">
        <v>25</v>
      </c>
      <c r="M6" s="158">
        <v>1</v>
      </c>
      <c r="N6" s="156" t="s">
        <v>159</v>
      </c>
      <c r="O6" s="159">
        <v>1</v>
      </c>
      <c r="P6" s="159">
        <f t="shared" ref="P6:P9" si="32">IF(O6=1,1,IF(O6=2,0.9,0.8))</f>
        <v>1</v>
      </c>
      <c r="Q6" s="160">
        <f>VLOOKUP(N6,Cabos!$B$13:$F$46,2,0)*O6*P6</f>
        <v>153.70000000000002</v>
      </c>
      <c r="R6" s="161">
        <f>((VLOOKUP(N6,Cabos!$B$13:$F$46,3,0)/O6*K6))*(1+A6)</f>
        <v>0.49608182126351119</v>
      </c>
      <c r="S6" s="161">
        <f>(VLOOKUP(N6,Cabos!$B$13:$F$46,4,0)/O6*K6)*B6/60</f>
        <v>0.17939120405286565</v>
      </c>
      <c r="T6" s="161">
        <f>1/(VLOOKUP(N6,Cabos!$B$13:$F$46,5,0)*60/B6) * O6 * K6</f>
        <v>5.2572286497510507E-5</v>
      </c>
      <c r="U6" s="156" t="str">
        <f t="shared" ref="U6:U9" si="33">IMSQRT(IMDIV(COMPLEX(R6,S6),COMPLEX(0,T6)))</f>
        <v>81,9953644820213-57,5409662461408i</v>
      </c>
      <c r="V6" s="156" t="str">
        <f t="shared" ref="V6:V9" si="34">IMSQRT(IMPRODUCT(COMPLEX(R6,S6),COMPLEX(0,T6)))</f>
        <v>0,00302506016283569+0,00431068379301662i</v>
      </c>
      <c r="W6" s="156" t="str">
        <f t="shared" ref="W6:W9" si="35">IMPRODUCT(U6,_xlfn.IMSINH(V6))</f>
        <v>0,496080261744962+0,179393078391886i</v>
      </c>
      <c r="X6" s="156" t="str">
        <f t="shared" ref="X6:X9" si="36">IMDIV(IMSUB(_xlfn.IMCOSH(V6),COMPLEX(1,0)),IMPRODUCT(U6,_xlfn.IMSINH(V6)))</f>
        <v>5,71287692019869E-11+0,0000262861639074398i</v>
      </c>
      <c r="Y6" s="162">
        <f t="shared" ref="Y6:Y9" si="37">F6/L6/SQRT(3)*1000</f>
        <v>100.408742467761</v>
      </c>
      <c r="Z6" s="163" t="str">
        <f t="shared" ref="Z6:Z9" si="38">COMPLEX(L6*1000/SQRT(3)*M6,0)</f>
        <v>14433,7567297406</v>
      </c>
      <c r="AA6" s="163" t="str">
        <f t="shared" ref="AA6:AA9" si="39">COMPLEX(Y6*E6,-Y6*SQRT(1-E6*E6))</f>
        <v>92,3760430703401-39,3520295616861i</v>
      </c>
      <c r="AB6" s="163" t="str">
        <f t="shared" ref="AB6:AB9" si="40">IMPRODUCT(W6,IMSUM(AA6,IMPRODUCT(X6,Z6)))</f>
        <v>52,8173505722324-2,76192537400848i</v>
      </c>
      <c r="AC6" s="163" t="str">
        <f t="shared" ref="AC6:AC9" si="41">IMSUM(Z6,AB6)</f>
        <v>14486,5740803128-2,76192537400848i</v>
      </c>
      <c r="AD6" s="163" t="str">
        <f t="shared" ref="AD6:AD9" si="42">IMSUM(IMPRODUCT(AC6,X6),IMDIV(AB6,W6))</f>
        <v>92,376117322946-38,5918250059134i</v>
      </c>
      <c r="AE6" s="164">
        <f t="shared" ref="AE6:AE9" si="43">IMABS(AC6)/L6/1000*SQRT(3)</f>
        <v>1.003659311629493</v>
      </c>
      <c r="AF6" s="165">
        <f t="shared" ref="AF6:AF9" si="44">L6*AE6</f>
        <v>25.091482790737324</v>
      </c>
      <c r="AG6" s="164">
        <f t="shared" ref="AG6:AG9" si="45">IMABS(AD6)/Q6</f>
        <v>0.6513553405487833</v>
      </c>
      <c r="AH6" s="165">
        <f t="shared" ref="AH6:AH9" si="46">AG6*Q6/O6</f>
        <v>100.113315842348</v>
      </c>
      <c r="AI6" s="166">
        <f t="shared" ref="AI6:AI9" si="47">IMREAL(IMPRODUCT(AC6,IMCONJUGATE(AD6)))*3/1000000</f>
        <v>4.0149601637737193</v>
      </c>
      <c r="AJ6" s="164">
        <f t="shared" si="21"/>
        <v>0.99999999999999678</v>
      </c>
      <c r="AK6" s="176">
        <f t="shared" si="22"/>
        <v>4.3508969782031706</v>
      </c>
      <c r="AL6" s="165">
        <f t="shared" si="23"/>
        <v>24.999999999999922</v>
      </c>
      <c r="AM6" s="164">
        <f t="shared" si="24"/>
        <v>0.65327743960807394</v>
      </c>
      <c r="AN6" s="165">
        <f t="shared" si="25"/>
        <v>100.40874246776097</v>
      </c>
      <c r="AO6" s="167">
        <f t="shared" si="26"/>
        <v>4</v>
      </c>
      <c r="AP6" s="164">
        <f t="shared" si="27"/>
        <v>3.7400409434298343E-3</v>
      </c>
      <c r="AQ6" s="157">
        <f t="shared" si="28"/>
        <v>4.3508969782031617</v>
      </c>
      <c r="AR6" s="157">
        <f>AL6*AN6*SQRT(3)/1000</f>
        <v>4.3478260869565064</v>
      </c>
      <c r="AS6" s="176">
        <f t="shared" si="30"/>
        <v>1.6764245877007382</v>
      </c>
      <c r="AT6" s="196">
        <f>VLOOKUP(N6,Cabos!$B$13:'Cabos'!$G$46,6,0)*K6*1000</f>
        <v>461005.3288509397</v>
      </c>
    </row>
    <row r="7" spans="1:46" x14ac:dyDescent="0.25">
      <c r="A7" s="153">
        <f t="shared" si="0"/>
        <v>0</v>
      </c>
      <c r="B7">
        <v>60</v>
      </c>
      <c r="C7" s="133">
        <v>1</v>
      </c>
      <c r="D7" s="107">
        <v>4</v>
      </c>
      <c r="E7" s="194">
        <v>0.92</v>
      </c>
      <c r="F7" s="168">
        <f t="shared" si="31"/>
        <v>4.3478260869565215</v>
      </c>
      <c r="G7" s="157">
        <f t="shared" si="2"/>
        <v>29.909164761434866</v>
      </c>
      <c r="H7" s="157">
        <f t="shared" si="3"/>
        <v>4.0019395154409567</v>
      </c>
      <c r="I7">
        <v>30</v>
      </c>
      <c r="J7">
        <v>4</v>
      </c>
      <c r="K7" s="192">
        <f t="shared" si="4"/>
        <v>9.0855942487712574E-2</v>
      </c>
      <c r="L7" s="107">
        <v>25</v>
      </c>
      <c r="M7" s="169">
        <v>1</v>
      </c>
      <c r="N7" s="156" t="s">
        <v>159</v>
      </c>
      <c r="O7" s="159">
        <v>1</v>
      </c>
      <c r="P7" s="159">
        <f t="shared" si="32"/>
        <v>1</v>
      </c>
      <c r="Q7" s="170">
        <f>VLOOKUP(N7,Cabos!$B$13:$F$46,2,0)*O7*P7</f>
        <v>153.70000000000002</v>
      </c>
      <c r="R7" s="171">
        <f>((VLOOKUP(N7,Cabos!$B$13:$F$46,3,0)/O7*K7))*(1+A7)</f>
        <v>4.4973691531417725E-2</v>
      </c>
      <c r="S7" s="171">
        <f>(VLOOKUP(N7,Cabos!$B$13:$F$46,4,0)/O7*K7)*B7/60</f>
        <v>1.6263213705300549E-2</v>
      </c>
      <c r="T7" s="171">
        <f>1/(VLOOKUP(N7,Cabos!$B$13:$F$46,5,0)*60/B7) * O7 * K7</f>
        <v>4.7660883642507774E-6</v>
      </c>
      <c r="U7" s="155" t="str">
        <f t="shared" si="33"/>
        <v>81,9953644820212-57,5409662461408i</v>
      </c>
      <c r="V7" s="155" t="str">
        <f t="shared" si="34"/>
        <v>0,000274245329693479+0,000390797152580263i</v>
      </c>
      <c r="W7" s="155" t="str">
        <f t="shared" si="35"/>
        <v>0,0449736903694188+0,0162632151018762i</v>
      </c>
      <c r="X7" s="155" t="str">
        <f t="shared" si="36"/>
        <v>5,17837842528869E-14+2,38304419418526E-06i</v>
      </c>
      <c r="Y7" s="172">
        <f t="shared" si="37"/>
        <v>100.408742467761</v>
      </c>
      <c r="Z7" s="173" t="str">
        <f t="shared" si="38"/>
        <v>14433,7567297406</v>
      </c>
      <c r="AA7" s="173" t="str">
        <f t="shared" si="39"/>
        <v>92,3760430703401-39,3520295616861i</v>
      </c>
      <c r="AB7" s="173" t="str">
        <f t="shared" si="40"/>
        <v>4,79392268598508-0,265927606535755i</v>
      </c>
      <c r="AC7" s="173" t="str">
        <f t="shared" si="41"/>
        <v>14438,5506524266-0,265927606535755i</v>
      </c>
      <c r="AD7" s="173" t="str">
        <f t="shared" si="42"/>
        <v>92,3760437055523-39,2832255772063i</v>
      </c>
      <c r="AE7" s="174">
        <f t="shared" si="43"/>
        <v>1.0003321328760506</v>
      </c>
      <c r="AF7" s="175">
        <f t="shared" si="44"/>
        <v>25.008303321901266</v>
      </c>
      <c r="AG7" s="174">
        <f t="shared" si="45"/>
        <v>0.65310213055091049</v>
      </c>
      <c r="AH7" s="175">
        <f t="shared" si="46"/>
        <v>100.38179746567495</v>
      </c>
      <c r="AI7" s="176">
        <f t="shared" si="47"/>
        <v>4.0013598978226499</v>
      </c>
      <c r="AJ7" s="174">
        <f t="shared" ref="AJ7:AJ10" si="48">IMABS(Z7)/L7/1000*SQRT(3)</f>
        <v>0.99999999999999678</v>
      </c>
      <c r="AK7" s="176">
        <f t="shared" si="22"/>
        <v>4.3481030026068206</v>
      </c>
      <c r="AL7" s="175">
        <f t="shared" si="23"/>
        <v>24.999999999999922</v>
      </c>
      <c r="AM7" s="174">
        <f t="shared" si="24"/>
        <v>0.65327743960807394</v>
      </c>
      <c r="AN7" s="175">
        <f t="shared" si="25"/>
        <v>100.40874246776097</v>
      </c>
      <c r="AO7" s="177">
        <f t="shared" si="26"/>
        <v>4</v>
      </c>
      <c r="AP7" s="174">
        <f t="shared" si="27"/>
        <v>3.3997445566247286E-4</v>
      </c>
      <c r="AQ7" s="168">
        <f t="shared" si="28"/>
        <v>4.3481030026068046</v>
      </c>
      <c r="AR7" s="168">
        <f t="shared" ref="AR7:AR9" si="49">AL7*AN7*SQRT(3)/1000</f>
        <v>4.3478260869565064</v>
      </c>
      <c r="AS7" s="176">
        <f t="shared" si="30"/>
        <v>1.7015048308409702</v>
      </c>
      <c r="AT7" s="196">
        <f>VLOOKUP(N7,Cabos!$B$13:'Cabos'!$G$46,6,0)*K7*1000</f>
        <v>41793.733544347779</v>
      </c>
    </row>
    <row r="8" spans="1:46" x14ac:dyDescent="0.25">
      <c r="A8" s="153">
        <f>IF($B$1="não",0,1-60/$B8)</f>
        <v>0</v>
      </c>
      <c r="B8">
        <v>60</v>
      </c>
      <c r="C8" s="133">
        <v>1</v>
      </c>
      <c r="D8" s="107">
        <v>4</v>
      </c>
      <c r="E8" s="194">
        <v>0.92</v>
      </c>
      <c r="F8" s="168">
        <f t="shared" ref="F8:F11" si="50">D8/(E8*C8)</f>
        <v>4.3478260869565215</v>
      </c>
      <c r="G8" s="157">
        <f t="shared" si="2"/>
        <v>29.909164761434866</v>
      </c>
      <c r="H8" s="157">
        <f t="shared" si="3"/>
        <v>4.0019395154409567</v>
      </c>
      <c r="I8">
        <v>30</v>
      </c>
      <c r="J8">
        <v>3</v>
      </c>
      <c r="K8" s="192">
        <f t="shared" si="4"/>
        <v>1.0060486236595345</v>
      </c>
      <c r="L8" s="107">
        <v>25</v>
      </c>
      <c r="M8" s="180">
        <v>1</v>
      </c>
      <c r="N8" s="156" t="s">
        <v>159</v>
      </c>
      <c r="O8" s="159">
        <v>1</v>
      </c>
      <c r="P8" s="159">
        <f t="shared" si="32"/>
        <v>1</v>
      </c>
      <c r="Q8" s="181">
        <f>VLOOKUP(N8,Cabos!$B$13:$F$46,2,0)*O8*P8</f>
        <v>153.70000000000002</v>
      </c>
      <c r="R8" s="182">
        <f>((VLOOKUP(N8,Cabos!$B$13:$F$46,3,0)/O8*K8))*(1+A8)</f>
        <v>0.49799406871146956</v>
      </c>
      <c r="S8" s="182">
        <f>(VLOOKUP(N8,Cabos!$B$13:$F$46,4,0)/O8*K8)*B8/60</f>
        <v>0.18008270363505666</v>
      </c>
      <c r="T8" s="182">
        <f>1/(VLOOKUP(N8,Cabos!$B$13:$F$46,5,0)*60/B8) * O8 * K8</f>
        <v>5.2774936980513793E-5</v>
      </c>
      <c r="U8" s="178" t="str">
        <f t="shared" si="33"/>
        <v>81,9953644820213-57,5409662461408i</v>
      </c>
      <c r="V8" s="178" t="str">
        <f t="shared" si="34"/>
        <v>0,00303672086743795+0,00432730019323294i</v>
      </c>
      <c r="W8" s="178" t="str">
        <f t="shared" si="35"/>
        <v>0,497992491088864+0,180084599732766i</v>
      </c>
      <c r="X8" s="178" t="str">
        <f t="shared" si="36"/>
        <v>5,77929037427687E-11+0,0000263874893884216i</v>
      </c>
      <c r="Y8" s="183">
        <f t="shared" si="37"/>
        <v>100.408742467761</v>
      </c>
      <c r="Z8" s="184" t="str">
        <f t="shared" si="38"/>
        <v>14433,7567297406</v>
      </c>
      <c r="AA8" s="184" t="str">
        <f t="shared" si="39"/>
        <v>92,3760430703401-39,3520295616861i</v>
      </c>
      <c r="AB8" s="184" t="str">
        <f t="shared" si="40"/>
        <v>53,0206817832202-2,77184163924483i</v>
      </c>
      <c r="AC8" s="184" t="str">
        <f t="shared" si="41"/>
        <v>14486,7774115238-2,77184163924483i</v>
      </c>
      <c r="AD8" s="184" t="str">
        <f t="shared" si="42"/>
        <v>92,3761178836835-38,5888892740862i</v>
      </c>
      <c r="AE8" s="185">
        <f t="shared" si="43"/>
        <v>1.0036733989599815</v>
      </c>
      <c r="AF8" s="186">
        <f t="shared" si="44"/>
        <v>25.091834973999539</v>
      </c>
      <c r="AG8" s="185">
        <f t="shared" si="45"/>
        <v>0.65134798130302751</v>
      </c>
      <c r="AH8" s="186">
        <f t="shared" si="46"/>
        <v>100.11218472627534</v>
      </c>
      <c r="AI8" s="187">
        <f t="shared" si="47"/>
        <v>4.0150176606351309</v>
      </c>
      <c r="AJ8" s="185">
        <f t="shared" si="48"/>
        <v>0.99999999999999678</v>
      </c>
      <c r="AK8" s="176">
        <f t="shared" si="22"/>
        <v>4.3509088885749136</v>
      </c>
      <c r="AL8" s="186">
        <f t="shared" si="23"/>
        <v>24.999999999999922</v>
      </c>
      <c r="AM8" s="185">
        <f t="shared" si="24"/>
        <v>0.65327743960807394</v>
      </c>
      <c r="AN8" s="186">
        <f t="shared" si="25"/>
        <v>100.40874246776097</v>
      </c>
      <c r="AO8" s="188">
        <f t="shared" si="26"/>
        <v>4</v>
      </c>
      <c r="AP8" s="185">
        <f t="shared" si="27"/>
        <v>3.7544151587827201E-3</v>
      </c>
      <c r="AQ8" s="179">
        <f t="shared" si="28"/>
        <v>4.3509088885749074</v>
      </c>
      <c r="AR8" s="179">
        <f t="shared" si="49"/>
        <v>4.3478260869565064</v>
      </c>
      <c r="AS8" s="176">
        <f t="shared" si="30"/>
        <v>1.6763177925048089</v>
      </c>
      <c r="AT8" s="196">
        <f>VLOOKUP(N8,Cabos!$B$13:'Cabos'!$G$46,6,0)*K8*1000</f>
        <v>462782.36688338587</v>
      </c>
    </row>
    <row r="9" spans="1:46" x14ac:dyDescent="0.25">
      <c r="A9" s="153">
        <f t="shared" si="0"/>
        <v>0</v>
      </c>
      <c r="B9">
        <v>60</v>
      </c>
      <c r="C9" s="133">
        <v>1</v>
      </c>
      <c r="D9" s="107">
        <v>4</v>
      </c>
      <c r="E9" s="194">
        <v>0.92</v>
      </c>
      <c r="F9" s="168">
        <f t="shared" si="50"/>
        <v>4.3478260869565215</v>
      </c>
      <c r="G9" s="157">
        <f t="shared" si="2"/>
        <v>29.909164761434866</v>
      </c>
      <c r="H9" s="157">
        <f t="shared" si="3"/>
        <v>4.0019395154409567</v>
      </c>
      <c r="I9">
        <v>30</v>
      </c>
      <c r="J9">
        <v>2</v>
      </c>
      <c r="K9" s="192">
        <f t="shared" si="4"/>
        <v>2.0039992175769825</v>
      </c>
      <c r="L9" s="107">
        <v>25</v>
      </c>
      <c r="M9" s="169">
        <v>1</v>
      </c>
      <c r="N9" s="156" t="s">
        <v>159</v>
      </c>
      <c r="O9" s="159">
        <v>1</v>
      </c>
      <c r="P9" s="159">
        <f t="shared" si="32"/>
        <v>1</v>
      </c>
      <c r="Q9" s="170">
        <f>VLOOKUP(N9,Cabos!$B$13:$F$46,2,0)*O9*P9</f>
        <v>153.70000000000002</v>
      </c>
      <c r="R9" s="171">
        <f>((VLOOKUP(N9,Cabos!$B$13:$F$46,3,0)/O9*K9))*(1+A9)</f>
        <v>0.99197961270060631</v>
      </c>
      <c r="S9" s="171">
        <f>(VLOOKUP(N9,Cabos!$B$13:$F$46,4,0)/O9*K9)*B9/60</f>
        <v>0.35871585994627986</v>
      </c>
      <c r="T9" s="171">
        <f>1/(VLOOKUP(N9,Cabos!$B$13:$F$46,5,0)*60/B9) * O9 * K9</f>
        <v>1.0512507042842063E-4</v>
      </c>
      <c r="U9" s="155" t="str">
        <f t="shared" si="33"/>
        <v>81,9953644820211-57,5409662461407i</v>
      </c>
      <c r="V9" s="155" t="str">
        <f t="shared" si="34"/>
        <v>0,00604899812914494+0,00861976846597652i</v>
      </c>
      <c r="W9" s="155" t="str">
        <f t="shared" si="35"/>
        <v>0,991967143452312+0,358730846246233i</v>
      </c>
      <c r="X9" s="155" t="str">
        <f t="shared" si="36"/>
        <v>4,5678038069327E-10+0,0000525627003879448i</v>
      </c>
      <c r="Y9" s="172">
        <f t="shared" si="37"/>
        <v>100.408742467761</v>
      </c>
      <c r="Z9" s="173" t="str">
        <f t="shared" si="38"/>
        <v>14433,7567297406</v>
      </c>
      <c r="AA9" s="173" t="str">
        <f t="shared" si="39"/>
        <v>92,3760430703401-39,3520295616861i</v>
      </c>
      <c r="AB9" s="173" t="str">
        <f t="shared" si="40"/>
        <v>105,478632049269-5,14519899962271i</v>
      </c>
      <c r="AC9" s="173" t="str">
        <f t="shared" si="41"/>
        <v>14539,2353617899-5,14519899962271i</v>
      </c>
      <c r="AD9" s="173" t="str">
        <f t="shared" si="42"/>
        <v>92,3763267501876-37,8291308613869i</v>
      </c>
      <c r="AE9" s="174">
        <f t="shared" si="43"/>
        <v>1.0073078370673259</v>
      </c>
      <c r="AF9" s="175">
        <f t="shared" si="44"/>
        <v>25.182695926683145</v>
      </c>
      <c r="AG9" s="174">
        <f t="shared" si="45"/>
        <v>0.64945989579034158</v>
      </c>
      <c r="AH9" s="175">
        <f t="shared" si="46"/>
        <v>99.821985982975505</v>
      </c>
      <c r="AI9" s="176">
        <f t="shared" si="47"/>
        <v>4.02982738465455</v>
      </c>
      <c r="AJ9" s="174">
        <f t="shared" si="48"/>
        <v>0.99999999999999678</v>
      </c>
      <c r="AK9" s="176">
        <f t="shared" si="22"/>
        <v>4.3540063180974578</v>
      </c>
      <c r="AL9" s="175">
        <f t="shared" si="23"/>
        <v>24.999999999999922</v>
      </c>
      <c r="AM9" s="174">
        <f t="shared" si="24"/>
        <v>0.65327743960807394</v>
      </c>
      <c r="AN9" s="175">
        <f t="shared" si="25"/>
        <v>100.40874246776097</v>
      </c>
      <c r="AO9" s="177">
        <f t="shared" si="26"/>
        <v>4</v>
      </c>
      <c r="AP9" s="174">
        <f t="shared" si="27"/>
        <v>7.4568461636375094E-3</v>
      </c>
      <c r="AQ9" s="168">
        <f t="shared" si="28"/>
        <v>4.3540063180974586</v>
      </c>
      <c r="AR9" s="168">
        <f t="shared" si="49"/>
        <v>4.3478260869565064</v>
      </c>
      <c r="AS9" s="176">
        <f t="shared" si="30"/>
        <v>1.64859402762501</v>
      </c>
      <c r="AT9" s="196">
        <f>VLOOKUP(N9,Cabos!$B$13:'Cabos'!$G$46,6,0)*K9*1000</f>
        <v>921839.64008541196</v>
      </c>
    </row>
    <row r="10" spans="1:46" x14ac:dyDescent="0.25">
      <c r="A10" s="153">
        <f>IF($B$1="não",0,1-60/$B10)</f>
        <v>0</v>
      </c>
      <c r="B10">
        <v>60</v>
      </c>
      <c r="C10" s="133">
        <v>1</v>
      </c>
      <c r="D10" s="107">
        <v>4</v>
      </c>
      <c r="E10" s="194">
        <v>0.92</v>
      </c>
      <c r="F10" s="168">
        <f t="shared" si="50"/>
        <v>4.3478260869565215</v>
      </c>
      <c r="G10" s="157">
        <f t="shared" si="2"/>
        <v>29.909164761434866</v>
      </c>
      <c r="H10" s="157">
        <f t="shared" si="3"/>
        <v>4.0019395154409567</v>
      </c>
      <c r="I10">
        <v>30</v>
      </c>
      <c r="J10">
        <v>1</v>
      </c>
      <c r="K10" s="192">
        <f t="shared" si="4"/>
        <v>3.0033134859569808</v>
      </c>
      <c r="L10" s="107">
        <v>25</v>
      </c>
      <c r="M10" s="158">
        <v>1</v>
      </c>
      <c r="N10" s="156" t="s">
        <v>159</v>
      </c>
      <c r="O10" s="159">
        <v>1</v>
      </c>
      <c r="P10" s="159">
        <f t="shared" ref="P10:P12" si="51">IF(O10=1,1,IF(O10=2,0.9,0.8))</f>
        <v>1</v>
      </c>
      <c r="Q10" s="160">
        <f>VLOOKUP(N10,Cabos!$B$13:$F$46,2,0)*O10*P10</f>
        <v>153.70000000000002</v>
      </c>
      <c r="R10" s="161">
        <f>((VLOOKUP(N10,Cabos!$B$13:$F$46,3,0)/O10*K10))*(1+A10)</f>
        <v>1.4866401755487055</v>
      </c>
      <c r="S10" s="161">
        <f>(VLOOKUP(N10,Cabos!$B$13:$F$46,4,0)/O10*K10)*B10/60</f>
        <v>0.5375931139862995</v>
      </c>
      <c r="T10" s="161">
        <f>1/(VLOOKUP(N10,Cabos!$B$13:$F$46,5,0)*60/B10) * O10 * K10</f>
        <v>1.5754673902098205E-4</v>
      </c>
      <c r="U10" s="156" t="str">
        <f t="shared" ref="U10:U12" si="52">IMSQRT(IMDIV(COMPLEX(R10,S10),COMPLEX(0,T10)))</f>
        <v>81,9953644820214-57,5409662461409i</v>
      </c>
      <c r="V10" s="156" t="str">
        <f t="shared" ref="V10:V12" si="53">IMSQRT(IMPRODUCT(COMPLEX(R10,S10),COMPLEX(0,T10)))</f>
        <v>0,00906539159219589+0,0129181022889793i</v>
      </c>
      <c r="W10" s="156" t="str">
        <f t="shared" ref="W10:W12" si="54">IMPRODUCT(U10,_xlfn.IMSINH(V10))</f>
        <v>1,48659820428945+0,53764355692837i</v>
      </c>
      <c r="X10" s="156" t="str">
        <f t="shared" ref="X10:X12" si="55">IMDIV(IMSUB(_xlfn.IMCOSH(V10),COMPLEX(1,0)),IMPRODUCT(U10,_xlfn.IMSINH(V10)))</f>
        <v>1,53752009487198E-09+0,0000787739254619268i</v>
      </c>
      <c r="Y10" s="162">
        <f>F10/L10/SQRT(3)*1000</f>
        <v>100.408742467761</v>
      </c>
      <c r="Z10" s="163" t="str">
        <f t="shared" ref="Z10:Z12" si="56">COMPLEX(L10*1000/SQRT(3)*M10,0)</f>
        <v>14433,7567297406</v>
      </c>
      <c r="AA10" s="163" t="str">
        <f>COMPLEX(Y10*E10,-Y10*SQRT(1-E10*E10))</f>
        <v>92,3760430703401-39,3520295616861i</v>
      </c>
      <c r="AB10" s="163" t="str">
        <f t="shared" ref="AB10:AB12" si="57">IMPRODUCT(W10,IMSUM(AA10,IMPRODUCT(X10,Z10)))</f>
        <v>157,872155183483-7,1449925546053i</v>
      </c>
      <c r="AC10" s="163" t="str">
        <f t="shared" ref="AC10:AC12" si="58">IMSUM(Z10,AB10)</f>
        <v>14591,6288849241-7,1449925546053i</v>
      </c>
      <c r="AD10" s="163" t="str">
        <f t="shared" ref="AD10:AD12" si="59">IMSUM(IMPRODUCT(AC10,X10),IMDIV(AB10,W10))</f>
        <v>92,3766505365647-37,0655860097584i</v>
      </c>
      <c r="AE10" s="164">
        <f t="shared" ref="AE10:AE12" si="60">IMABS(AC10)/L10/1000*SQRT(3)</f>
        <v>1.0109378249517107</v>
      </c>
      <c r="AF10" s="165">
        <f t="shared" ref="AF10:AF12" si="61">L10*AE10</f>
        <v>25.273445623792767</v>
      </c>
      <c r="AG10" s="164">
        <f t="shared" ref="AG10:AG12" si="62">IMABS(AD10)/Q10</f>
        <v>0.64759555666478841</v>
      </c>
      <c r="AH10" s="165">
        <f t="shared" ref="AH10:AH12" si="63">AG10*Q10/O10</f>
        <v>99.535437059377983</v>
      </c>
      <c r="AI10" s="166">
        <f t="shared" ref="AI10:AI12" si="64">IMREAL(IMPRODUCT(AC10,IMCONJUGATE(AD10)))*3/1000000</f>
        <v>4.0445719067938501</v>
      </c>
      <c r="AJ10" s="164">
        <f t="shared" si="48"/>
        <v>0.99999999999999678</v>
      </c>
      <c r="AK10" s="176">
        <f t="shared" si="22"/>
        <v>4.3571529977660939</v>
      </c>
      <c r="AL10" s="165">
        <f t="shared" si="23"/>
        <v>24.999999999999922</v>
      </c>
      <c r="AM10" s="164">
        <f t="shared" si="24"/>
        <v>0.65327743960807394</v>
      </c>
      <c r="AN10" s="165">
        <f t="shared" si="25"/>
        <v>100.40874246776097</v>
      </c>
      <c r="AO10" s="167">
        <f t="shared" si="26"/>
        <v>4</v>
      </c>
      <c r="AP10" s="164">
        <f t="shared" si="27"/>
        <v>1.1142976698462537E-2</v>
      </c>
      <c r="AQ10" s="157">
        <f t="shared" si="28"/>
        <v>4.3571529977660903</v>
      </c>
      <c r="AR10" s="157">
        <f>AL10*AN10*SQRT(3)/1000</f>
        <v>4.3478260869565064</v>
      </c>
      <c r="AS10" s="176">
        <f t="shared" si="30"/>
        <v>1.620561734928978</v>
      </c>
      <c r="AT10" s="196">
        <f>VLOOKUP(N10,Cabos!$B$13:'Cabos'!$G$46,6,0)*K10*1000</f>
        <v>1381524.2035402111</v>
      </c>
    </row>
    <row r="11" spans="1:46" x14ac:dyDescent="0.25">
      <c r="A11" s="153">
        <f t="shared" si="0"/>
        <v>0</v>
      </c>
      <c r="B11">
        <v>60</v>
      </c>
      <c r="C11" s="133">
        <v>1</v>
      </c>
      <c r="D11" s="107">
        <v>4</v>
      </c>
      <c r="E11" s="194">
        <v>0.92</v>
      </c>
      <c r="F11" s="168">
        <f t="shared" si="50"/>
        <v>4.3478260869565215</v>
      </c>
      <c r="G11" s="157">
        <f t="shared" si="2"/>
        <v>29.909164761434866</v>
      </c>
      <c r="H11" s="157">
        <f t="shared" si="3"/>
        <v>4.0019395154409567</v>
      </c>
      <c r="I11">
        <v>30</v>
      </c>
      <c r="J11">
        <v>0</v>
      </c>
      <c r="K11" s="192">
        <f t="shared" si="4"/>
        <v>4.0029702629188968</v>
      </c>
      <c r="L11" s="107">
        <v>25</v>
      </c>
      <c r="M11" s="169">
        <v>1</v>
      </c>
      <c r="N11" s="156" t="s">
        <v>159</v>
      </c>
      <c r="O11" s="159">
        <v>1</v>
      </c>
      <c r="P11" s="159">
        <f t="shared" si="51"/>
        <v>1</v>
      </c>
      <c r="Q11" s="170">
        <f>VLOOKUP(N11,Cabos!$B$13:$F$46,2,0)*O11*P11</f>
        <v>153.70000000000002</v>
      </c>
      <c r="R11" s="171">
        <f>((VLOOKUP(N11,Cabos!$B$13:$F$46,3,0)/O11*K11))*(1+A11)</f>
        <v>1.9814702801448538</v>
      </c>
      <c r="S11" s="171">
        <f>(VLOOKUP(N11,Cabos!$B$13:$F$46,4,0)/O11*K11)*B11/60</f>
        <v>0.71653167706248244</v>
      </c>
      <c r="T11" s="171">
        <f>1/(VLOOKUP(N11,Cabos!$B$13:$F$46,5,0)*60/B11) * O11 * K11</f>
        <v>2.0998637480558656E-4</v>
      </c>
      <c r="U11" s="155" t="str">
        <f t="shared" si="52"/>
        <v>81,9953644820211-57,5409662461407i</v>
      </c>
      <c r="V11" s="155" t="str">
        <f t="shared" si="53"/>
        <v>0,0120828189048377+0,0172179093384424i</v>
      </c>
      <c r="W11" s="155" t="str">
        <f t="shared" si="54"/>
        <v>1,98137089982036+0,716651114585337i</v>
      </c>
      <c r="X11" s="155" t="str">
        <f t="shared" si="55"/>
        <v>3,64058868561942E-09+0,000104994503727252i</v>
      </c>
      <c r="Y11" s="172">
        <f>F11/L11/SQRT(3)*1000</f>
        <v>100.408742467761</v>
      </c>
      <c r="Z11" s="173" t="str">
        <f t="shared" si="56"/>
        <v>14433,7567297406</v>
      </c>
      <c r="AA11" s="173" t="str">
        <f>COMPLEX(Y11*E11,-Y11*SQRT(1-E11*E11))</f>
        <v>92,3760430703401-39,3520295616861i</v>
      </c>
      <c r="AB11" s="173" t="str">
        <f t="shared" si="57"/>
        <v>210,14692377176-8,76683583903066i</v>
      </c>
      <c r="AC11" s="173" t="str">
        <f t="shared" si="58"/>
        <v>14643,9036535124-8,76683583903066i</v>
      </c>
      <c r="AD11" s="173" t="str">
        <f t="shared" si="59"/>
        <v>92,3770693997194-36,2990350721132i</v>
      </c>
      <c r="AE11" s="174">
        <f t="shared" si="60"/>
        <v>1.0145595877717923</v>
      </c>
      <c r="AF11" s="175">
        <f t="shared" si="61"/>
        <v>25.363989694294808</v>
      </c>
      <c r="AG11" s="174">
        <f t="shared" si="62"/>
        <v>0.64575747479872703</v>
      </c>
      <c r="AH11" s="175">
        <f t="shared" si="63"/>
        <v>99.252923876564353</v>
      </c>
      <c r="AI11" s="176">
        <f t="shared" si="64"/>
        <v>4.0592373952947298</v>
      </c>
      <c r="AJ11" s="174">
        <f t="shared" ref="AJ11:AJ12" si="65">IMABS(Z11)/L11/1000*SQRT(3)</f>
        <v>0.99999999999999678</v>
      </c>
      <c r="AK11" s="176">
        <f t="shared" si="22"/>
        <v>4.360351545115444</v>
      </c>
      <c r="AL11" s="175">
        <f t="shared" si="23"/>
        <v>24.999999999999922</v>
      </c>
      <c r="AM11" s="174">
        <f t="shared" si="24"/>
        <v>0.65327743960807394</v>
      </c>
      <c r="AN11" s="175">
        <f t="shared" si="25"/>
        <v>100.40874246776097</v>
      </c>
      <c r="AO11" s="177">
        <f t="shared" si="26"/>
        <v>4</v>
      </c>
      <c r="AP11" s="174">
        <f t="shared" si="27"/>
        <v>1.4809348823682456E-2</v>
      </c>
      <c r="AQ11" s="168">
        <f t="shared" si="28"/>
        <v>4.3603515451154493</v>
      </c>
      <c r="AR11" s="168">
        <f t="shared" ref="AR11:AR12" si="66">AL11*AN11*SQRT(3)/1000</f>
        <v>4.3478260869565064</v>
      </c>
      <c r="AS11" s="176">
        <f t="shared" si="30"/>
        <v>1.592249153126325</v>
      </c>
      <c r="AT11" s="196">
        <f>VLOOKUP(N11,Cabos!$B$13:'Cabos'!$G$46,6,0)*K11*1000</f>
        <v>1841366.3209426925</v>
      </c>
    </row>
    <row r="12" spans="1:46" x14ac:dyDescent="0.25">
      <c r="A12" s="153">
        <f>IF($B$1="não",0,1-60/$B12)</f>
        <v>0</v>
      </c>
      <c r="B12">
        <v>60</v>
      </c>
      <c r="C12" s="133">
        <v>1</v>
      </c>
      <c r="D12" s="107">
        <f>SUM(AI3:AI10)</f>
        <v>32.239202583916438</v>
      </c>
      <c r="E12" s="194">
        <f>(SUM(AI3:AI11))/(SUM(AK3:AK11))</f>
        <v>0.92614850770319945</v>
      </c>
      <c r="F12" s="168">
        <f>D12/(E12*C12)</f>
        <v>34.809970880229564</v>
      </c>
      <c r="G12" s="157">
        <v>0</v>
      </c>
      <c r="H12" s="157">
        <v>4.5</v>
      </c>
      <c r="I12" s="195">
        <v>29.909164761434866</v>
      </c>
      <c r="J12" s="195">
        <v>4.0019395154409567</v>
      </c>
      <c r="K12" s="192">
        <f t="shared" si="4"/>
        <v>29.913311434425584</v>
      </c>
      <c r="L12" s="107">
        <f>MAX(AF3:AF11)</f>
        <v>25.363989694294808</v>
      </c>
      <c r="M12" s="180">
        <v>1</v>
      </c>
      <c r="N12" s="156" t="s">
        <v>165</v>
      </c>
      <c r="O12" s="159">
        <v>2</v>
      </c>
      <c r="P12" s="159">
        <f t="shared" si="51"/>
        <v>0.9</v>
      </c>
      <c r="Q12" s="181">
        <f>VLOOKUP(N12,Cabos!$B$13:$F$46,2,0)*O12*P12</f>
        <v>859.99500000000012</v>
      </c>
      <c r="R12" s="182">
        <f>((VLOOKUP(N12,Cabos!$B$13:$F$46,3,0)/O12*K12))*(1+A12)</f>
        <v>0.53449316215232523</v>
      </c>
      <c r="S12" s="182">
        <f>(VLOOKUP(N12,Cabos!$B$13:$F$46,4,0)/O12*K12)*B12/60</f>
        <v>1.6260082186177576</v>
      </c>
      <c r="T12" s="182">
        <f>1/(VLOOKUP(N12,Cabos!$B$13:$F$46,5,0)*60/B12) * O12 * K12</f>
        <v>6.5418659562772926E-3</v>
      </c>
      <c r="U12" s="178" t="str">
        <f t="shared" si="52"/>
        <v>15,9717340784691-2,55775207701137i</v>
      </c>
      <c r="V12" s="178" t="str">
        <f t="shared" si="53"/>
        <v>0,0167324712371982+0,104484943430651i</v>
      </c>
      <c r="W12" s="178" t="str">
        <f t="shared" si="54"/>
        <v>0,532599461808199+1,62343806169678i</v>
      </c>
      <c r="X12" s="178" t="str">
        <f t="shared" si="55"/>
        <v>9,55121406686853E-07+0,00327383517564886i</v>
      </c>
      <c r="Y12" s="183">
        <f>F12/L12/SQRT(3)*1000</f>
        <v>792.36532976135732</v>
      </c>
      <c r="Z12" s="184" t="str">
        <f t="shared" si="56"/>
        <v>14643,906277724</v>
      </c>
      <c r="AA12" s="173" t="str">
        <f>COMPLEX(Y12*E12,-Y12*SQRT(1-E12*E12))</f>
        <v>733,847967714235-298,847747338862i</v>
      </c>
      <c r="AB12" s="184" t="str">
        <f t="shared" si="57"/>
        <v>798,184851525719+1057,74702196085i</v>
      </c>
      <c r="AC12" s="184" t="str">
        <f t="shared" si="58"/>
        <v>15442,0911292497+1057,74702196085i</v>
      </c>
      <c r="AD12" s="184" t="str">
        <f t="shared" si="59"/>
        <v>730,413814086965-200,350140456608i</v>
      </c>
      <c r="AE12" s="185">
        <f t="shared" si="60"/>
        <v>1.0569772188474937</v>
      </c>
      <c r="AF12" s="186">
        <f t="shared" si="61"/>
        <v>26.809159285952219</v>
      </c>
      <c r="AG12" s="185">
        <f t="shared" si="62"/>
        <v>0.8806949331923194</v>
      </c>
      <c r="AH12" s="186">
        <f t="shared" si="63"/>
        <v>378.69661953536439</v>
      </c>
      <c r="AI12" s="187">
        <f t="shared" si="64"/>
        <v>33.201590744328897</v>
      </c>
      <c r="AJ12" s="185">
        <f t="shared" si="65"/>
        <v>0.99999999999999989</v>
      </c>
      <c r="AK12" s="176">
        <f t="shared" si="22"/>
        <v>35.169423263369687</v>
      </c>
      <c r="AL12" s="186">
        <f t="shared" si="23"/>
        <v>25.363989694294805</v>
      </c>
      <c r="AM12" s="185">
        <f t="shared" si="24"/>
        <v>0.92136039135269121</v>
      </c>
      <c r="AN12" s="186">
        <f t="shared" si="25"/>
        <v>880.40592195706415</v>
      </c>
      <c r="AO12" s="188">
        <f t="shared" si="26"/>
        <v>32.239202583916438</v>
      </c>
      <c r="AP12" s="185">
        <f t="shared" si="27"/>
        <v>2.9851487731665467E-2</v>
      </c>
      <c r="AQ12" s="179">
        <f t="shared" si="28"/>
        <v>35.169423263369829</v>
      </c>
      <c r="AR12" s="179">
        <f t="shared" si="66"/>
        <v>38.677745422477308</v>
      </c>
      <c r="AS12" s="176">
        <f t="shared" si="30"/>
        <v>11.59925449001541</v>
      </c>
      <c r="AT12" s="196">
        <f>VLOOKUP(N12,Cabos!$B$13:'Cabos'!$G$46,6,0)*K12*1000</f>
        <v>18953074.124852046</v>
      </c>
    </row>
    <row r="13" spans="1:46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193"/>
      <c r="AJ13" s="193"/>
      <c r="AK13" s="193"/>
      <c r="AL13" s="81"/>
      <c r="AM13" s="81"/>
      <c r="AN13" s="81"/>
      <c r="AO13" s="81"/>
      <c r="AP13" s="81"/>
      <c r="AS13" s="193"/>
      <c r="AT13" s="197">
        <f>SUM(AT3:AT12)</f>
        <v>28202765.935436752</v>
      </c>
    </row>
    <row r="14" spans="1:46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46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46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B31" t="s">
        <v>154</v>
      </c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B32" t="s">
        <v>153</v>
      </c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  <row r="309" spans="17:45" x14ac:dyDescent="0.25">
      <c r="Q309" s="84"/>
      <c r="R309" s="81"/>
      <c r="S309" s="81"/>
      <c r="T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S309" s="81"/>
    </row>
    <row r="310" spans="17:45" x14ac:dyDescent="0.25">
      <c r="Q310" s="84"/>
      <c r="R310" s="81"/>
      <c r="S310" s="81"/>
      <c r="T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S310" s="81"/>
    </row>
    <row r="311" spans="17:45" x14ac:dyDescent="0.25">
      <c r="Q311" s="84"/>
      <c r="R311" s="81"/>
      <c r="S311" s="81"/>
      <c r="T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S311" s="81"/>
    </row>
    <row r="312" spans="17:45" x14ac:dyDescent="0.25">
      <c r="Q312" s="84"/>
      <c r="R312" s="81"/>
      <c r="S312" s="81"/>
      <c r="T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/>
      <c r="AO312" s="81"/>
      <c r="AP312" s="81"/>
      <c r="AS312" s="81"/>
    </row>
    <row r="313" spans="17:45" x14ac:dyDescent="0.25">
      <c r="Q313" s="84"/>
      <c r="R313" s="81"/>
      <c r="S313" s="81"/>
      <c r="T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S313" s="81"/>
    </row>
  </sheetData>
  <mergeCells count="2">
    <mergeCell ref="D1:E1"/>
    <mergeCell ref="N1:Q1"/>
  </mergeCells>
  <conditionalFormatting sqref="AF3:AF4 AJ3:AJ4 AL3:AL4">
    <cfRule type="cellIs" dxfId="65" priority="286" operator="greaterThan">
      <formula>1.08</formula>
    </cfRule>
  </conditionalFormatting>
  <conditionalFormatting sqref="AM3:AN4 AG3:AH4">
    <cfRule type="cellIs" dxfId="64" priority="267" operator="greaterThan">
      <formula>1</formula>
    </cfRule>
  </conditionalFormatting>
  <conditionalFormatting sqref="AE3:AE4">
    <cfRule type="cellIs" dxfId="63" priority="261" operator="greaterThan">
      <formula>1.1</formula>
    </cfRule>
  </conditionalFormatting>
  <conditionalFormatting sqref="AP3:AP4">
    <cfRule type="cellIs" dxfId="62" priority="258" operator="greaterThan">
      <formula>7%</formula>
    </cfRule>
  </conditionalFormatting>
  <conditionalFormatting sqref="AF4:AF5">
    <cfRule type="cellIs" dxfId="61" priority="256" operator="greaterThan">
      <formula>1.08</formula>
    </cfRule>
  </conditionalFormatting>
  <conditionalFormatting sqref="AJ4:AJ5 AL4:AL5">
    <cfRule type="cellIs" dxfId="60" priority="254" operator="greaterThan">
      <formula>1.08</formula>
    </cfRule>
  </conditionalFormatting>
  <conditionalFormatting sqref="AM4:AN5">
    <cfRule type="cellIs" dxfId="59" priority="252" operator="greaterThan">
      <formula>1</formula>
    </cfRule>
  </conditionalFormatting>
  <conditionalFormatting sqref="AE5">
    <cfRule type="cellIs" dxfId="58" priority="255" operator="greaterThan">
      <formula>1.1</formula>
    </cfRule>
  </conditionalFormatting>
  <conditionalFormatting sqref="AG4:AH5">
    <cfRule type="cellIs" dxfId="57" priority="253" operator="greaterThan">
      <formula>1</formula>
    </cfRule>
  </conditionalFormatting>
  <conditionalFormatting sqref="AP5">
    <cfRule type="cellIs" dxfId="56" priority="250" operator="greaterThan">
      <formula>7%</formula>
    </cfRule>
  </conditionalFormatting>
  <conditionalFormatting sqref="AE4">
    <cfRule type="cellIs" dxfId="55" priority="216" operator="greaterThan">
      <formula>1.1</formula>
    </cfRule>
  </conditionalFormatting>
  <conditionalFormatting sqref="AE5">
    <cfRule type="cellIs" dxfId="54" priority="215" operator="greaterThan">
      <formula>1.1</formula>
    </cfRule>
  </conditionalFormatting>
  <conditionalFormatting sqref="AP4">
    <cfRule type="cellIs" dxfId="53" priority="214" operator="greaterThan">
      <formula>7%</formula>
    </cfRule>
  </conditionalFormatting>
  <conditionalFormatting sqref="AP5">
    <cfRule type="cellIs" dxfId="52" priority="213" operator="greaterThan">
      <formula>7%</formula>
    </cfRule>
  </conditionalFormatting>
  <conditionalFormatting sqref="AF6:AF8">
    <cfRule type="cellIs" dxfId="51" priority="198" operator="greaterThan">
      <formula>1.08</formula>
    </cfRule>
  </conditionalFormatting>
  <conditionalFormatting sqref="AJ6:AJ8 AL6:AL8">
    <cfRule type="cellIs" dxfId="50" priority="196" operator="greaterThan">
      <formula>1.08</formula>
    </cfRule>
  </conditionalFormatting>
  <conditionalFormatting sqref="AM6:AN8">
    <cfRule type="cellIs" dxfId="49" priority="194" operator="greaterThan">
      <formula>1</formula>
    </cfRule>
  </conditionalFormatting>
  <conditionalFormatting sqref="AE6">
    <cfRule type="cellIs" dxfId="48" priority="197" operator="greaterThan">
      <formula>1.1</formula>
    </cfRule>
  </conditionalFormatting>
  <conditionalFormatting sqref="AG6:AH8">
    <cfRule type="cellIs" dxfId="47" priority="195" operator="greaterThan">
      <formula>1</formula>
    </cfRule>
  </conditionalFormatting>
  <conditionalFormatting sqref="AE7:AE8">
    <cfRule type="cellIs" dxfId="46" priority="193" operator="greaterThan">
      <formula>1.1</formula>
    </cfRule>
  </conditionalFormatting>
  <conditionalFormatting sqref="AP6">
    <cfRule type="cellIs" dxfId="45" priority="192" operator="greaterThan">
      <formula>7%</formula>
    </cfRule>
  </conditionalFormatting>
  <conditionalFormatting sqref="AP7:AP8">
    <cfRule type="cellIs" dxfId="44" priority="191" operator="greaterThan">
      <formula>7%</formula>
    </cfRule>
  </conditionalFormatting>
  <conditionalFormatting sqref="AF8:AF9">
    <cfRule type="cellIs" dxfId="43" priority="190" operator="greaterThan">
      <formula>1.08</formula>
    </cfRule>
  </conditionalFormatting>
  <conditionalFormatting sqref="AJ8:AJ9 AL8:AL9">
    <cfRule type="cellIs" dxfId="42" priority="188" operator="greaterThan">
      <formula>1.08</formula>
    </cfRule>
  </conditionalFormatting>
  <conditionalFormatting sqref="AM8:AN9">
    <cfRule type="cellIs" dxfId="41" priority="186" operator="greaterThan">
      <formula>1</formula>
    </cfRule>
  </conditionalFormatting>
  <conditionalFormatting sqref="AE9">
    <cfRule type="cellIs" dxfId="40" priority="189" operator="greaterThan">
      <formula>1.1</formula>
    </cfRule>
  </conditionalFormatting>
  <conditionalFormatting sqref="AG8:AH9">
    <cfRule type="cellIs" dxfId="39" priority="187" operator="greaterThan">
      <formula>1</formula>
    </cfRule>
  </conditionalFormatting>
  <conditionalFormatting sqref="AP9">
    <cfRule type="cellIs" dxfId="38" priority="185" operator="greaterThan">
      <formula>7%</formula>
    </cfRule>
  </conditionalFormatting>
  <conditionalFormatting sqref="AE8">
    <cfRule type="cellIs" dxfId="37" priority="184" operator="greaterThan">
      <formula>1.1</formula>
    </cfRule>
  </conditionalFormatting>
  <conditionalFormatting sqref="AE9">
    <cfRule type="cellIs" dxfId="36" priority="183" operator="greaterThan">
      <formula>1.1</formula>
    </cfRule>
  </conditionalFormatting>
  <conditionalFormatting sqref="AP8">
    <cfRule type="cellIs" dxfId="35" priority="182" operator="greaterThan">
      <formula>7%</formula>
    </cfRule>
  </conditionalFormatting>
  <conditionalFormatting sqref="AP9">
    <cfRule type="cellIs" dxfId="34" priority="181" operator="greaterThan">
      <formula>7%</formula>
    </cfRule>
  </conditionalFormatting>
  <conditionalFormatting sqref="AF10:AF12">
    <cfRule type="cellIs" dxfId="33" priority="180" operator="greaterThan">
      <formula>1.08</formula>
    </cfRule>
  </conditionalFormatting>
  <conditionalFormatting sqref="AJ10:AJ12 AL10:AL12">
    <cfRule type="cellIs" dxfId="32" priority="178" operator="greaterThan">
      <formula>1.08</formula>
    </cfRule>
  </conditionalFormatting>
  <conditionalFormatting sqref="AM10:AN12">
    <cfRule type="cellIs" dxfId="31" priority="176" operator="greaterThan">
      <formula>1</formula>
    </cfRule>
  </conditionalFormatting>
  <conditionalFormatting sqref="AE10">
    <cfRule type="cellIs" dxfId="30" priority="179" operator="greaterThan">
      <formula>1.1</formula>
    </cfRule>
  </conditionalFormatting>
  <conditionalFormatting sqref="AG10:AH12">
    <cfRule type="cellIs" dxfId="29" priority="177" operator="greaterThan">
      <formula>1</formula>
    </cfRule>
  </conditionalFormatting>
  <conditionalFormatting sqref="AE11:AE12">
    <cfRule type="cellIs" dxfId="28" priority="175" operator="greaterThan">
      <formula>1.1</formula>
    </cfRule>
  </conditionalFormatting>
  <conditionalFormatting sqref="AP10">
    <cfRule type="cellIs" dxfId="27" priority="174" operator="greaterThan">
      <formula>7%</formula>
    </cfRule>
  </conditionalFormatting>
  <conditionalFormatting sqref="AP11:AP12">
    <cfRule type="cellIs" dxfId="26" priority="173" operator="greaterThan">
      <formula>7%</formula>
    </cfRule>
  </conditionalFormatting>
  <conditionalFormatting sqref="AF12">
    <cfRule type="cellIs" dxfId="25" priority="172" operator="greaterThan">
      <formula>1.08</formula>
    </cfRule>
  </conditionalFormatting>
  <conditionalFormatting sqref="AJ12 AL12">
    <cfRule type="cellIs" dxfId="24" priority="170" operator="greaterThan">
      <formula>1.08</formula>
    </cfRule>
  </conditionalFormatting>
  <conditionalFormatting sqref="AM12:AN12">
    <cfRule type="cellIs" dxfId="23" priority="168" operator="greaterThan">
      <formula>1</formula>
    </cfRule>
  </conditionalFormatting>
  <conditionalFormatting sqref="AG12:AH12">
    <cfRule type="cellIs" dxfId="22" priority="169" operator="greaterThan">
      <formula>1</formula>
    </cfRule>
  </conditionalFormatting>
  <conditionalFormatting sqref="AE12">
    <cfRule type="cellIs" dxfId="21" priority="166" operator="greaterThan">
      <formula>1.1</formula>
    </cfRule>
  </conditionalFormatting>
  <conditionalFormatting sqref="AP12">
    <cfRule type="cellIs" dxfId="20" priority="164" operator="greaterThan">
      <formula>7%</formula>
    </cfRule>
  </conditionalFormatting>
  <dataValidations count="1">
    <dataValidation type="list" allowBlank="1" showInputMessage="1" showErrorMessage="1" sqref="B1" xr:uid="{975747E3-D8C8-43BC-98AA-ECC22C89DE52}">
      <formula1>$B$31:$B$32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N3:N12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198" t="s">
        <v>123</v>
      </c>
      <c r="E1" s="198"/>
      <c r="F1" s="99"/>
      <c r="G1" s="87" t="s">
        <v>3</v>
      </c>
      <c r="H1" s="87" t="s">
        <v>18</v>
      </c>
      <c r="I1" s="90" t="s">
        <v>117</v>
      </c>
      <c r="J1" s="198" t="s">
        <v>6</v>
      </c>
      <c r="K1" s="198"/>
      <c r="L1" s="198"/>
      <c r="M1" s="198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1.2864</v>
      </c>
      <c r="P3" s="85">
        <f>1/VLOOKUP(J3,Cabos!$B$13:$F$46,5,0) * K3 * G3</f>
        <v>1.7143770989924837E-3</v>
      </c>
      <c r="Q3" t="str">
        <f>IMSQRT(IMDIV(COMPLEX(N3,O3),COMPLEX(0,P3)))</f>
        <v>28,752359121933-8,73717088516638i</v>
      </c>
      <c r="R3" t="str">
        <f>IMSQRT(IMPRODUCT(COMPLEX(N3,O3),COMPLEX(0,P3)))</f>
        <v>0,0149788056755131+0,0492923860206494i</v>
      </c>
      <c r="S3" t="str">
        <f>IMPRODUCT(Q3,_xlfn.IMSINH(R3))</f>
        <v>0,860718887774379+1,28613914019875i</v>
      </c>
      <c r="T3" t="str">
        <f>IMDIV(IMSUB(_xlfn.IMCOSH(R3),COMPLEX(1,0)),IMPRODUCT(Q3,_xlfn.IMSINH(R3)))</f>
        <v>1,0552945772121E-07+0,000857346103821309i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252,115098649326+124,878324348288i</v>
      </c>
      <c r="Y3" s="81" t="str">
        <f>IMSUM(V3,X3)</f>
        <v>3802,81925416553+124,878324348288i</v>
      </c>
      <c r="Z3" s="81" t="str">
        <f t="shared" ref="Z3" si="4">IMSUM(IMPRODUCT(Y3,T3),IMDIV(X3,S3))</f>
        <v>157,560378735173-87,2493782062779i</v>
      </c>
      <c r="AA3" s="83">
        <f>IMABS(Y3)/H3/1000*SQRT(3)</f>
        <v>1.0715815608261494</v>
      </c>
      <c r="AB3" s="106">
        <f>H3*AA3</f>
        <v>6.5902265990808191</v>
      </c>
      <c r="AC3" s="83">
        <f>IMABS(Z3)/M3</f>
        <v>0.49684073539093609</v>
      </c>
      <c r="AD3" s="83"/>
      <c r="AE3" s="88">
        <f>IMREAL(IMPRODUCT(Y3,IMCONJUGATE(Z3)))*3/1000000</f>
        <v>1.764834257390697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5.0819918093738044E-2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0.35100000000000003</v>
      </c>
      <c r="P4" s="85">
        <f>1/VLOOKUP(J4,Cabos!$B$13:$F$46,5,0) * K4 * G4</f>
        <v>2.0884093282283328E-3</v>
      </c>
      <c r="Q4" t="str">
        <f>IMSQRT(IMDIV(COMPLEX(N4,O4),COMPLEX(0,P4)))</f>
        <v>13,4237573992388-3,48235017102222i</v>
      </c>
      <c r="R4" t="str">
        <f>IMSQRT(IMPRODUCT(COMPLEX(N4,O4),COMPLEX(0,P4)))</f>
        <v>0,00727257258132033+0,0280343001724444i</v>
      </c>
      <c r="S4" t="str">
        <f>IMPRODUCT(Q4,_xlfn.IMSINH(R4))</f>
        <v>0,195202794085328+0,350970387080244i</v>
      </c>
      <c r="T4" t="str">
        <f>IMDIV(IMSUB(_xlfn.IMCOSH(R4),COMPLEX(1,0)),IMPRODUCT(Q4,_xlfn.IMSINH(R4)))</f>
        <v>3,5487535023187E-08+0,0010442684536008i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242,005385974172+142,637159087798i</v>
      </c>
      <c r="Y4" s="81" t="str">
        <f>IMSUM(V4,X4)</f>
        <v>4052,5171626257+142,637159087798i</v>
      </c>
      <c r="Z4" s="81" t="str">
        <f>IMSUM(IMPRODUCT(Y4,T4),IMDIV(X4,S4))</f>
        <v>603,143144889-349,761224280579i</v>
      </c>
      <c r="AA4" s="83">
        <f>IMABS(Y4)/H4/1000*SQRT(3)</f>
        <v>1.0641684991234968</v>
      </c>
      <c r="AB4" s="106">
        <f>H4*AA4</f>
        <v>7.0235120942150786</v>
      </c>
      <c r="AC4" s="83">
        <f>IMABS(Z4)/M4</f>
        <v>0.88227670647289103</v>
      </c>
      <c r="AD4" s="106">
        <f>AC4*M4/K4</f>
        <v>348.60958364510105</v>
      </c>
      <c r="AE4" s="88">
        <f>IMREAL(IMPRODUCT(Y4,IMCONJUGATE(Z4)))*3/1000000</f>
        <v>7.18307699637678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0.19717949939613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2.3400000000000003</v>
      </c>
      <c r="P5" s="85">
        <f>1/VLOOKUP(J5,Cabos!$B$13:$F$46,5,0) * K5 * G5</f>
        <v>3.4806822137138883E-3</v>
      </c>
      <c r="Q5" t="str">
        <f t="shared" ref="Q5:Q20" si="11">IMSQRT(IMDIV(COMPLEX(N5,O5),COMPLEX(0,P5)))</f>
        <v>26,8475147984776-6,96470034204444i</v>
      </c>
      <c r="R5" t="str">
        <f t="shared" ref="R5:R20" si="12">IMSQRT(IMPRODUCT(COMPLEX(N5,O5),COMPLEX(0,P5)))</f>
        <v>0,0242419086044011+0,0934476672414814i</v>
      </c>
      <c r="S5" t="str">
        <f t="shared" ref="S5:S20" si="13">IMPRODUCT(Q5,_xlfn.IMSINH(R5))</f>
        <v>1,29813798999423+2,33780653497285i</v>
      </c>
      <c r="T5" t="str">
        <f t="shared" ref="T5:T20" si="14">IMDIV(IMSUB(_xlfn.IMCOSH(R5),COMPLEX(1,0)),IMPRODUCT(Q5,_xlfn.IMSINH(R5)))</f>
        <v>6,58151776947481E-07+0,00174152299829086i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192,25922259272+149,186521956811i</v>
      </c>
      <c r="Y5" s="81" t="str">
        <f t="shared" ref="Y5:Y20" si="19">IMSUM(V5,X5)</f>
        <v>8159,69293740956+149,186521956811i</v>
      </c>
      <c r="Z5" s="81" t="str">
        <f t="shared" ref="Z5:Z20" si="20">IMSUM(IMPRODUCT(Y5,T5),IMDIV(X5,S5))</f>
        <v>83,4247543945081-21,5633473426817i</v>
      </c>
      <c r="AA5" s="83">
        <f t="shared" ref="AA5:AA20" si="21">IMABS(Y5)/H5/1000*SQRT(3)</f>
        <v>1.0243017928064246</v>
      </c>
      <c r="AB5" s="83"/>
      <c r="AC5" s="83">
        <f t="shared" ref="AC5:AC20" si="22">IMABS(Z5)/M5</f>
        <v>0.21807405470063848</v>
      </c>
      <c r="AD5" s="83"/>
      <c r="AE5" s="88">
        <f t="shared" ref="AE5:AE20" si="23">IMREAL(IMPRODUCT(Y5,IMCONJUGATE(Z5)))*3/1000000</f>
        <v>2.0325102553385821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1.6255127669291047E-2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2.3400000000000003</v>
      </c>
      <c r="P6" s="85">
        <f>1/VLOOKUP(J6,Cabos!$B$13:$F$46,5,0) * K6 * G6</f>
        <v>3.4806822137138883E-3</v>
      </c>
      <c r="Q6" t="str">
        <f t="shared" si="11"/>
        <v>26,8475147984776-6,96470034204444i</v>
      </c>
      <c r="R6" t="str">
        <f t="shared" si="12"/>
        <v>0,0242419086044011+0,0934476672414814i</v>
      </c>
      <c r="S6" t="str">
        <f t="shared" si="13"/>
        <v>1,29813798999423+2,33780653497285i</v>
      </c>
      <c r="T6" t="str">
        <f t="shared" si="14"/>
        <v>6,58151776947481E-07+0,00174152299829086i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529,295089092832+345,929506217471i</v>
      </c>
      <c r="Y6" s="81" t="str">
        <f t="shared" si="19"/>
        <v>8496,72880390967+345,929506217471i</v>
      </c>
      <c r="Z6" s="81" t="str">
        <f t="shared" si="20"/>
        <v>208,593271868121-95,4500733800647i</v>
      </c>
      <c r="AA6" s="83">
        <f t="shared" si="21"/>
        <v>1.0673157946553566</v>
      </c>
      <c r="AB6" s="83"/>
      <c r="AC6" s="83">
        <f t="shared" si="22"/>
        <v>0.58056202926215972</v>
      </c>
      <c r="AD6" s="83"/>
      <c r="AE6" s="88">
        <f t="shared" si="23"/>
        <v>5.2180243938925202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4.3604878778504032E-2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2.4</v>
      </c>
      <c r="P7" s="85">
        <f>1/VLOOKUP(J7,Cabos!$B$13:$F$46,5,0) * K7 * G7</f>
        <v>3.1984647369262755E-3</v>
      </c>
      <c r="Q7" t="str">
        <f t="shared" si="11"/>
        <v>28,7523591219329-8,73717088516636i</v>
      </c>
      <c r="R7" t="str">
        <f t="shared" si="12"/>
        <v>0,0279455329767036+0,091963406754943i</v>
      </c>
      <c r="S7" t="str">
        <f t="shared" si="13"/>
        <v>1,60289006696746+2,39830571289858i</v>
      </c>
      <c r="T7" t="str">
        <f t="shared" si="14"/>
        <v>6,86048271043025E-07+0,00160025581913686i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2501,37177213965+1231,38480604064i</v>
      </c>
      <c r="Y7" s="81" t="str">
        <f t="shared" si="19"/>
        <v>10468,8054869565+1231,38480604064i</v>
      </c>
      <c r="Z7" s="81" t="str">
        <f t="shared" si="20"/>
        <v>834,781638013241-466,988531057525i</v>
      </c>
      <c r="AA7" s="83">
        <f t="shared" si="21"/>
        <v>1.3230078106531049</v>
      </c>
      <c r="AB7" s="83"/>
      <c r="AC7" s="83">
        <f t="shared" si="22"/>
        <v>2.6386876301378943</v>
      </c>
      <c r="AD7" s="83"/>
      <c r="AE7" s="88">
        <f t="shared" si="23"/>
        <v>24.49237203211224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0.22461860160561198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2.4</v>
      </c>
      <c r="P8" s="85">
        <f>1/VLOOKUP(J8,Cabos!$B$13:$F$46,5,0) * K8 * G8</f>
        <v>3.1984647369262755E-3</v>
      </c>
      <c r="Q8" t="str">
        <f t="shared" si="11"/>
        <v>28,7523591219329-8,73717088516636i</v>
      </c>
      <c r="R8" t="str">
        <f t="shared" si="12"/>
        <v>0,0279455329767036+0,091963406754943i</v>
      </c>
      <c r="S8" t="str">
        <f t="shared" si="13"/>
        <v>1,60289006696746+2,39830571289858i</v>
      </c>
      <c r="T8" t="str">
        <f t="shared" si="14"/>
        <v>6,86048271043025E-07+0,00160025581913686i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1235,40114922768+625,917327454217i</v>
      </c>
      <c r="Y8" s="81" t="str">
        <f t="shared" si="19"/>
        <v>9202,83486404452+625,917327454217i</v>
      </c>
      <c r="Z8" s="81" t="str">
        <f t="shared" si="20"/>
        <v>417,379912069852-220,768785837324i</v>
      </c>
      <c r="AA8" s="83">
        <f t="shared" si="21"/>
        <v>1.1577248158108684</v>
      </c>
      <c r="AB8" s="83"/>
      <c r="AC8" s="83">
        <f t="shared" si="22"/>
        <v>1.3025389210326639</v>
      </c>
      <c r="AD8" s="83"/>
      <c r="AE8" s="88">
        <f t="shared" si="23"/>
        <v>11.108686193794981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0.11086861937949806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2.4</v>
      </c>
      <c r="P9" s="85">
        <f>1/VLOOKUP(J9,Cabos!$B$13:$F$46,5,0) * K9 * G9</f>
        <v>3.1984647369262755E-3</v>
      </c>
      <c r="Q9" t="str">
        <f t="shared" si="11"/>
        <v>28,7523591219329-8,73717088516636i</v>
      </c>
      <c r="R9" t="str">
        <f t="shared" si="12"/>
        <v>0,0279455329767036+0,091963406754943i</v>
      </c>
      <c r="S9" t="str">
        <f t="shared" si="13"/>
        <v>1,60289006696746+2,39830571289858i</v>
      </c>
      <c r="T9" t="str">
        <f t="shared" si="14"/>
        <v>6,86048271043025E-07+0,00160025581913686i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602,415837771697+323,183588161009i</v>
      </c>
      <c r="Y9" s="81" t="str">
        <f t="shared" si="19"/>
        <v>8569,84955258854+323,183588161009i</v>
      </c>
      <c r="Z9" s="81" t="str">
        <f t="shared" si="20"/>
        <v>208,679049098158-97,6589132272229i</v>
      </c>
      <c r="AA9" s="83">
        <f t="shared" si="21"/>
        <v>1.0763743503331511</v>
      </c>
      <c r="AB9" s="83"/>
      <c r="AC9" s="83">
        <f t="shared" si="22"/>
        <v>0.6355864994326057</v>
      </c>
      <c r="AD9" s="83"/>
      <c r="AE9" s="88">
        <f t="shared" si="23"/>
        <v>5.2703588926673106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5.4071778533462123E-2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0.42000000000000004</v>
      </c>
      <c r="P10" s="85">
        <f>1/VLOOKUP(J10,Cabos!$B$13:$F$46,5,0) * K10 * G10</f>
        <v>4.4098191974129061E-3</v>
      </c>
      <c r="Q10" t="str">
        <f t="shared" si="11"/>
        <v>10,7643889352312-4,54203359178778i</v>
      </c>
      <c r="R10" t="str">
        <f t="shared" si="12"/>
        <v>0,02002954692836+0,0474690089750017i</v>
      </c>
      <c r="S10" t="str">
        <f t="shared" si="13"/>
        <v>0,43094547148542+0,420006988227011i</v>
      </c>
      <c r="T10" t="str">
        <f t="shared" si="14"/>
        <v>3,49527782335104E-07+0,00220524990911433i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561,740848952662+145,048394873909i</v>
      </c>
      <c r="Y10" s="81" t="str">
        <f t="shared" si="19"/>
        <v>8529,1745637695+145,048394873909i</v>
      </c>
      <c r="Z10" s="81" t="str">
        <f t="shared" si="20"/>
        <v>836,425418627971-460,112880307089i</v>
      </c>
      <c r="AA10" s="83">
        <f t="shared" si="21"/>
        <v>1.0706594039048762</v>
      </c>
      <c r="AB10" s="83"/>
      <c r="AC10" s="83">
        <f t="shared" si="22"/>
        <v>1.1429912413293992</v>
      </c>
      <c r="AD10" s="83"/>
      <c r="AE10" s="88">
        <f t="shared" si="23"/>
        <v>21.201839310907769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6.0091965545388426E-2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0.42000000000000004</v>
      </c>
      <c r="P11" s="85">
        <f>1/VLOOKUP(J11,Cabos!$B$13:$F$46,5,0) * K11 * G11</f>
        <v>4.4098191974129061E-3</v>
      </c>
      <c r="Q11" t="str">
        <f t="shared" si="11"/>
        <v>10,7643889352312-4,54203359178778i</v>
      </c>
      <c r="R11" t="str">
        <f t="shared" si="12"/>
        <v>0,02002954692836+0,0474690089750017i</v>
      </c>
      <c r="S11" t="str">
        <f t="shared" si="13"/>
        <v>0,43094547148542+0,420006988227011i</v>
      </c>
      <c r="T11" t="str">
        <f t="shared" si="14"/>
        <v>3,49527782335104E-07+0,00220524990911433i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277,181224821241+76,3106775484554i</v>
      </c>
      <c r="Y11" s="81" t="str">
        <f t="shared" si="19"/>
        <v>8244,61493963808+76,3106775484554i</v>
      </c>
      <c r="Z11" s="81" t="str">
        <f t="shared" si="20"/>
        <v>418,207142729022-212,494391961795i</v>
      </c>
      <c r="AA11" s="83">
        <f t="shared" si="21"/>
        <v>1.0348335971362703</v>
      </c>
      <c r="AB11" s="83"/>
      <c r="AC11" s="83">
        <f t="shared" si="22"/>
        <v>0.56165711827759457</v>
      </c>
      <c r="AD11" s="83"/>
      <c r="AE11" s="88">
        <f t="shared" si="23"/>
        <v>10.295223797343601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2.9522379734360095E-2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0.42000000000000004</v>
      </c>
      <c r="P12" s="85">
        <f>1/VLOOKUP(J12,Cabos!$B$13:$F$46,5,0) * K12 * G12</f>
        <v>4.4098191974129061E-3</v>
      </c>
      <c r="Q12" t="str">
        <f t="shared" si="11"/>
        <v>10,7643889352312-4,54203359178778i</v>
      </c>
      <c r="R12" t="str">
        <f t="shared" si="12"/>
        <v>0,02002954692836+0,0474690089750017i</v>
      </c>
      <c r="S12" t="str">
        <f t="shared" si="13"/>
        <v>0,43094547148542+0,420006988227011i</v>
      </c>
      <c r="T12" t="str">
        <f t="shared" si="14"/>
        <v>3,49527782335104E-07+0,00220524990911433i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134,901412755532+41,9418188857292i</v>
      </c>
      <c r="Y12" s="81" t="str">
        <f t="shared" si="19"/>
        <v>8102,33512757237+41,9418188857292i</v>
      </c>
      <c r="Z12" s="81" t="str">
        <f t="shared" si="20"/>
        <v>209,098004779549-88,6851477891482i</v>
      </c>
      <c r="AA12" s="83">
        <f t="shared" si="21"/>
        <v>1.0169452264033121</v>
      </c>
      <c r="AB12" s="83"/>
      <c r="AC12" s="83">
        <f t="shared" si="22"/>
        <v>0.27194418787022939</v>
      </c>
      <c r="AD12" s="83"/>
      <c r="AE12" s="88">
        <f t="shared" si="23"/>
        <v>5.0713874784726301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1.4277495694526011E-2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0.21000000000000002</v>
      </c>
      <c r="P13" s="85">
        <f>1/VLOOKUP(J13,Cabos!$B$13:$F$46,5,0) * K13 * G13</f>
        <v>2.204909598706453E-3</v>
      </c>
      <c r="Q13" t="str">
        <f t="shared" si="11"/>
        <v>10,7643889352312-4,54203359178777i</v>
      </c>
      <c r="R13" t="str">
        <f t="shared" si="12"/>
        <v>0,01001477346418+0,0237345044875008i</v>
      </c>
      <c r="S13" t="str">
        <f t="shared" si="13"/>
        <v>0,215572556686914+0,210000875961978i</v>
      </c>
      <c r="T13" t="str">
        <f t="shared" si="14"/>
        <v>4,3678835063412E-08+0,00110249733847815i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282,79726005777+70,5796447794903i</v>
      </c>
      <c r="Y13" s="81" t="str">
        <f t="shared" si="19"/>
        <v>8250,23097487461+70,5796447794903i</v>
      </c>
      <c r="Z13" s="81" t="str">
        <f t="shared" si="20"/>
        <v>836,662415062855-478,612139673026i</v>
      </c>
      <c r="AA13" s="83">
        <f t="shared" si="21"/>
        <v>1.0355320376012098</v>
      </c>
      <c r="AB13" s="83"/>
      <c r="AC13" s="83">
        <f t="shared" si="22"/>
        <v>1.1540764229892346</v>
      </c>
      <c r="AD13" s="83"/>
      <c r="AE13" s="88">
        <f t="shared" si="23"/>
        <v>20.606633692379074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3.0331684618953681E-2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0.21000000000000002</v>
      </c>
      <c r="P14" s="85">
        <f>1/VLOOKUP(J14,Cabos!$B$13:$F$46,5,0) * K14 * G14</f>
        <v>2.204909598706453E-3</v>
      </c>
      <c r="Q14" t="str">
        <f t="shared" si="11"/>
        <v>10,7643889352312-4,54203359178777i</v>
      </c>
      <c r="R14" t="str">
        <f t="shared" si="12"/>
        <v>0,01001477346418+0,0237345044875008i</v>
      </c>
      <c r="S14" t="str">
        <f t="shared" si="13"/>
        <v>0,215572556686914+0,210000875961978i</v>
      </c>
      <c r="T14" t="str">
        <f t="shared" si="14"/>
        <v>4,3678835063412E-08+0,00110249733847815i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140,476335873304+36,2366616260444i</v>
      </c>
      <c r="Y14" s="81" t="str">
        <f t="shared" si="19"/>
        <v>8107,91005069014+36,2366616260444i</v>
      </c>
      <c r="Z14" s="81" t="str">
        <f t="shared" si="20"/>
        <v>418,330511611627-230,523012156921i</v>
      </c>
      <c r="AA14" s="83">
        <f t="shared" si="21"/>
        <v>1.0176414786378523</v>
      </c>
      <c r="AB14" s="83"/>
      <c r="AC14" s="83">
        <f t="shared" si="22"/>
        <v>0.57188861067774033</v>
      </c>
      <c r="AD14" s="83"/>
      <c r="AE14" s="88">
        <f t="shared" si="23"/>
        <v>10.150298325653131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1.502983256531305E-2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0.21000000000000002</v>
      </c>
      <c r="P15" s="85">
        <f>1/VLOOKUP(J15,Cabos!$B$13:$F$46,5,0) * K15 * G15</f>
        <v>2.204909598706453E-3</v>
      </c>
      <c r="Q15" t="str">
        <f t="shared" si="11"/>
        <v>10,7643889352312-4,54203359178777i</v>
      </c>
      <c r="R15" t="str">
        <f t="shared" si="12"/>
        <v>0,01001477346418+0,0237345044875008i</v>
      </c>
      <c r="S15" t="str">
        <f t="shared" si="13"/>
        <v>0,215572556686914+0,210000875961978i</v>
      </c>
      <c r="T15" t="str">
        <f t="shared" si="14"/>
        <v>4,3678835063412E-08+0,00110249733847815i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69,3158737810718+19,0651700493217i</v>
      </c>
      <c r="Y15" s="81" t="str">
        <f t="shared" si="19"/>
        <v>8036,74958859791+19,0651700493217i</v>
      </c>
      <c r="Z15" s="81" t="str">
        <f t="shared" si="20"/>
        <v>209,164559886015-106,478448398869i</v>
      </c>
      <c r="AA15" s="83">
        <f t="shared" si="21"/>
        <v>1.008702737907222</v>
      </c>
      <c r="AB15" s="83"/>
      <c r="AC15" s="83">
        <f t="shared" si="22"/>
        <v>0.28101916564279406</v>
      </c>
      <c r="AD15" s="83"/>
      <c r="AE15" s="88">
        <f t="shared" si="23"/>
        <v>5.0369194826636399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7.3838965327279737E-3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0.126</v>
      </c>
      <c r="P16" s="85">
        <f>1/VLOOKUP(J16,Cabos!$B$13:$F$46,5,0) * K16 * G16</f>
        <v>1.322945759223872E-3</v>
      </c>
      <c r="Q16" t="str">
        <f t="shared" si="11"/>
        <v>10,7643889352312-4,54203359178778i</v>
      </c>
      <c r="R16" t="str">
        <f t="shared" si="12"/>
        <v>0,006008864078508+0,0142407026925005i</v>
      </c>
      <c r="S16" t="str">
        <f t="shared" si="13"/>
        <v>0,129356312140751+0,126000189319936i</v>
      </c>
      <c r="T16" t="str">
        <f t="shared" si="14"/>
        <v>9,43406980480808E-09+0,000661482068077119i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170,131583131934+41,8867121072108i</v>
      </c>
      <c r="Y16" s="81" t="str">
        <f t="shared" si="19"/>
        <v>8137,56529794877+41,8867121072108i</v>
      </c>
      <c r="Z16" s="81" t="str">
        <f t="shared" si="20"/>
        <v>836,711965191409-485,838906464073i</v>
      </c>
      <c r="AA16" s="83">
        <f t="shared" si="21"/>
        <v>1.021366903173591</v>
      </c>
      <c r="AB16" s="83"/>
      <c r="AC16" s="83">
        <f t="shared" si="22"/>
        <v>1.1584485508529649</v>
      </c>
      <c r="AD16" s="83"/>
      <c r="AE16" s="88">
        <f t="shared" si="23"/>
        <v>20.365344173743768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1.8267208687188407E-2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0.126</v>
      </c>
      <c r="P17" s="85">
        <f>1/VLOOKUP(J17,Cabos!$B$13:$F$46,5,0) * K17 * G17</f>
        <v>1.322945759223872E-3</v>
      </c>
      <c r="Q17" t="str">
        <f t="shared" si="11"/>
        <v>10,7643889352312-4,54203359178778i</v>
      </c>
      <c r="R17" t="str">
        <f t="shared" si="12"/>
        <v>0,006008864078508+0,0142407026925005i</v>
      </c>
      <c r="S17" t="str">
        <f t="shared" si="13"/>
        <v>0,129356312140751+0,126000189319936i</v>
      </c>
      <c r="T17" t="str">
        <f t="shared" si="14"/>
        <v>9,43406980480808E-09+0,000661482068077119i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84,7337661131844+21,2842350148003i</v>
      </c>
      <c r="Y17" s="81" t="str">
        <f t="shared" si="19"/>
        <v>8052,16748093002+21,2842350148003i</v>
      </c>
      <c r="Z17" s="81" t="str">
        <f t="shared" si="20"/>
        <v>418,355832272578-237,64935832676i</v>
      </c>
      <c r="AA17" s="83">
        <f t="shared" si="21"/>
        <v>1.0106385442701917</v>
      </c>
      <c r="AB17" s="83"/>
      <c r="AC17" s="83">
        <f t="shared" si="22"/>
        <v>0.57608146864266052</v>
      </c>
      <c r="AD17" s="83"/>
      <c r="AE17" s="88">
        <f t="shared" si="23"/>
        <v>10.09083912986676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9.0839129866759905E-3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0.126</v>
      </c>
      <c r="P18" s="85">
        <f>1/VLOOKUP(J18,Cabos!$B$13:$F$46,5,0) * K18 * G18</f>
        <v>1.322945759223872E-3</v>
      </c>
      <c r="Q18" t="str">
        <f t="shared" si="11"/>
        <v>10,7643889352312-4,54203359178778i</v>
      </c>
      <c r="R18" t="str">
        <f t="shared" si="12"/>
        <v>0,006008864078508+0,0142407026925005i</v>
      </c>
      <c r="S18" t="str">
        <f t="shared" si="13"/>
        <v>0,129356312140751+0,126000189319936i</v>
      </c>
      <c r="T18" t="str">
        <f t="shared" si="14"/>
        <v>9,43406980480808E-09+0,000661482068077119i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-0,664050905565255+0,681757922390066i</v>
      </c>
      <c r="Y18" s="81" t="str">
        <f t="shared" si="19"/>
        <v>7966,76966391127+0,681757922390066i</v>
      </c>
      <c r="Z18" s="81" t="str">
        <f t="shared" si="20"/>
        <v>-0,000300646253470201+10,5401898105542i</v>
      </c>
      <c r="AA18" s="83">
        <f t="shared" si="21"/>
        <v>0.99991665801579921</v>
      </c>
      <c r="AB18" s="83"/>
      <c r="AC18" s="83">
        <f t="shared" si="22"/>
        <v>1.2619959069494716E-2</v>
      </c>
      <c r="AD18" s="83"/>
      <c r="AE18" s="88">
        <f t="shared" si="23"/>
        <v>1.4372035365376201E-5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199">
        <v>183</v>
      </c>
      <c r="C28" s="206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0"/>
      <c r="C29" s="204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0"/>
      <c r="C30" s="204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0"/>
      <c r="C31" s="204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0"/>
      <c r="C32" s="204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1"/>
      <c r="C33" s="205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2">
        <v>200</v>
      </c>
      <c r="C34" s="207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0"/>
      <c r="C35" s="204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0"/>
      <c r="C36" s="204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0"/>
      <c r="C37" s="204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0"/>
      <c r="C38" s="204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1"/>
      <c r="C39" s="205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03">
        <v>325</v>
      </c>
      <c r="C40" s="208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0"/>
      <c r="C41" s="204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0"/>
      <c r="C42" s="204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0"/>
      <c r="C43" s="204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0"/>
      <c r="C44" s="204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1"/>
      <c r="C45" s="205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0">
        <v>183</v>
      </c>
      <c r="C52" s="204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0"/>
      <c r="C53" s="204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0">
        <v>200</v>
      </c>
      <c r="C54" s="204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0"/>
      <c r="C55" s="204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0">
        <v>325</v>
      </c>
      <c r="C56" s="204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0"/>
      <c r="C57" s="204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0">
        <v>183</v>
      </c>
      <c r="C65" s="204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0"/>
      <c r="C66" s="204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B65:B66"/>
    <mergeCell ref="C65:C66"/>
    <mergeCell ref="B54:B55"/>
    <mergeCell ref="C54:C55"/>
    <mergeCell ref="B56:B57"/>
    <mergeCell ref="C56:C57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D1:E1"/>
    <mergeCell ref="J1:M1"/>
    <mergeCell ref="B28:B33"/>
    <mergeCell ref="B34:B39"/>
    <mergeCell ref="B40:B45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activeCell="G9" sqref="G9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7" x14ac:dyDescent="0.25">
      <c r="A1" t="s">
        <v>5</v>
      </c>
    </row>
    <row r="2" spans="1:7" x14ac:dyDescent="0.25">
      <c r="A2">
        <v>6.6</v>
      </c>
    </row>
    <row r="3" spans="1:7" x14ac:dyDescent="0.25">
      <c r="A3">
        <v>26</v>
      </c>
      <c r="D3">
        <v>200</v>
      </c>
    </row>
    <row r="4" spans="1:7" x14ac:dyDescent="0.25">
      <c r="A4">
        <v>26.5</v>
      </c>
      <c r="D4" s="3">
        <f>'Dados Típicos'!O43</f>
        <v>316.66666666666669</v>
      </c>
    </row>
    <row r="5" spans="1:7" x14ac:dyDescent="0.25">
      <c r="A5">
        <v>9</v>
      </c>
      <c r="C5">
        <v>220</v>
      </c>
      <c r="D5">
        <f>C5/1.2</f>
        <v>183.33333333333334</v>
      </c>
    </row>
    <row r="6" spans="1:7" x14ac:dyDescent="0.25">
      <c r="A6">
        <v>6.9</v>
      </c>
    </row>
    <row r="8" spans="1:7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7" ht="17.25" x14ac:dyDescent="0.25">
      <c r="B9" s="2" t="s">
        <v>143</v>
      </c>
      <c r="C9" s="3">
        <f>'Dados Típicos'!G14</f>
        <v>130.5</v>
      </c>
      <c r="D9">
        <v>0.53834500000000007</v>
      </c>
      <c r="E9">
        <v>0.157</v>
      </c>
      <c r="F9" s="77">
        <v>11132</v>
      </c>
      <c r="G9">
        <v>180</v>
      </c>
    </row>
    <row r="10" spans="1:7" ht="17.25" x14ac:dyDescent="0.25">
      <c r="B10" s="2" t="s">
        <v>142</v>
      </c>
      <c r="C10" s="3">
        <f>'Dados Típicos'!O14</f>
        <v>153.70000000000002</v>
      </c>
      <c r="D10">
        <v>0.495</v>
      </c>
      <c r="E10">
        <v>0.14899999999999999</v>
      </c>
      <c r="F10" s="77">
        <v>9958</v>
      </c>
      <c r="G10">
        <v>200</v>
      </c>
    </row>
    <row r="11" spans="1:7" ht="17.25" x14ac:dyDescent="0.25">
      <c r="B11" s="2" t="s">
        <v>141</v>
      </c>
      <c r="C11" s="3">
        <f>'Dados Típicos'!G23</f>
        <v>187.05</v>
      </c>
      <c r="D11">
        <v>0.34399999999999997</v>
      </c>
      <c r="E11">
        <v>0.14099999999999999</v>
      </c>
      <c r="F11" s="77">
        <v>8949</v>
      </c>
      <c r="G11">
        <v>220</v>
      </c>
    </row>
    <row r="12" spans="1:7" ht="17.25" x14ac:dyDescent="0.25">
      <c r="B12" s="2" t="s">
        <v>140</v>
      </c>
      <c r="C12" s="3">
        <f>'Dados Típicos'!O23</f>
        <v>221.85</v>
      </c>
      <c r="D12">
        <v>0.248</v>
      </c>
      <c r="E12">
        <v>0.13500000000000001</v>
      </c>
      <c r="F12" s="77">
        <v>8025</v>
      </c>
      <c r="G12">
        <v>248.6</v>
      </c>
    </row>
    <row r="13" spans="1:7" ht="18" customHeight="1" x14ac:dyDescent="0.25">
      <c r="B13" s="2" t="s">
        <v>84</v>
      </c>
      <c r="C13" s="3">
        <f>'Dados Típicos'!G32</f>
        <v>250.85</v>
      </c>
      <c r="D13" s="76">
        <v>0.1582895</v>
      </c>
      <c r="E13">
        <v>0.13</v>
      </c>
      <c r="F13" s="77">
        <v>7363</v>
      </c>
      <c r="G13">
        <v>273.89999999999998</v>
      </c>
    </row>
    <row r="14" spans="1:7" ht="18" customHeight="1" x14ac:dyDescent="0.25">
      <c r="B14" s="2" t="s">
        <v>85</v>
      </c>
      <c r="C14" s="3">
        <f>'Dados Típicos'!O32</f>
        <v>278.39999999999998</v>
      </c>
      <c r="D14" s="76">
        <v>0.12936349999999999</v>
      </c>
      <c r="E14">
        <v>0.126</v>
      </c>
      <c r="F14" s="77">
        <v>6803</v>
      </c>
      <c r="G14">
        <v>299.2</v>
      </c>
    </row>
    <row r="15" spans="1:7" ht="18" customHeight="1" x14ac:dyDescent="0.25">
      <c r="B15" s="2" t="s">
        <v>86</v>
      </c>
      <c r="C15" s="3">
        <f>'Dados Típicos'!G41</f>
        <v>311.02500000000003</v>
      </c>
      <c r="D15" s="76">
        <v>0.10365150000000001</v>
      </c>
      <c r="E15">
        <v>0.122</v>
      </c>
      <c r="F15" s="77">
        <v>6292</v>
      </c>
      <c r="G15">
        <v>341</v>
      </c>
    </row>
    <row r="16" spans="1:7" ht="18" customHeight="1" x14ac:dyDescent="0.25">
      <c r="B16" s="2" t="s">
        <v>87</v>
      </c>
      <c r="C16" s="3">
        <f>'Dados Típicos'!O41</f>
        <v>362.5</v>
      </c>
      <c r="D16" s="76">
        <v>8.0350000000000005E-2</v>
      </c>
      <c r="E16">
        <v>0.12</v>
      </c>
      <c r="F16" s="77">
        <v>6253</v>
      </c>
      <c r="G16">
        <v>382.8</v>
      </c>
    </row>
    <row r="17" spans="2:7" ht="18" customHeight="1" x14ac:dyDescent="0.25">
      <c r="B17" s="2" t="s">
        <v>88</v>
      </c>
      <c r="C17" s="3">
        <f>'Dados Típicos'!G50</f>
        <v>395.125</v>
      </c>
      <c r="D17" s="76">
        <v>6.5083500000000002E-2</v>
      </c>
      <c r="E17">
        <v>0.11700000000000001</v>
      </c>
      <c r="F17" s="77">
        <v>5746</v>
      </c>
      <c r="G17">
        <v>478.5</v>
      </c>
    </row>
    <row r="18" spans="2:7" ht="18" customHeight="1" x14ac:dyDescent="0.25">
      <c r="B18" s="2" t="s">
        <v>89</v>
      </c>
      <c r="C18" s="3">
        <f>'Dados Típicos'!O50</f>
        <v>435</v>
      </c>
      <c r="D18" s="76">
        <v>5.3031000000000002E-2</v>
      </c>
      <c r="E18">
        <v>0.112</v>
      </c>
      <c r="F18" s="77">
        <v>5105</v>
      </c>
      <c r="G18">
        <v>526.78899082568807</v>
      </c>
    </row>
    <row r="19" spans="2:7" ht="18" customHeight="1" x14ac:dyDescent="0.25">
      <c r="B19" s="2" t="s">
        <v>90</v>
      </c>
      <c r="C19" s="3">
        <f>'Dados Típicos'!G60</f>
        <v>477.77500000000003</v>
      </c>
      <c r="D19" s="76">
        <v>4.7490500000000005E-2</v>
      </c>
      <c r="E19">
        <v>0.112</v>
      </c>
      <c r="F19" s="77">
        <v>4669</v>
      </c>
      <c r="G19">
        <v>578.58990825688068</v>
      </c>
    </row>
    <row r="20" spans="2:7" ht="18" customHeight="1" x14ac:dyDescent="0.25">
      <c r="B20" s="2" t="s">
        <v>137</v>
      </c>
      <c r="C20" s="3">
        <f>'Dados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</row>
    <row r="21" spans="2:7" ht="18" customHeight="1" x14ac:dyDescent="0.25">
      <c r="B21" s="2" t="s">
        <v>147</v>
      </c>
      <c r="C21" s="3"/>
      <c r="D21" s="76"/>
      <c r="F21" s="77"/>
    </row>
    <row r="22" spans="2:7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460</v>
      </c>
    </row>
    <row r="23" spans="2:7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466.66666666666669</v>
      </c>
    </row>
    <row r="24" spans="2:7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468</v>
      </c>
    </row>
    <row r="25" spans="2:7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0.13</v>
      </c>
      <c r="F25" s="96">
        <v>14663</v>
      </c>
      <c r="G25">
        <v>468.66666666666669</v>
      </c>
    </row>
    <row r="26" spans="2:7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0.126</v>
      </c>
      <c r="F26" s="96">
        <v>13715</v>
      </c>
      <c r="G26">
        <v>470</v>
      </c>
    </row>
    <row r="27" spans="2:7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0.122</v>
      </c>
      <c r="F27" s="96">
        <v>12781</v>
      </c>
      <c r="G27">
        <v>473.33333333333331</v>
      </c>
    </row>
    <row r="28" spans="2:7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0.12</v>
      </c>
      <c r="F28" s="96">
        <v>11528</v>
      </c>
      <c r="G28">
        <v>476.66666666666669</v>
      </c>
    </row>
    <row r="29" spans="2:7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0.11700000000000001</v>
      </c>
      <c r="F29" s="96">
        <v>10665</v>
      </c>
      <c r="G29">
        <v>480</v>
      </c>
    </row>
    <row r="30" spans="2:7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0.112</v>
      </c>
      <c r="F30" s="96">
        <v>9879</v>
      </c>
      <c r="G30">
        <v>528</v>
      </c>
    </row>
    <row r="31" spans="2:7" ht="18" customHeight="1" x14ac:dyDescent="0.25">
      <c r="B31" s="2" t="s">
        <v>15</v>
      </c>
      <c r="C31" s="93">
        <f>C19</f>
        <v>477.77500000000003</v>
      </c>
      <c r="D31" s="95">
        <v>3.573614130444993E-2</v>
      </c>
      <c r="E31" s="95">
        <v>0.10871469193119648</v>
      </c>
      <c r="F31" s="95">
        <v>9145.1924066778101</v>
      </c>
      <c r="G31">
        <v>633.59999999999991</v>
      </c>
    </row>
    <row r="32" spans="2:7" ht="18" customHeight="1" x14ac:dyDescent="0.25">
      <c r="B32" s="2" t="s">
        <v>162</v>
      </c>
      <c r="C32" s="93">
        <f>C20</f>
        <v>522.72500000000002</v>
      </c>
      <c r="D32" s="95">
        <v>2.7089942625214865E-2</v>
      </c>
      <c r="E32" s="95">
        <v>0.10556945599765377</v>
      </c>
      <c r="F32" s="95">
        <v>8442.0766014552264</v>
      </c>
      <c r="G32">
        <v>739.19999999999993</v>
      </c>
    </row>
    <row r="33" spans="2:12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2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2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2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2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2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2" ht="18" customHeight="1" x14ac:dyDescent="0.25">
      <c r="B39" s="2" t="s">
        <v>27</v>
      </c>
      <c r="C39" s="93"/>
      <c r="D39" s="94"/>
      <c r="E39" s="95"/>
      <c r="F39" s="95"/>
    </row>
    <row r="40" spans="2:12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2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2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2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2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2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2" ht="18" customHeight="1" x14ac:dyDescent="0.25">
      <c r="B46" s="2" t="s">
        <v>116</v>
      </c>
      <c r="C46" s="93"/>
      <c r="D46" s="94"/>
      <c r="E46" s="95"/>
      <c r="F46" s="95"/>
    </row>
    <row r="47" spans="2:12" ht="18" customHeight="1" x14ac:dyDescent="0.25"/>
    <row r="48" spans="2:12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100</v>
      </c>
      <c r="I48">
        <v>84</v>
      </c>
      <c r="J48">
        <v>80</v>
      </c>
      <c r="K48">
        <v>75</v>
      </c>
      <c r="L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71" si="5">C9</f>
        <v>130.5</v>
      </c>
      <c r="D49">
        <f t="shared" si="5"/>
        <v>0.53834500000000007</v>
      </c>
      <c r="E49" s="152">
        <f t="shared" si="5"/>
        <v>0.157</v>
      </c>
      <c r="F49" s="3">
        <f t="shared" si="5"/>
        <v>11132</v>
      </c>
      <c r="H49">
        <f>($E49)*$H$48/60</f>
        <v>0.26166666666666666</v>
      </c>
      <c r="I49">
        <f>($E49)*$I$48/60</f>
        <v>0.21980000000000002</v>
      </c>
      <c r="J49">
        <f>($E49)*$J$48/60</f>
        <v>0.20933333333333334</v>
      </c>
      <c r="K49">
        <f>($E49)*$K$48/60</f>
        <v>0.19625000000000001</v>
      </c>
      <c r="L49">
        <f>($E49)*$L$48/60</f>
        <v>0.157</v>
      </c>
      <c r="M49">
        <f>$F49*60/$H$48</f>
        <v>6679.2</v>
      </c>
      <c r="N49">
        <f>$F49*60/$I$48</f>
        <v>7951.4285714285716</v>
      </c>
      <c r="O49">
        <f>$F49*60/$J$48</f>
        <v>8349</v>
      </c>
      <c r="P49">
        <f>$F49*60/$K$48</f>
        <v>8905.6</v>
      </c>
      <c r="Q49">
        <f>$F49*60/$L$48</f>
        <v>11132</v>
      </c>
      <c r="R49">
        <f>$D49*(1+(1-(60/$H$48)))</f>
        <v>0.7536830000000001</v>
      </c>
      <c r="S49">
        <f>$D49*(1+(1-(60/$I$48)))</f>
        <v>0.69215785714285716</v>
      </c>
      <c r="T49">
        <f>$D49*(1+(1-(60/$J$48)))</f>
        <v>0.67293125000000009</v>
      </c>
      <c r="U49">
        <f>$D49*(1+(1-(60/$K$48)))</f>
        <v>0.64601400000000009</v>
      </c>
      <c r="V49">
        <f>$D49*(1+(1-(60/$L$48)))</f>
        <v>0.53834500000000007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0.14899999999999999</v>
      </c>
      <c r="F50" s="3">
        <f t="shared" si="5"/>
        <v>9958</v>
      </c>
      <c r="H50">
        <f t="shared" ref="H50:H60" si="6">($E50)*$H$48/60</f>
        <v>0.24833333333333332</v>
      </c>
      <c r="I50">
        <f t="shared" ref="I50:I60" si="7">($E50)*$I$48/60</f>
        <v>0.20860000000000001</v>
      </c>
      <c r="J50">
        <f t="shared" ref="J50:J60" si="8">($E50)*$J$48/60</f>
        <v>0.19866666666666666</v>
      </c>
      <c r="K50">
        <f t="shared" ref="K50:K60" si="9">($E50)*$K$48/60</f>
        <v>0.18624999999999997</v>
      </c>
      <c r="L50">
        <f t="shared" ref="L50:L60" si="10">($E50)*$L$48/60</f>
        <v>0.14899999999999999</v>
      </c>
      <c r="M50">
        <f t="shared" ref="M50:M60" si="11">$F50*60/$H$48</f>
        <v>5974.8</v>
      </c>
      <c r="N50">
        <f t="shared" ref="N50:N60" si="12">$F50*60/$I$48</f>
        <v>7112.8571428571431</v>
      </c>
      <c r="O50">
        <f t="shared" ref="O50:O60" si="13">$F50*60/$J$48</f>
        <v>7468.5</v>
      </c>
      <c r="P50">
        <f t="shared" ref="P50:P60" si="14">$F50*60/$K$48</f>
        <v>7966.4</v>
      </c>
      <c r="Q50">
        <f t="shared" ref="Q50:Q60" si="15">$F50*60/$L$48</f>
        <v>9958</v>
      </c>
      <c r="R50">
        <f t="shared" ref="R50:R59" si="16">$D50*(1+(1-(60/$H$48)))</f>
        <v>0.69299999999999995</v>
      </c>
      <c r="S50">
        <f t="shared" ref="S50:S60" si="17">$D50*(1+(1-(60/$I$48)))</f>
        <v>0.63642857142857134</v>
      </c>
      <c r="T50">
        <f t="shared" ref="T50:T60" si="18">$D50*(1+(1-(60/$J$48)))</f>
        <v>0.61875000000000002</v>
      </c>
      <c r="U50">
        <f t="shared" ref="U50:U60" si="19">$D50*(1+(1-(60/$K$48)))</f>
        <v>0.59399999999999997</v>
      </c>
      <c r="V50">
        <f t="shared" ref="V50:V60" si="20">$D50*(1+(1-(60/$L$48)))</f>
        <v>0.495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0.14099999999999999</v>
      </c>
      <c r="F51" s="3">
        <f t="shared" si="5"/>
        <v>8949</v>
      </c>
      <c r="H51">
        <f t="shared" si="6"/>
        <v>0.23499999999999996</v>
      </c>
      <c r="I51">
        <f t="shared" si="7"/>
        <v>0.19739999999999999</v>
      </c>
      <c r="J51">
        <f t="shared" si="8"/>
        <v>0.188</v>
      </c>
      <c r="K51">
        <f t="shared" si="9"/>
        <v>0.17624999999999999</v>
      </c>
      <c r="L51">
        <f t="shared" si="10"/>
        <v>0.14099999999999999</v>
      </c>
      <c r="M51">
        <f t="shared" si="11"/>
        <v>5369.4</v>
      </c>
      <c r="N51">
        <f t="shared" si="12"/>
        <v>6392.1428571428569</v>
      </c>
      <c r="O51">
        <f t="shared" si="13"/>
        <v>6711.75</v>
      </c>
      <c r="P51">
        <f t="shared" si="14"/>
        <v>7159.2</v>
      </c>
      <c r="Q51">
        <f t="shared" si="15"/>
        <v>8949</v>
      </c>
      <c r="R51">
        <f t="shared" si="16"/>
        <v>0.48159999999999992</v>
      </c>
      <c r="S51">
        <f t="shared" si="17"/>
        <v>0.44228571428571423</v>
      </c>
      <c r="T51">
        <f t="shared" si="18"/>
        <v>0.42999999999999994</v>
      </c>
      <c r="U51">
        <f t="shared" si="19"/>
        <v>0.41279999999999994</v>
      </c>
      <c r="V51">
        <f t="shared" si="20"/>
        <v>0.34399999999999997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0.13500000000000001</v>
      </c>
      <c r="F52" s="3">
        <f t="shared" si="5"/>
        <v>8025</v>
      </c>
      <c r="H52">
        <f t="shared" si="6"/>
        <v>0.22500000000000001</v>
      </c>
      <c r="I52">
        <f t="shared" si="7"/>
        <v>0.189</v>
      </c>
      <c r="J52">
        <f t="shared" si="8"/>
        <v>0.18000000000000002</v>
      </c>
      <c r="K52">
        <f t="shared" si="9"/>
        <v>0.16875000000000001</v>
      </c>
      <c r="L52">
        <f t="shared" si="10"/>
        <v>0.13500000000000004</v>
      </c>
      <c r="M52">
        <f t="shared" si="11"/>
        <v>4815</v>
      </c>
      <c r="N52">
        <f t="shared" si="12"/>
        <v>5732.1428571428569</v>
      </c>
      <c r="O52">
        <f t="shared" si="13"/>
        <v>6018.75</v>
      </c>
      <c r="P52">
        <f t="shared" si="14"/>
        <v>6420</v>
      </c>
      <c r="Q52">
        <f t="shared" si="15"/>
        <v>8025</v>
      </c>
      <c r="R52">
        <f t="shared" si="16"/>
        <v>0.34719999999999995</v>
      </c>
      <c r="S52">
        <f t="shared" si="17"/>
        <v>0.31885714285714284</v>
      </c>
      <c r="T52">
        <f t="shared" si="18"/>
        <v>0.31</v>
      </c>
      <c r="U52">
        <f t="shared" si="19"/>
        <v>0.29759999999999998</v>
      </c>
      <c r="V52">
        <f t="shared" si="20"/>
        <v>0.248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</v>
      </c>
      <c r="F53" s="3">
        <f t="shared" si="5"/>
        <v>7363</v>
      </c>
      <c r="H53">
        <f t="shared" si="6"/>
        <v>0.21666666666666667</v>
      </c>
      <c r="I53">
        <f t="shared" si="7"/>
        <v>0.182</v>
      </c>
      <c r="J53">
        <f t="shared" si="8"/>
        <v>0.17333333333333334</v>
      </c>
      <c r="K53">
        <f t="shared" si="9"/>
        <v>0.16250000000000001</v>
      </c>
      <c r="L53">
        <f t="shared" si="10"/>
        <v>0.13</v>
      </c>
      <c r="M53">
        <f t="shared" si="11"/>
        <v>4417.8</v>
      </c>
      <c r="N53">
        <f t="shared" si="12"/>
        <v>5259.2857142857147</v>
      </c>
      <c r="O53">
        <f t="shared" si="13"/>
        <v>5522.25</v>
      </c>
      <c r="P53">
        <f t="shared" si="14"/>
        <v>5890.4</v>
      </c>
      <c r="Q53">
        <f t="shared" si="15"/>
        <v>7363</v>
      </c>
      <c r="R53">
        <f t="shared" si="16"/>
        <v>0.22160529999999998</v>
      </c>
      <c r="S53">
        <f t="shared" si="17"/>
        <v>0.20351507142857142</v>
      </c>
      <c r="T53">
        <f t="shared" si="18"/>
        <v>0.19786187499999999</v>
      </c>
      <c r="U53">
        <f t="shared" si="19"/>
        <v>0.18994739999999999</v>
      </c>
      <c r="V53">
        <f t="shared" si="20"/>
        <v>0.1582895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0.126</v>
      </c>
      <c r="F54" s="3">
        <f t="shared" si="5"/>
        <v>6803</v>
      </c>
      <c r="H54">
        <f t="shared" si="6"/>
        <v>0.21</v>
      </c>
      <c r="I54">
        <f t="shared" si="7"/>
        <v>0.1764</v>
      </c>
      <c r="J54">
        <f t="shared" si="8"/>
        <v>0.16800000000000001</v>
      </c>
      <c r="K54">
        <f t="shared" si="9"/>
        <v>0.1575</v>
      </c>
      <c r="L54">
        <f t="shared" si="10"/>
        <v>0.126</v>
      </c>
      <c r="M54">
        <f t="shared" si="11"/>
        <v>4081.8</v>
      </c>
      <c r="N54">
        <f t="shared" si="12"/>
        <v>4859.2857142857147</v>
      </c>
      <c r="O54">
        <f t="shared" si="13"/>
        <v>5102.25</v>
      </c>
      <c r="P54">
        <f t="shared" si="14"/>
        <v>5442.4</v>
      </c>
      <c r="Q54">
        <f t="shared" si="15"/>
        <v>6803</v>
      </c>
      <c r="R54">
        <f t="shared" si="16"/>
        <v>0.18110889999999999</v>
      </c>
      <c r="S54">
        <f t="shared" si="17"/>
        <v>0.16632449999999999</v>
      </c>
      <c r="T54">
        <f t="shared" si="18"/>
        <v>0.16170437499999998</v>
      </c>
      <c r="U54">
        <f t="shared" si="19"/>
        <v>0.15523619999999999</v>
      </c>
      <c r="V54">
        <f t="shared" si="20"/>
        <v>0.12936349999999999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0.122</v>
      </c>
      <c r="F55" s="3">
        <f t="shared" si="5"/>
        <v>6292</v>
      </c>
      <c r="H55">
        <f t="shared" si="6"/>
        <v>0.20333333333333331</v>
      </c>
      <c r="I55">
        <f t="shared" si="7"/>
        <v>0.17079999999999998</v>
      </c>
      <c r="J55">
        <f t="shared" si="8"/>
        <v>0.16266666666666665</v>
      </c>
      <c r="K55">
        <f t="shared" si="9"/>
        <v>0.1525</v>
      </c>
      <c r="L55">
        <f t="shared" si="10"/>
        <v>0.12200000000000001</v>
      </c>
      <c r="M55">
        <f t="shared" si="11"/>
        <v>3775.2</v>
      </c>
      <c r="N55">
        <f t="shared" si="12"/>
        <v>4494.2857142857147</v>
      </c>
      <c r="O55">
        <f t="shared" si="13"/>
        <v>4719</v>
      </c>
      <c r="P55">
        <f t="shared" si="14"/>
        <v>5033.6000000000004</v>
      </c>
      <c r="Q55">
        <f t="shared" si="15"/>
        <v>6292</v>
      </c>
      <c r="R55">
        <f t="shared" si="16"/>
        <v>0.14511209999999999</v>
      </c>
      <c r="S55">
        <f t="shared" si="17"/>
        <v>0.13326621428571428</v>
      </c>
      <c r="T55">
        <f t="shared" si="18"/>
        <v>0.12956437500000001</v>
      </c>
      <c r="U55">
        <f t="shared" si="19"/>
        <v>0.1243818</v>
      </c>
      <c r="V55">
        <f t="shared" si="20"/>
        <v>0.10365150000000001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</v>
      </c>
      <c r="F56" s="3">
        <f t="shared" si="5"/>
        <v>6253</v>
      </c>
      <c r="H56">
        <f t="shared" si="6"/>
        <v>0.2</v>
      </c>
      <c r="I56">
        <f t="shared" si="7"/>
        <v>0.16800000000000001</v>
      </c>
      <c r="J56">
        <f t="shared" si="8"/>
        <v>0.16</v>
      </c>
      <c r="K56">
        <f t="shared" si="9"/>
        <v>0.15</v>
      </c>
      <c r="L56">
        <f t="shared" si="10"/>
        <v>0.11999999999999998</v>
      </c>
      <c r="M56">
        <f t="shared" si="11"/>
        <v>3751.8</v>
      </c>
      <c r="N56">
        <f t="shared" si="12"/>
        <v>4466.4285714285716</v>
      </c>
      <c r="O56">
        <f t="shared" si="13"/>
        <v>4689.75</v>
      </c>
      <c r="P56">
        <f t="shared" si="14"/>
        <v>5002.3999999999996</v>
      </c>
      <c r="Q56">
        <f t="shared" si="15"/>
        <v>6253</v>
      </c>
      <c r="R56">
        <f t="shared" si="16"/>
        <v>0.11248999999999999</v>
      </c>
      <c r="S56">
        <f t="shared" si="17"/>
        <v>0.10330714285714285</v>
      </c>
      <c r="T56">
        <f t="shared" si="18"/>
        <v>0.10043750000000001</v>
      </c>
      <c r="U56">
        <f t="shared" si="19"/>
        <v>9.6420000000000006E-2</v>
      </c>
      <c r="V56">
        <f t="shared" si="20"/>
        <v>8.0350000000000005E-2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0.11700000000000001</v>
      </c>
      <c r="F57" s="3">
        <f t="shared" si="5"/>
        <v>5746</v>
      </c>
      <c r="H57">
        <f t="shared" si="6"/>
        <v>0.19500000000000001</v>
      </c>
      <c r="I57">
        <f t="shared" si="7"/>
        <v>0.16380000000000003</v>
      </c>
      <c r="J57">
        <f t="shared" si="8"/>
        <v>0.15600000000000003</v>
      </c>
      <c r="K57">
        <f t="shared" si="9"/>
        <v>0.14625000000000002</v>
      </c>
      <c r="L57">
        <f t="shared" si="10"/>
        <v>0.11700000000000001</v>
      </c>
      <c r="M57">
        <f t="shared" si="11"/>
        <v>3447.6</v>
      </c>
      <c r="N57">
        <f t="shared" si="12"/>
        <v>4104.2857142857147</v>
      </c>
      <c r="O57">
        <f t="shared" si="13"/>
        <v>4309.5</v>
      </c>
      <c r="P57">
        <f t="shared" si="14"/>
        <v>4596.8</v>
      </c>
      <c r="Q57">
        <f t="shared" si="15"/>
        <v>5746</v>
      </c>
      <c r="R57">
        <f t="shared" si="16"/>
        <v>9.1116900000000001E-2</v>
      </c>
      <c r="S57">
        <f t="shared" si="17"/>
        <v>8.3678785714285706E-2</v>
      </c>
      <c r="T57">
        <f t="shared" si="18"/>
        <v>8.1354375000000007E-2</v>
      </c>
      <c r="U57">
        <f t="shared" si="19"/>
        <v>7.8100199999999995E-2</v>
      </c>
      <c r="V57">
        <f t="shared" si="20"/>
        <v>6.5083500000000002E-2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0.112</v>
      </c>
      <c r="F58" s="3">
        <f t="shared" si="5"/>
        <v>5105</v>
      </c>
      <c r="H58">
        <f t="shared" si="6"/>
        <v>0.18666666666666668</v>
      </c>
      <c r="I58">
        <f t="shared" si="7"/>
        <v>0.15679999999999999</v>
      </c>
      <c r="J58">
        <f t="shared" si="8"/>
        <v>0.14933333333333335</v>
      </c>
      <c r="K58">
        <f t="shared" si="9"/>
        <v>0.14000000000000001</v>
      </c>
      <c r="L58">
        <f t="shared" si="10"/>
        <v>0.112</v>
      </c>
      <c r="M58">
        <f t="shared" si="11"/>
        <v>3063</v>
      </c>
      <c r="N58">
        <f t="shared" si="12"/>
        <v>3646.4285714285716</v>
      </c>
      <c r="O58">
        <f t="shared" si="13"/>
        <v>3828.75</v>
      </c>
      <c r="P58">
        <f t="shared" si="14"/>
        <v>4084</v>
      </c>
      <c r="Q58">
        <f t="shared" si="15"/>
        <v>5105</v>
      </c>
      <c r="R58">
        <f t="shared" si="16"/>
        <v>7.4243400000000001E-2</v>
      </c>
      <c r="S58">
        <f t="shared" si="17"/>
        <v>6.8182714285714277E-2</v>
      </c>
      <c r="T58">
        <f t="shared" si="18"/>
        <v>6.6288750000000007E-2</v>
      </c>
      <c r="U58">
        <f t="shared" si="19"/>
        <v>6.3637200000000005E-2</v>
      </c>
      <c r="V58">
        <f t="shared" si="20"/>
        <v>5.3031000000000002E-2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0.112</v>
      </c>
      <c r="F59" s="3">
        <f t="shared" si="5"/>
        <v>4669</v>
      </c>
      <c r="H59">
        <f t="shared" si="6"/>
        <v>0.18666666666666668</v>
      </c>
      <c r="I59">
        <f t="shared" si="7"/>
        <v>0.15679999999999999</v>
      </c>
      <c r="J59">
        <f t="shared" si="8"/>
        <v>0.14933333333333335</v>
      </c>
      <c r="K59">
        <f t="shared" si="9"/>
        <v>0.14000000000000001</v>
      </c>
      <c r="L59">
        <f t="shared" si="10"/>
        <v>0.112</v>
      </c>
      <c r="M59">
        <f t="shared" si="11"/>
        <v>2801.4</v>
      </c>
      <c r="N59">
        <f t="shared" si="12"/>
        <v>3335</v>
      </c>
      <c r="O59">
        <f t="shared" si="13"/>
        <v>3501.75</v>
      </c>
      <c r="P59">
        <f t="shared" si="14"/>
        <v>3735.2</v>
      </c>
      <c r="Q59">
        <f t="shared" si="15"/>
        <v>4669</v>
      </c>
      <c r="R59">
        <f t="shared" si="16"/>
        <v>6.6486699999999996E-2</v>
      </c>
      <c r="S59">
        <f t="shared" si="17"/>
        <v>6.1059214285714286E-2</v>
      </c>
      <c r="T59">
        <f t="shared" si="18"/>
        <v>5.9363125000000003E-2</v>
      </c>
      <c r="U59">
        <f t="shared" si="19"/>
        <v>5.69886E-2</v>
      </c>
      <c r="V59">
        <f t="shared" si="20"/>
        <v>4.7490500000000005E-2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0.18949999999999997</v>
      </c>
      <c r="I60">
        <f t="shared" si="7"/>
        <v>0.15917999999999999</v>
      </c>
      <c r="J60">
        <f t="shared" si="8"/>
        <v>0.15160000000000001</v>
      </c>
      <c r="K60">
        <f t="shared" si="9"/>
        <v>0.142125</v>
      </c>
      <c r="L60">
        <f t="shared" si="10"/>
        <v>0.1137</v>
      </c>
      <c r="M60">
        <f t="shared" si="11"/>
        <v>2749.8</v>
      </c>
      <c r="N60">
        <f t="shared" si="12"/>
        <v>3273.5714285714284</v>
      </c>
      <c r="O60">
        <f t="shared" si="13"/>
        <v>3437.25</v>
      </c>
      <c r="P60">
        <f t="shared" si="14"/>
        <v>3666.4</v>
      </c>
      <c r="Q60">
        <f t="shared" si="15"/>
        <v>4583</v>
      </c>
      <c r="R60">
        <f>$D60*(1+(1-(60/$H$48)))</f>
        <v>5.8729999999999997E-2</v>
      </c>
      <c r="S60">
        <f t="shared" si="17"/>
        <v>5.3935714285714281E-2</v>
      </c>
      <c r="T60">
        <f t="shared" si="18"/>
        <v>5.2437499999999998E-2</v>
      </c>
      <c r="U60">
        <f t="shared" si="19"/>
        <v>5.0340000000000003E-2</v>
      </c>
      <c r="V60">
        <f t="shared" si="20"/>
        <v>4.1950000000000001E-2</v>
      </c>
    </row>
    <row r="61" spans="1:22" ht="18" customHeight="1" x14ac:dyDescent="0.25">
      <c r="B61" s="3" t="str">
        <f>B21</f>
        <v>20/35kV EPR 35mm2 Cu</v>
      </c>
      <c r="C61" s="3">
        <f t="shared" si="5"/>
        <v>0</v>
      </c>
      <c r="D61" s="152">
        <f t="shared" si="5"/>
        <v>0</v>
      </c>
      <c r="E61" s="152">
        <f t="shared" si="5"/>
        <v>0</v>
      </c>
      <c r="F61" s="3">
        <f t="shared" si="5"/>
        <v>0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si="5"/>
        <v>250.85</v>
      </c>
      <c r="D65" s="152">
        <f t="shared" si="5"/>
        <v>0.1582895</v>
      </c>
      <c r="E65" s="152">
        <f t="shared" si="5"/>
        <v>0.13</v>
      </c>
      <c r="F65" s="3">
        <f t="shared" si="5"/>
        <v>14663</v>
      </c>
    </row>
    <row r="66" spans="2:6" ht="18" customHeight="1" x14ac:dyDescent="0.25">
      <c r="B66" s="2" t="s">
        <v>11</v>
      </c>
      <c r="C66" s="3">
        <f t="shared" si="5"/>
        <v>278.39999999999998</v>
      </c>
      <c r="D66" s="152">
        <f t="shared" si="5"/>
        <v>0.12936349999999999</v>
      </c>
      <c r="E66" s="152">
        <f t="shared" si="5"/>
        <v>0.126</v>
      </c>
      <c r="F66" s="3">
        <f t="shared" si="5"/>
        <v>13715</v>
      </c>
    </row>
    <row r="67" spans="2:6" ht="18" customHeight="1" x14ac:dyDescent="0.25">
      <c r="B67" s="2" t="s">
        <v>12</v>
      </c>
      <c r="C67" s="3">
        <f t="shared" si="5"/>
        <v>311.02500000000003</v>
      </c>
      <c r="D67" s="152">
        <f t="shared" si="5"/>
        <v>0.10365150000000001</v>
      </c>
      <c r="E67" s="152">
        <f t="shared" si="5"/>
        <v>0.122</v>
      </c>
      <c r="F67" s="3">
        <f t="shared" si="5"/>
        <v>12781</v>
      </c>
    </row>
    <row r="68" spans="2:6" ht="18" customHeight="1" x14ac:dyDescent="0.25">
      <c r="B68" s="2" t="s">
        <v>13</v>
      </c>
      <c r="C68" s="3">
        <f t="shared" si="5"/>
        <v>362.5</v>
      </c>
      <c r="D68" s="152">
        <f t="shared" si="5"/>
        <v>8.0350000000000005E-2</v>
      </c>
      <c r="E68" s="152">
        <f t="shared" si="5"/>
        <v>0.12</v>
      </c>
      <c r="F68" s="3">
        <f t="shared" si="5"/>
        <v>11528</v>
      </c>
    </row>
    <row r="69" spans="2:6" ht="18" customHeight="1" x14ac:dyDescent="0.25">
      <c r="B69" s="2" t="s">
        <v>14</v>
      </c>
      <c r="C69" s="3">
        <f t="shared" si="5"/>
        <v>395.125</v>
      </c>
      <c r="D69" s="152">
        <f t="shared" si="5"/>
        <v>6.5083500000000002E-2</v>
      </c>
      <c r="E69" s="152">
        <f t="shared" si="5"/>
        <v>0.11700000000000001</v>
      </c>
      <c r="F69" s="3">
        <f t="shared" si="5"/>
        <v>10665</v>
      </c>
    </row>
    <row r="70" spans="2:6" ht="18" customHeight="1" x14ac:dyDescent="0.25">
      <c r="B70" s="2" t="s">
        <v>16</v>
      </c>
      <c r="C70" s="3">
        <f t="shared" si="5"/>
        <v>435</v>
      </c>
      <c r="D70" s="152">
        <f t="shared" si="5"/>
        <v>5.3031000000000002E-2</v>
      </c>
      <c r="E70" s="152">
        <f t="shared" si="5"/>
        <v>0.112</v>
      </c>
      <c r="F70" s="3">
        <f t="shared" si="5"/>
        <v>9879</v>
      </c>
    </row>
    <row r="71" spans="2:6" ht="18" customHeight="1" x14ac:dyDescent="0.25">
      <c r="B71" s="2" t="s">
        <v>15</v>
      </c>
      <c r="C71" s="3">
        <f t="shared" si="5"/>
        <v>477.77500000000003</v>
      </c>
      <c r="D71" s="152">
        <f t="shared" si="5"/>
        <v>3.573614130444993E-2</v>
      </c>
      <c r="E71" s="152">
        <f t="shared" si="5"/>
        <v>0.10871469193119648</v>
      </c>
      <c r="F71" s="3">
        <f t="shared" si="5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45" t="s">
        <v>28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7"/>
      <c r="Q2" s="11"/>
      <c r="R2" s="12"/>
      <c r="S2" s="245" t="s">
        <v>29</v>
      </c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7"/>
      <c r="AH2" s="13"/>
      <c r="AI2" s="12"/>
      <c r="AJ2" s="248" t="s">
        <v>30</v>
      </c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50"/>
      <c r="AY2" s="13"/>
      <c r="AZ2" s="12"/>
      <c r="BA2" s="245" t="s">
        <v>31</v>
      </c>
      <c r="BB2" s="246"/>
      <c r="BC2" s="246"/>
      <c r="BD2" s="246"/>
      <c r="BE2" s="246"/>
      <c r="BF2" s="246"/>
      <c r="BG2" s="246"/>
      <c r="BH2" s="246"/>
      <c r="BI2" s="246"/>
      <c r="BJ2" s="246"/>
      <c r="BK2" s="246"/>
      <c r="BL2" s="246"/>
      <c r="BM2" s="246"/>
      <c r="BN2" s="246"/>
      <c r="BO2" s="247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51"/>
      <c r="AK3" s="252"/>
      <c r="AL3" s="252"/>
      <c r="AM3" s="252"/>
      <c r="AN3" s="252"/>
      <c r="AO3" s="252"/>
      <c r="AP3" s="252"/>
      <c r="AQ3" s="252"/>
      <c r="AR3" s="252"/>
      <c r="AS3" s="252"/>
      <c r="AT3" s="252"/>
      <c r="AU3" s="252"/>
      <c r="AV3" s="252"/>
      <c r="AW3" s="252"/>
      <c r="AX3" s="253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57" t="s">
        <v>32</v>
      </c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9"/>
      <c r="Q4" s="20"/>
      <c r="R4" s="21"/>
      <c r="S4" s="257" t="s">
        <v>33</v>
      </c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7"/>
      <c r="AH4" s="22"/>
      <c r="AI4" s="21"/>
      <c r="AJ4" s="254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6"/>
      <c r="AY4" s="22"/>
      <c r="AZ4" s="21"/>
      <c r="BA4" s="274" t="s">
        <v>34</v>
      </c>
      <c r="BB4" s="274"/>
      <c r="BC4" s="274"/>
      <c r="BD4" s="274"/>
      <c r="BE4" s="274"/>
      <c r="BF4" s="274"/>
      <c r="BG4" s="274"/>
      <c r="BH4" s="274"/>
      <c r="BI4" s="274"/>
      <c r="BJ4" s="274"/>
      <c r="BK4" s="274"/>
      <c r="BL4" s="274"/>
      <c r="BM4" s="274"/>
      <c r="BN4" s="274"/>
      <c r="BO4" s="274"/>
      <c r="BP4" s="22"/>
    </row>
    <row r="5" spans="1:68" s="23" customFormat="1" ht="15" customHeight="1" thickBot="1" x14ac:dyDescent="0.3">
      <c r="A5" s="19"/>
      <c r="B5" s="260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2"/>
      <c r="Q5" s="20"/>
      <c r="R5" s="21"/>
      <c r="S5" s="268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70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74" t="s">
        <v>35</v>
      </c>
      <c r="BB5" s="274"/>
      <c r="BC5" s="274" t="s">
        <v>36</v>
      </c>
      <c r="BD5" s="274"/>
      <c r="BE5" s="274"/>
      <c r="BF5" s="274"/>
      <c r="BG5" s="274"/>
      <c r="BH5" s="274"/>
      <c r="BI5" s="274"/>
      <c r="BJ5" s="274"/>
      <c r="BK5" s="274"/>
      <c r="BL5" s="274"/>
      <c r="BM5" s="274"/>
      <c r="BN5" s="274"/>
      <c r="BO5" s="274"/>
      <c r="BP5" s="22"/>
    </row>
    <row r="6" spans="1:68" s="23" customFormat="1" ht="15" customHeight="1" thickBot="1" x14ac:dyDescent="0.3">
      <c r="A6" s="19"/>
      <c r="B6" s="260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2"/>
      <c r="Q6" s="20"/>
      <c r="R6" s="21"/>
      <c r="S6" s="268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70"/>
      <c r="AH6" s="22"/>
      <c r="AI6" s="21"/>
      <c r="AJ6" s="218" t="s">
        <v>37</v>
      </c>
      <c r="AK6" s="219"/>
      <c r="AL6" s="219"/>
      <c r="AM6" s="219"/>
      <c r="AN6" s="219"/>
      <c r="AO6" s="220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63"/>
      <c r="C7" s="264"/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5"/>
      <c r="Q7" s="20"/>
      <c r="R7" s="21"/>
      <c r="S7" s="271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3"/>
      <c r="AH7" s="22"/>
      <c r="AI7" s="21"/>
      <c r="AJ7" s="275" t="s">
        <v>39</v>
      </c>
      <c r="AK7" s="276"/>
      <c r="AL7" s="276"/>
      <c r="AM7" s="276"/>
      <c r="AN7" s="276"/>
      <c r="AO7" s="277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37" t="s">
        <v>41</v>
      </c>
      <c r="AK8" s="238"/>
      <c r="AL8" s="238"/>
      <c r="AM8" s="238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78" t="s">
        <v>43</v>
      </c>
      <c r="C9" s="279"/>
      <c r="D9" s="279"/>
      <c r="E9" s="279"/>
      <c r="F9" s="279"/>
      <c r="G9" s="279"/>
      <c r="H9" s="280"/>
      <c r="I9" s="11"/>
      <c r="J9" s="218" t="s">
        <v>44</v>
      </c>
      <c r="K9" s="219"/>
      <c r="L9" s="219"/>
      <c r="M9" s="219"/>
      <c r="N9" s="219"/>
      <c r="O9" s="219"/>
      <c r="P9" s="220"/>
      <c r="Q9" s="11"/>
      <c r="R9" s="12"/>
      <c r="S9" s="218" t="s">
        <v>43</v>
      </c>
      <c r="T9" s="219"/>
      <c r="U9" s="219"/>
      <c r="V9" s="219"/>
      <c r="W9" s="219"/>
      <c r="X9" s="219"/>
      <c r="Y9" s="220"/>
      <c r="Z9" s="11"/>
      <c r="AA9" s="218" t="s">
        <v>44</v>
      </c>
      <c r="AB9" s="219"/>
      <c r="AC9" s="219"/>
      <c r="AD9" s="219"/>
      <c r="AE9" s="219"/>
      <c r="AF9" s="219"/>
      <c r="AG9" s="220"/>
      <c r="AH9" s="13"/>
      <c r="AI9" s="12"/>
      <c r="AJ9" s="237" t="s">
        <v>5</v>
      </c>
      <c r="AK9" s="238"/>
      <c r="AL9" s="238"/>
      <c r="AM9" s="238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35" t="s">
        <v>46</v>
      </c>
      <c r="C10" s="236"/>
      <c r="D10" s="236"/>
      <c r="E10" s="236"/>
      <c r="F10" s="236"/>
      <c r="G10" s="30">
        <v>35</v>
      </c>
      <c r="H10" s="31" t="s">
        <v>47</v>
      </c>
      <c r="I10" s="29"/>
      <c r="J10" s="235" t="s">
        <v>46</v>
      </c>
      <c r="K10" s="236"/>
      <c r="L10" s="236"/>
      <c r="M10" s="236"/>
      <c r="N10" s="236"/>
      <c r="O10" s="30">
        <v>50</v>
      </c>
      <c r="P10" s="31" t="s">
        <v>47</v>
      </c>
      <c r="Q10" s="29"/>
      <c r="R10" s="32"/>
      <c r="S10" s="221" t="s">
        <v>46</v>
      </c>
      <c r="T10" s="222"/>
      <c r="U10" s="222"/>
      <c r="V10" s="222"/>
      <c r="W10" s="223"/>
      <c r="X10" s="30">
        <v>35</v>
      </c>
      <c r="Y10" s="31" t="s">
        <v>47</v>
      </c>
      <c r="Z10" s="29"/>
      <c r="AA10" s="221" t="s">
        <v>46</v>
      </c>
      <c r="AB10" s="222"/>
      <c r="AC10" s="222"/>
      <c r="AD10" s="222"/>
      <c r="AE10" s="223"/>
      <c r="AF10" s="30">
        <v>50</v>
      </c>
      <c r="AG10" s="31" t="s">
        <v>47</v>
      </c>
      <c r="AH10" s="33"/>
      <c r="AI10" s="32"/>
      <c r="AJ10" s="237" t="s">
        <v>41</v>
      </c>
      <c r="AK10" s="238"/>
      <c r="AL10" s="238"/>
      <c r="AM10" s="238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37" t="s">
        <v>49</v>
      </c>
      <c r="C11" s="238"/>
      <c r="D11" s="238"/>
      <c r="E11" s="238"/>
      <c r="F11" s="238"/>
      <c r="G11" s="34">
        <v>180</v>
      </c>
      <c r="H11" s="27" t="s">
        <v>50</v>
      </c>
      <c r="I11" s="29"/>
      <c r="J11" s="237" t="s">
        <v>49</v>
      </c>
      <c r="K11" s="238"/>
      <c r="L11" s="238"/>
      <c r="M11" s="238"/>
      <c r="N11" s="238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37" t="s">
        <v>53</v>
      </c>
      <c r="AK11" s="238"/>
      <c r="AL11" s="238"/>
      <c r="AM11" s="238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37" t="s">
        <v>55</v>
      </c>
      <c r="C12" s="238"/>
      <c r="D12" s="238"/>
      <c r="E12" s="238"/>
      <c r="F12" s="238"/>
      <c r="G12" s="38">
        <f>G11/1.2</f>
        <v>150</v>
      </c>
      <c r="H12" s="27" t="s">
        <v>50</v>
      </c>
      <c r="I12" s="29"/>
      <c r="J12" s="237" t="s">
        <v>55</v>
      </c>
      <c r="K12" s="238"/>
      <c r="L12" s="238"/>
      <c r="M12" s="238"/>
      <c r="N12" s="238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37" t="s">
        <v>57</v>
      </c>
      <c r="AK12" s="238"/>
      <c r="AL12" s="238"/>
      <c r="AM12" s="238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39" t="s">
        <v>58</v>
      </c>
      <c r="C13" s="240"/>
      <c r="D13" s="240"/>
      <c r="E13" s="240"/>
      <c r="F13" s="240"/>
      <c r="G13" s="41">
        <f>G11*0.87</f>
        <v>156.6</v>
      </c>
      <c r="H13" s="42" t="s">
        <v>50</v>
      </c>
      <c r="I13" s="29"/>
      <c r="J13" s="239" t="s">
        <v>58</v>
      </c>
      <c r="K13" s="240"/>
      <c r="L13" s="240"/>
      <c r="M13" s="240"/>
      <c r="N13" s="240"/>
      <c r="O13" s="41">
        <f>O11*0.87</f>
        <v>184.44</v>
      </c>
      <c r="P13" s="42" t="s">
        <v>50</v>
      </c>
      <c r="Q13" s="43"/>
      <c r="R13" s="44"/>
      <c r="S13" s="224" t="s">
        <v>59</v>
      </c>
      <c r="T13" s="225"/>
      <c r="U13" s="225"/>
      <c r="V13" s="225"/>
      <c r="W13" s="226"/>
      <c r="X13" s="45">
        <v>0.157</v>
      </c>
      <c r="Y13" s="46" t="s">
        <v>52</v>
      </c>
      <c r="Z13" s="29"/>
      <c r="AA13" s="224" t="s">
        <v>59</v>
      </c>
      <c r="AB13" s="225"/>
      <c r="AC13" s="225"/>
      <c r="AD13" s="225"/>
      <c r="AE13" s="226"/>
      <c r="AF13" s="45">
        <v>0.14899999999999999</v>
      </c>
      <c r="AG13" s="46" t="s">
        <v>52</v>
      </c>
      <c r="AH13" s="47"/>
      <c r="AI13" s="44"/>
      <c r="AJ13" s="237" t="s">
        <v>60</v>
      </c>
      <c r="AK13" s="238"/>
      <c r="AL13" s="238"/>
      <c r="AM13" s="238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39" t="s">
        <v>62</v>
      </c>
      <c r="C14" s="240"/>
      <c r="D14" s="240"/>
      <c r="E14" s="240"/>
      <c r="F14" s="240"/>
      <c r="G14" s="41">
        <f>G13/1.2</f>
        <v>130.5</v>
      </c>
      <c r="H14" s="42" t="s">
        <v>50</v>
      </c>
      <c r="I14" s="29"/>
      <c r="J14" s="239" t="s">
        <v>62</v>
      </c>
      <c r="K14" s="240"/>
      <c r="L14" s="240"/>
      <c r="M14" s="240"/>
      <c r="N14" s="240"/>
      <c r="O14" s="41">
        <f>O13/1.2</f>
        <v>153.70000000000002</v>
      </c>
      <c r="P14" s="42" t="s">
        <v>50</v>
      </c>
      <c r="Q14" s="43"/>
      <c r="R14" s="44"/>
      <c r="S14" s="281">
        <v>60</v>
      </c>
      <c r="T14" s="281"/>
      <c r="U14" s="281"/>
      <c r="V14" s="281"/>
      <c r="W14" s="281"/>
      <c r="X14" s="48"/>
      <c r="Y14" s="29"/>
      <c r="Z14" s="29"/>
      <c r="AA14" s="281"/>
      <c r="AB14" s="281"/>
      <c r="AC14" s="281"/>
      <c r="AD14" s="281"/>
      <c r="AE14" s="281"/>
      <c r="AF14" s="48"/>
      <c r="AG14" s="29"/>
      <c r="AH14" s="47"/>
      <c r="AI14" s="44"/>
      <c r="AJ14" s="237" t="s">
        <v>63</v>
      </c>
      <c r="AK14" s="238"/>
      <c r="AL14" s="238"/>
      <c r="AM14" s="238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41" t="s">
        <v>64</v>
      </c>
      <c r="C15" s="242"/>
      <c r="D15" s="242"/>
      <c r="E15" s="242"/>
      <c r="F15" s="242"/>
      <c r="G15" s="51">
        <f>G11*0.76</f>
        <v>136.80000000000001</v>
      </c>
      <c r="H15" s="52" t="s">
        <v>50</v>
      </c>
      <c r="I15" s="29"/>
      <c r="J15" s="241" t="s">
        <v>64</v>
      </c>
      <c r="K15" s="242"/>
      <c r="L15" s="242"/>
      <c r="M15" s="242"/>
      <c r="N15" s="242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37" t="s">
        <v>65</v>
      </c>
      <c r="AK15" s="238"/>
      <c r="AL15" s="238"/>
      <c r="AM15" s="238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43" t="s">
        <v>66</v>
      </c>
      <c r="C16" s="244"/>
      <c r="D16" s="244"/>
      <c r="E16" s="244"/>
      <c r="F16" s="244"/>
      <c r="G16" s="56">
        <f>G15/1.2</f>
        <v>114.00000000000001</v>
      </c>
      <c r="H16" s="57" t="s">
        <v>50</v>
      </c>
      <c r="I16" s="29"/>
      <c r="J16" s="243" t="s">
        <v>66</v>
      </c>
      <c r="K16" s="244"/>
      <c r="L16" s="244"/>
      <c r="M16" s="244"/>
      <c r="N16" s="244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82" t="s">
        <v>67</v>
      </c>
      <c r="AK16" s="283"/>
      <c r="AL16" s="283"/>
      <c r="AM16" s="283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84" t="s">
        <v>158</v>
      </c>
      <c r="C17" s="285"/>
      <c r="D17" s="285"/>
      <c r="E17" s="285"/>
      <c r="F17" s="285"/>
      <c r="G17" s="191">
        <f>G11*0.708</f>
        <v>127.44</v>
      </c>
      <c r="H17" s="190" t="s">
        <v>50</v>
      </c>
      <c r="I17" s="29"/>
      <c r="J17" s="284" t="s">
        <v>158</v>
      </c>
      <c r="K17" s="285"/>
      <c r="L17" s="285"/>
      <c r="M17" s="285"/>
      <c r="N17" s="285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18" t="s">
        <v>69</v>
      </c>
      <c r="C18" s="219"/>
      <c r="D18" s="219"/>
      <c r="E18" s="219"/>
      <c r="F18" s="219"/>
      <c r="G18" s="219"/>
      <c r="H18" s="220"/>
      <c r="I18" s="11"/>
      <c r="J18" s="218" t="s">
        <v>70</v>
      </c>
      <c r="K18" s="219"/>
      <c r="L18" s="219"/>
      <c r="M18" s="219"/>
      <c r="N18" s="219"/>
      <c r="O18" s="219"/>
      <c r="P18" s="220"/>
      <c r="Q18" s="11"/>
      <c r="R18" s="12"/>
      <c r="S18" s="218" t="s">
        <v>69</v>
      </c>
      <c r="T18" s="219"/>
      <c r="U18" s="219"/>
      <c r="V18" s="219"/>
      <c r="W18" s="219"/>
      <c r="X18" s="219"/>
      <c r="Y18" s="220"/>
      <c r="Z18" s="11"/>
      <c r="AA18" s="218" t="s">
        <v>70</v>
      </c>
      <c r="AB18" s="219"/>
      <c r="AC18" s="219"/>
      <c r="AD18" s="219"/>
      <c r="AE18" s="219"/>
      <c r="AF18" s="219"/>
      <c r="AG18" s="220"/>
      <c r="AH18" s="13"/>
      <c r="AI18" s="12"/>
      <c r="AJ18" s="248" t="s">
        <v>71</v>
      </c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50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35" t="s">
        <v>46</v>
      </c>
      <c r="C19" s="236"/>
      <c r="D19" s="236"/>
      <c r="E19" s="236"/>
      <c r="F19" s="236"/>
      <c r="G19" s="30">
        <v>70</v>
      </c>
      <c r="H19" s="31" t="s">
        <v>47</v>
      </c>
      <c r="I19" s="29"/>
      <c r="J19" s="235" t="s">
        <v>46</v>
      </c>
      <c r="K19" s="236"/>
      <c r="L19" s="236"/>
      <c r="M19" s="236"/>
      <c r="N19" s="236"/>
      <c r="O19" s="30">
        <v>95</v>
      </c>
      <c r="P19" s="31" t="s">
        <v>47</v>
      </c>
      <c r="Q19" s="29"/>
      <c r="R19" s="32"/>
      <c r="S19" s="221" t="s">
        <v>46</v>
      </c>
      <c r="T19" s="222"/>
      <c r="U19" s="222"/>
      <c r="V19" s="222"/>
      <c r="W19" s="223"/>
      <c r="X19" s="30">
        <v>70</v>
      </c>
      <c r="Y19" s="31" t="s">
        <v>47</v>
      </c>
      <c r="Z19" s="29"/>
      <c r="AA19" s="221" t="s">
        <v>46</v>
      </c>
      <c r="AB19" s="222"/>
      <c r="AC19" s="222"/>
      <c r="AD19" s="222"/>
      <c r="AE19" s="223"/>
      <c r="AF19" s="30">
        <v>95</v>
      </c>
      <c r="AG19" s="31" t="s">
        <v>47</v>
      </c>
      <c r="AH19" s="33"/>
      <c r="AI19" s="32"/>
      <c r="AJ19" s="254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5"/>
      <c r="AX19" s="256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37" t="s">
        <v>49</v>
      </c>
      <c r="C20" s="238"/>
      <c r="D20" s="238"/>
      <c r="E20" s="238"/>
      <c r="F20" s="238"/>
      <c r="G20" s="34">
        <v>258</v>
      </c>
      <c r="H20" s="27" t="s">
        <v>50</v>
      </c>
      <c r="I20" s="29"/>
      <c r="J20" s="237" t="s">
        <v>49</v>
      </c>
      <c r="K20" s="238"/>
      <c r="L20" s="238"/>
      <c r="M20" s="238"/>
      <c r="N20" s="238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37" t="s">
        <v>55</v>
      </c>
      <c r="C21" s="238"/>
      <c r="D21" s="238"/>
      <c r="E21" s="238"/>
      <c r="F21" s="238"/>
      <c r="G21" s="38">
        <f>G20/1.2</f>
        <v>215</v>
      </c>
      <c r="H21" s="27" t="s">
        <v>50</v>
      </c>
      <c r="I21" s="29"/>
      <c r="J21" s="237" t="s">
        <v>55</v>
      </c>
      <c r="K21" s="238"/>
      <c r="L21" s="238"/>
      <c r="M21" s="238"/>
      <c r="N21" s="238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18" t="s">
        <v>72</v>
      </c>
      <c r="AK21" s="219"/>
      <c r="AL21" s="219"/>
      <c r="AM21" s="219"/>
      <c r="AN21" s="220"/>
      <c r="AO21" s="29"/>
      <c r="AP21" s="218" t="s">
        <v>73</v>
      </c>
      <c r="AQ21" s="219"/>
      <c r="AR21" s="219"/>
      <c r="AS21" s="219"/>
      <c r="AT21" s="220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39" t="s">
        <v>58</v>
      </c>
      <c r="C22" s="240"/>
      <c r="D22" s="240"/>
      <c r="E22" s="240"/>
      <c r="F22" s="240"/>
      <c r="G22" s="41">
        <f>G20*0.87</f>
        <v>224.46</v>
      </c>
      <c r="H22" s="42" t="s">
        <v>50</v>
      </c>
      <c r="I22" s="29"/>
      <c r="J22" s="239" t="s">
        <v>58</v>
      </c>
      <c r="K22" s="240"/>
      <c r="L22" s="240"/>
      <c r="M22" s="240"/>
      <c r="N22" s="240"/>
      <c r="O22" s="41">
        <f>O20*0.87</f>
        <v>266.21999999999997</v>
      </c>
      <c r="P22" s="42" t="s">
        <v>50</v>
      </c>
      <c r="Q22" s="43"/>
      <c r="R22" s="44"/>
      <c r="S22" s="224" t="s">
        <v>59</v>
      </c>
      <c r="T22" s="225"/>
      <c r="U22" s="225"/>
      <c r="V22" s="225"/>
      <c r="W22" s="226"/>
      <c r="X22" s="45">
        <v>0.14099999999999999</v>
      </c>
      <c r="Y22" s="46" t="s">
        <v>52</v>
      </c>
      <c r="Z22" s="29"/>
      <c r="AA22" s="224" t="s">
        <v>59</v>
      </c>
      <c r="AB22" s="225"/>
      <c r="AC22" s="225"/>
      <c r="AD22" s="225"/>
      <c r="AE22" s="226"/>
      <c r="AF22" s="45">
        <v>0.13500000000000001</v>
      </c>
      <c r="AG22" s="46" t="s">
        <v>52</v>
      </c>
      <c r="AH22" s="47"/>
      <c r="AI22" s="44"/>
      <c r="AJ22" s="275" t="s">
        <v>39</v>
      </c>
      <c r="AK22" s="276"/>
      <c r="AL22" s="276"/>
      <c r="AM22" s="276"/>
      <c r="AN22" s="277"/>
      <c r="AO22" s="43"/>
      <c r="AP22" s="275" t="s">
        <v>39</v>
      </c>
      <c r="AQ22" s="276"/>
      <c r="AR22" s="276"/>
      <c r="AS22" s="276"/>
      <c r="AT22" s="277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39" t="s">
        <v>62</v>
      </c>
      <c r="C23" s="240"/>
      <c r="D23" s="240"/>
      <c r="E23" s="240"/>
      <c r="F23" s="240"/>
      <c r="G23" s="41">
        <f>G22/1.2</f>
        <v>187.05</v>
      </c>
      <c r="H23" s="42" t="s">
        <v>50</v>
      </c>
      <c r="I23" s="29"/>
      <c r="J23" s="239" t="s">
        <v>62</v>
      </c>
      <c r="K23" s="240"/>
      <c r="L23" s="240"/>
      <c r="M23" s="240"/>
      <c r="N23" s="240"/>
      <c r="O23" s="41">
        <f>O22/1.2</f>
        <v>221.85</v>
      </c>
      <c r="P23" s="42" t="s">
        <v>50</v>
      </c>
      <c r="Q23" s="43"/>
      <c r="R23" s="44"/>
      <c r="S23" s="281"/>
      <c r="T23" s="281"/>
      <c r="U23" s="281"/>
      <c r="V23" s="281"/>
      <c r="W23" s="281"/>
      <c r="X23" s="48"/>
      <c r="Y23" s="29"/>
      <c r="Z23" s="29"/>
      <c r="AA23" s="281"/>
      <c r="AB23" s="281"/>
      <c r="AC23" s="281"/>
      <c r="AD23" s="281"/>
      <c r="AE23" s="281"/>
      <c r="AF23" s="48"/>
      <c r="AG23" s="29"/>
      <c r="AH23" s="47"/>
      <c r="AI23" s="44"/>
      <c r="AJ23" s="237" t="s">
        <v>41</v>
      </c>
      <c r="AK23" s="238"/>
      <c r="AL23" s="238"/>
      <c r="AM23" s="26">
        <v>1119</v>
      </c>
      <c r="AN23" s="60" t="s">
        <v>48</v>
      </c>
      <c r="AO23" s="43"/>
      <c r="AP23" s="237" t="s">
        <v>41</v>
      </c>
      <c r="AQ23" s="238"/>
      <c r="AR23" s="238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41" t="s">
        <v>64</v>
      </c>
      <c r="C24" s="242"/>
      <c r="D24" s="242"/>
      <c r="E24" s="242"/>
      <c r="F24" s="242"/>
      <c r="G24" s="51">
        <f>G20*0.76</f>
        <v>196.08</v>
      </c>
      <c r="H24" s="52" t="s">
        <v>50</v>
      </c>
      <c r="I24" s="29"/>
      <c r="J24" s="241" t="s">
        <v>64</v>
      </c>
      <c r="K24" s="242"/>
      <c r="L24" s="242"/>
      <c r="M24" s="242"/>
      <c r="N24" s="242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37" t="s">
        <v>5</v>
      </c>
      <c r="AK24" s="238"/>
      <c r="AL24" s="238"/>
      <c r="AM24" s="26">
        <v>6600</v>
      </c>
      <c r="AN24" s="60" t="s">
        <v>45</v>
      </c>
      <c r="AO24" s="53"/>
      <c r="AP24" s="237" t="s">
        <v>5</v>
      </c>
      <c r="AQ24" s="238"/>
      <c r="AR24" s="238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43" t="s">
        <v>66</v>
      </c>
      <c r="C25" s="244"/>
      <c r="D25" s="244"/>
      <c r="E25" s="244"/>
      <c r="F25" s="244"/>
      <c r="G25" s="56">
        <f>G24/1.2</f>
        <v>163.4</v>
      </c>
      <c r="H25" s="57" t="s">
        <v>50</v>
      </c>
      <c r="I25" s="29"/>
      <c r="J25" s="243" t="s">
        <v>66</v>
      </c>
      <c r="K25" s="244"/>
      <c r="L25" s="244"/>
      <c r="M25" s="244"/>
      <c r="N25" s="244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37" t="s">
        <v>74</v>
      </c>
      <c r="AK25" s="238"/>
      <c r="AL25" s="238"/>
      <c r="AM25" s="61">
        <v>86</v>
      </c>
      <c r="AN25" s="60" t="s">
        <v>54</v>
      </c>
      <c r="AO25" s="53"/>
      <c r="AP25" s="237" t="s">
        <v>74</v>
      </c>
      <c r="AQ25" s="238"/>
      <c r="AR25" s="238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84" t="s">
        <v>158</v>
      </c>
      <c r="C26" s="285"/>
      <c r="D26" s="285"/>
      <c r="E26" s="285"/>
      <c r="F26" s="285"/>
      <c r="G26" s="191">
        <f>G20*0.708</f>
        <v>182.66399999999999</v>
      </c>
      <c r="H26" s="190" t="s">
        <v>50</v>
      </c>
      <c r="I26" s="29"/>
      <c r="J26" s="284" t="s">
        <v>158</v>
      </c>
      <c r="K26" s="285"/>
      <c r="L26" s="285"/>
      <c r="M26" s="285"/>
      <c r="N26" s="285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86" t="s">
        <v>75</v>
      </c>
      <c r="AK26" s="287"/>
      <c r="AL26" s="288"/>
      <c r="AM26" s="61">
        <f>71/AM25*100</f>
        <v>82.558139534883722</v>
      </c>
      <c r="AN26" s="60" t="s">
        <v>54</v>
      </c>
      <c r="AO26" s="29"/>
      <c r="AP26" s="286" t="s">
        <v>75</v>
      </c>
      <c r="AQ26" s="287"/>
      <c r="AR26" s="288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18" t="s">
        <v>76</v>
      </c>
      <c r="C27" s="219"/>
      <c r="D27" s="219"/>
      <c r="E27" s="219"/>
      <c r="F27" s="219"/>
      <c r="G27" s="219"/>
      <c r="H27" s="220"/>
      <c r="I27" s="11"/>
      <c r="J27" s="218" t="s">
        <v>77</v>
      </c>
      <c r="K27" s="219"/>
      <c r="L27" s="219"/>
      <c r="M27" s="219"/>
      <c r="N27" s="219"/>
      <c r="O27" s="219"/>
      <c r="P27" s="220"/>
      <c r="Q27" s="11"/>
      <c r="R27" s="12"/>
      <c r="S27" s="218" t="s">
        <v>76</v>
      </c>
      <c r="T27" s="219"/>
      <c r="U27" s="219"/>
      <c r="V27" s="219"/>
      <c r="W27" s="219"/>
      <c r="X27" s="219"/>
      <c r="Y27" s="220"/>
      <c r="Z27" s="11"/>
      <c r="AA27" s="218" t="s">
        <v>77</v>
      </c>
      <c r="AB27" s="219"/>
      <c r="AC27" s="219"/>
      <c r="AD27" s="219"/>
      <c r="AE27" s="219"/>
      <c r="AF27" s="219"/>
      <c r="AG27" s="220"/>
      <c r="AH27" s="13"/>
      <c r="AI27" s="12"/>
      <c r="AJ27" s="237" t="s">
        <v>60</v>
      </c>
      <c r="AK27" s="238"/>
      <c r="AL27" s="238"/>
      <c r="AM27" s="26">
        <f>AM23/AM25/AM26*10000</f>
        <v>1576.056338028169</v>
      </c>
      <c r="AN27" s="60" t="s">
        <v>61</v>
      </c>
      <c r="AO27" s="11"/>
      <c r="AP27" s="237" t="s">
        <v>60</v>
      </c>
      <c r="AQ27" s="238"/>
      <c r="AR27" s="238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35" t="s">
        <v>46</v>
      </c>
      <c r="C28" s="236"/>
      <c r="D28" s="236"/>
      <c r="E28" s="236"/>
      <c r="F28" s="236"/>
      <c r="G28" s="30">
        <v>120</v>
      </c>
      <c r="H28" s="31" t="s">
        <v>47</v>
      </c>
      <c r="I28" s="29"/>
      <c r="J28" s="235" t="s">
        <v>46</v>
      </c>
      <c r="K28" s="236"/>
      <c r="L28" s="236"/>
      <c r="M28" s="236"/>
      <c r="N28" s="236"/>
      <c r="O28" s="30">
        <v>150</v>
      </c>
      <c r="P28" s="31" t="s">
        <v>47</v>
      </c>
      <c r="Q28" s="29"/>
      <c r="R28" s="32"/>
      <c r="S28" s="221" t="s">
        <v>46</v>
      </c>
      <c r="T28" s="222"/>
      <c r="U28" s="222"/>
      <c r="V28" s="222"/>
      <c r="W28" s="223"/>
      <c r="X28" s="30">
        <v>120</v>
      </c>
      <c r="Y28" s="31" t="s">
        <v>47</v>
      </c>
      <c r="Z28" s="29"/>
      <c r="AA28" s="221" t="s">
        <v>46</v>
      </c>
      <c r="AB28" s="222"/>
      <c r="AC28" s="222"/>
      <c r="AD28" s="222"/>
      <c r="AE28" s="223"/>
      <c r="AF28" s="30">
        <v>150</v>
      </c>
      <c r="AG28" s="31" t="s">
        <v>47</v>
      </c>
      <c r="AH28" s="33"/>
      <c r="AI28" s="32"/>
      <c r="AJ28" s="237" t="s">
        <v>19</v>
      </c>
      <c r="AK28" s="238"/>
      <c r="AL28" s="238"/>
      <c r="AM28" s="62">
        <f>AM27/SQRT(3)/AM24*1000</f>
        <v>137.86917439675443</v>
      </c>
      <c r="AN28" s="60" t="s">
        <v>50</v>
      </c>
      <c r="AO28" s="29"/>
      <c r="AP28" s="237" t="s">
        <v>19</v>
      </c>
      <c r="AQ28" s="238"/>
      <c r="AR28" s="238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37" t="s">
        <v>49</v>
      </c>
      <c r="C29" s="238"/>
      <c r="D29" s="238"/>
      <c r="E29" s="238"/>
      <c r="F29" s="238"/>
      <c r="G29" s="34">
        <v>346</v>
      </c>
      <c r="H29" s="27" t="s">
        <v>50</v>
      </c>
      <c r="I29" s="29"/>
      <c r="J29" s="237" t="s">
        <v>49</v>
      </c>
      <c r="K29" s="238"/>
      <c r="L29" s="238"/>
      <c r="M29" s="238"/>
      <c r="N29" s="238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37" t="s">
        <v>65</v>
      </c>
      <c r="AK29" s="238"/>
      <c r="AL29" s="238"/>
      <c r="AM29" s="64">
        <f>AM23/AM26*100</f>
        <v>1355.4084507042253</v>
      </c>
      <c r="AN29" s="60" t="s">
        <v>48</v>
      </c>
      <c r="AO29" s="29"/>
      <c r="AP29" s="237" t="s">
        <v>65</v>
      </c>
      <c r="AQ29" s="238"/>
      <c r="AR29" s="238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37" t="s">
        <v>55</v>
      </c>
      <c r="C30" s="238"/>
      <c r="D30" s="238"/>
      <c r="E30" s="238"/>
      <c r="F30" s="238"/>
      <c r="G30" s="38">
        <f>G29/1.2</f>
        <v>288.33333333333337</v>
      </c>
      <c r="H30" s="27" t="s">
        <v>50</v>
      </c>
      <c r="I30" s="29"/>
      <c r="J30" s="237" t="s">
        <v>55</v>
      </c>
      <c r="K30" s="238"/>
      <c r="L30" s="238"/>
      <c r="M30" s="238"/>
      <c r="N30" s="238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82" t="s">
        <v>67</v>
      </c>
      <c r="AK30" s="283"/>
      <c r="AL30" s="283"/>
      <c r="AM30" s="65">
        <f>SQRT(AM27^2-AM29^2)</f>
        <v>804.25214478938983</v>
      </c>
      <c r="AN30" s="66" t="s">
        <v>68</v>
      </c>
      <c r="AO30" s="29"/>
      <c r="AP30" s="282" t="s">
        <v>67</v>
      </c>
      <c r="AQ30" s="283"/>
      <c r="AR30" s="283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39" t="s">
        <v>58</v>
      </c>
      <c r="C31" s="240"/>
      <c r="D31" s="240"/>
      <c r="E31" s="240"/>
      <c r="F31" s="240"/>
      <c r="G31" s="41">
        <f>G29*0.87</f>
        <v>301.02</v>
      </c>
      <c r="H31" s="42" t="s">
        <v>50</v>
      </c>
      <c r="I31" s="29"/>
      <c r="J31" s="239" t="s">
        <v>58</v>
      </c>
      <c r="K31" s="240"/>
      <c r="L31" s="240"/>
      <c r="M31" s="240"/>
      <c r="N31" s="240"/>
      <c r="O31" s="41">
        <f>O29*0.87</f>
        <v>334.08</v>
      </c>
      <c r="P31" s="42" t="s">
        <v>50</v>
      </c>
      <c r="Q31" s="43"/>
      <c r="R31" s="44"/>
      <c r="S31" s="224" t="s">
        <v>59</v>
      </c>
      <c r="T31" s="225"/>
      <c r="U31" s="225"/>
      <c r="V31" s="225"/>
      <c r="W31" s="226"/>
      <c r="X31" s="45">
        <v>0.13</v>
      </c>
      <c r="Y31" s="46" t="s">
        <v>52</v>
      </c>
      <c r="Z31" s="29"/>
      <c r="AA31" s="224" t="s">
        <v>59</v>
      </c>
      <c r="AB31" s="225"/>
      <c r="AC31" s="225"/>
      <c r="AD31" s="225"/>
      <c r="AE31" s="226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39" t="s">
        <v>62</v>
      </c>
      <c r="C32" s="240"/>
      <c r="D32" s="240"/>
      <c r="E32" s="240"/>
      <c r="F32" s="240"/>
      <c r="G32" s="41">
        <f>G31/1.2</f>
        <v>250.85</v>
      </c>
      <c r="H32" s="42" t="s">
        <v>50</v>
      </c>
      <c r="I32" s="29"/>
      <c r="J32" s="239" t="s">
        <v>62</v>
      </c>
      <c r="K32" s="240"/>
      <c r="L32" s="240"/>
      <c r="M32" s="240"/>
      <c r="N32" s="240"/>
      <c r="O32" s="41">
        <f>O31/1.2</f>
        <v>278.39999999999998</v>
      </c>
      <c r="P32" s="42" t="s">
        <v>50</v>
      </c>
      <c r="Q32" s="43"/>
      <c r="R32" s="44"/>
      <c r="S32" s="281"/>
      <c r="T32" s="281"/>
      <c r="U32" s="281"/>
      <c r="V32" s="281"/>
      <c r="W32" s="281"/>
      <c r="X32" s="48"/>
      <c r="Y32" s="29"/>
      <c r="Z32" s="29"/>
      <c r="AA32" s="281"/>
      <c r="AB32" s="281"/>
      <c r="AC32" s="281"/>
      <c r="AD32" s="281"/>
      <c r="AE32" s="281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18" t="s">
        <v>78</v>
      </c>
      <c r="AQ32" s="219"/>
      <c r="AR32" s="219"/>
      <c r="AS32" s="219"/>
      <c r="AT32" s="220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41" t="s">
        <v>64</v>
      </c>
      <c r="C33" s="242"/>
      <c r="D33" s="242"/>
      <c r="E33" s="242"/>
      <c r="F33" s="242"/>
      <c r="G33" s="51">
        <f>G29*0.76</f>
        <v>262.95999999999998</v>
      </c>
      <c r="H33" s="52" t="s">
        <v>50</v>
      </c>
      <c r="I33" s="29"/>
      <c r="J33" s="241" t="s">
        <v>64</v>
      </c>
      <c r="K33" s="242"/>
      <c r="L33" s="242"/>
      <c r="M33" s="242"/>
      <c r="N33" s="242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89"/>
      <c r="AN33" s="289"/>
      <c r="AO33" s="53"/>
      <c r="AP33" s="275" t="s">
        <v>39</v>
      </c>
      <c r="AQ33" s="276"/>
      <c r="AR33" s="276"/>
      <c r="AS33" s="276"/>
      <c r="AT33" s="277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43" t="s">
        <v>66</v>
      </c>
      <c r="C34" s="244"/>
      <c r="D34" s="244"/>
      <c r="E34" s="244"/>
      <c r="F34" s="244"/>
      <c r="G34" s="56">
        <f>G33/1.2</f>
        <v>219.13333333333333</v>
      </c>
      <c r="H34" s="57" t="s">
        <v>50</v>
      </c>
      <c r="I34" s="29"/>
      <c r="J34" s="243" t="s">
        <v>66</v>
      </c>
      <c r="K34" s="244"/>
      <c r="L34" s="244"/>
      <c r="M34" s="244"/>
      <c r="N34" s="244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37" t="s">
        <v>41</v>
      </c>
      <c r="AQ34" s="238"/>
      <c r="AR34" s="238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84" t="s">
        <v>158</v>
      </c>
      <c r="C35" s="285"/>
      <c r="D35" s="285"/>
      <c r="E35" s="285"/>
      <c r="F35" s="285"/>
      <c r="G35" s="191">
        <f>G29*0.708</f>
        <v>244.96799999999999</v>
      </c>
      <c r="H35" s="190" t="s">
        <v>50</v>
      </c>
      <c r="I35" s="29"/>
      <c r="J35" s="284" t="s">
        <v>158</v>
      </c>
      <c r="K35" s="285"/>
      <c r="L35" s="285"/>
      <c r="M35" s="285"/>
      <c r="N35" s="285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37" t="s">
        <v>5</v>
      </c>
      <c r="AQ35" s="238"/>
      <c r="AR35" s="238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18" t="s">
        <v>79</v>
      </c>
      <c r="C36" s="219"/>
      <c r="D36" s="219"/>
      <c r="E36" s="219"/>
      <c r="F36" s="219"/>
      <c r="G36" s="219"/>
      <c r="H36" s="220"/>
      <c r="I36" s="11"/>
      <c r="J36" s="218" t="s">
        <v>80</v>
      </c>
      <c r="K36" s="219"/>
      <c r="L36" s="219"/>
      <c r="M36" s="219"/>
      <c r="N36" s="219"/>
      <c r="O36" s="219"/>
      <c r="P36" s="220"/>
      <c r="Q36" s="11"/>
      <c r="R36" s="12"/>
      <c r="S36" s="218" t="s">
        <v>79</v>
      </c>
      <c r="T36" s="219"/>
      <c r="U36" s="219"/>
      <c r="V36" s="219"/>
      <c r="W36" s="219"/>
      <c r="X36" s="219"/>
      <c r="Y36" s="220"/>
      <c r="Z36" s="11"/>
      <c r="AA36" s="218" t="s">
        <v>80</v>
      </c>
      <c r="AB36" s="219"/>
      <c r="AC36" s="219"/>
      <c r="AD36" s="219"/>
      <c r="AE36" s="219"/>
      <c r="AF36" s="219"/>
      <c r="AG36" s="220"/>
      <c r="AH36" s="13"/>
      <c r="AI36" s="12"/>
      <c r="AJ36" s="29"/>
      <c r="AK36" s="29"/>
      <c r="AL36" s="29"/>
      <c r="AM36" s="29"/>
      <c r="AN36" s="29"/>
      <c r="AO36" s="11"/>
      <c r="AP36" s="237" t="s">
        <v>74</v>
      </c>
      <c r="AQ36" s="238"/>
      <c r="AR36" s="238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35" t="s">
        <v>46</v>
      </c>
      <c r="C37" s="236"/>
      <c r="D37" s="236"/>
      <c r="E37" s="236"/>
      <c r="F37" s="236"/>
      <c r="G37" s="30">
        <v>185</v>
      </c>
      <c r="H37" s="31" t="s">
        <v>47</v>
      </c>
      <c r="I37" s="29"/>
      <c r="J37" s="235" t="s">
        <v>46</v>
      </c>
      <c r="K37" s="236"/>
      <c r="L37" s="236"/>
      <c r="M37" s="236"/>
      <c r="N37" s="236"/>
      <c r="O37" s="30">
        <v>240</v>
      </c>
      <c r="P37" s="31" t="s">
        <v>47</v>
      </c>
      <c r="Q37" s="29"/>
      <c r="R37" s="32"/>
      <c r="S37" s="221" t="s">
        <v>46</v>
      </c>
      <c r="T37" s="222"/>
      <c r="U37" s="222"/>
      <c r="V37" s="222"/>
      <c r="W37" s="223"/>
      <c r="X37" s="30">
        <v>185</v>
      </c>
      <c r="Y37" s="31" t="s">
        <v>47</v>
      </c>
      <c r="Z37" s="29"/>
      <c r="AA37" s="221" t="s">
        <v>46</v>
      </c>
      <c r="AB37" s="222"/>
      <c r="AC37" s="222"/>
      <c r="AD37" s="222"/>
      <c r="AE37" s="223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86" t="s">
        <v>75</v>
      </c>
      <c r="AQ37" s="287"/>
      <c r="AR37" s="288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37" t="s">
        <v>49</v>
      </c>
      <c r="C38" s="238"/>
      <c r="D38" s="238"/>
      <c r="E38" s="238"/>
      <c r="F38" s="238"/>
      <c r="G38" s="34">
        <v>429</v>
      </c>
      <c r="H38" s="27" t="s">
        <v>50</v>
      </c>
      <c r="I38" s="29"/>
      <c r="J38" s="237" t="s">
        <v>49</v>
      </c>
      <c r="K38" s="238"/>
      <c r="L38" s="238"/>
      <c r="M38" s="238"/>
      <c r="N38" s="238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37" t="s">
        <v>60</v>
      </c>
      <c r="AQ38" s="238"/>
      <c r="AR38" s="238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37" t="s">
        <v>55</v>
      </c>
      <c r="C39" s="238"/>
      <c r="D39" s="238"/>
      <c r="E39" s="238"/>
      <c r="F39" s="238"/>
      <c r="G39" s="38">
        <f>G38/1.2</f>
        <v>357.5</v>
      </c>
      <c r="H39" s="27" t="s">
        <v>50</v>
      </c>
      <c r="I39" s="29"/>
      <c r="J39" s="237" t="s">
        <v>55</v>
      </c>
      <c r="K39" s="238"/>
      <c r="L39" s="238"/>
      <c r="M39" s="238"/>
      <c r="N39" s="238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37" t="s">
        <v>19</v>
      </c>
      <c r="AQ39" s="238"/>
      <c r="AR39" s="238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39" t="s">
        <v>58</v>
      </c>
      <c r="C40" s="240"/>
      <c r="D40" s="240"/>
      <c r="E40" s="240"/>
      <c r="F40" s="240"/>
      <c r="G40" s="41">
        <f>G38*0.87</f>
        <v>373.23</v>
      </c>
      <c r="H40" s="42" t="s">
        <v>50</v>
      </c>
      <c r="I40" s="29"/>
      <c r="J40" s="239" t="s">
        <v>58</v>
      </c>
      <c r="K40" s="240"/>
      <c r="L40" s="240"/>
      <c r="M40" s="240"/>
      <c r="N40" s="240"/>
      <c r="O40" s="41">
        <f>O38*0.87</f>
        <v>435</v>
      </c>
      <c r="P40" s="42" t="s">
        <v>50</v>
      </c>
      <c r="Q40" s="43"/>
      <c r="R40" s="44"/>
      <c r="S40" s="224" t="s">
        <v>59</v>
      </c>
      <c r="T40" s="225"/>
      <c r="U40" s="225"/>
      <c r="V40" s="225"/>
      <c r="W40" s="226"/>
      <c r="X40" s="45">
        <v>0.122</v>
      </c>
      <c r="Y40" s="46" t="s">
        <v>52</v>
      </c>
      <c r="Z40" s="29"/>
      <c r="AA40" s="224" t="s">
        <v>59</v>
      </c>
      <c r="AB40" s="225"/>
      <c r="AC40" s="225"/>
      <c r="AD40" s="225"/>
      <c r="AE40" s="226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37" t="s">
        <v>65</v>
      </c>
      <c r="AQ40" s="238"/>
      <c r="AR40" s="238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39" t="s">
        <v>62</v>
      </c>
      <c r="C41" s="240"/>
      <c r="D41" s="240"/>
      <c r="E41" s="240"/>
      <c r="F41" s="240"/>
      <c r="G41" s="41">
        <f>G40/1.2</f>
        <v>311.02500000000003</v>
      </c>
      <c r="H41" s="42" t="s">
        <v>50</v>
      </c>
      <c r="I41" s="29"/>
      <c r="J41" s="239" t="s">
        <v>62</v>
      </c>
      <c r="K41" s="240"/>
      <c r="L41" s="240"/>
      <c r="M41" s="240"/>
      <c r="N41" s="240"/>
      <c r="O41" s="41">
        <f>O40/1.2</f>
        <v>362.5</v>
      </c>
      <c r="P41" s="42" t="s">
        <v>50</v>
      </c>
      <c r="Q41" s="43"/>
      <c r="R41" s="44"/>
      <c r="S41" s="281"/>
      <c r="T41" s="281"/>
      <c r="U41" s="281"/>
      <c r="V41" s="281"/>
      <c r="W41" s="281"/>
      <c r="X41" s="48"/>
      <c r="Y41" s="29"/>
      <c r="Z41" s="29"/>
      <c r="AA41" s="281"/>
      <c r="AB41" s="281"/>
      <c r="AC41" s="281"/>
      <c r="AD41" s="281"/>
      <c r="AE41" s="281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82" t="s">
        <v>67</v>
      </c>
      <c r="AQ41" s="283"/>
      <c r="AR41" s="283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41" t="s">
        <v>64</v>
      </c>
      <c r="C42" s="242"/>
      <c r="D42" s="242"/>
      <c r="E42" s="242"/>
      <c r="F42" s="242"/>
      <c r="G42" s="51">
        <f>G38*0.76</f>
        <v>326.04000000000002</v>
      </c>
      <c r="H42" s="52" t="s">
        <v>50</v>
      </c>
      <c r="I42" s="29"/>
      <c r="J42" s="241" t="s">
        <v>64</v>
      </c>
      <c r="K42" s="242"/>
      <c r="L42" s="242"/>
      <c r="M42" s="242"/>
      <c r="N42" s="242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43" t="s">
        <v>66</v>
      </c>
      <c r="C43" s="244"/>
      <c r="D43" s="244"/>
      <c r="E43" s="244"/>
      <c r="F43" s="244"/>
      <c r="G43" s="56">
        <f>G42/1.2</f>
        <v>271.70000000000005</v>
      </c>
      <c r="H43" s="57" t="s">
        <v>50</v>
      </c>
      <c r="I43" s="29"/>
      <c r="J43" s="243" t="s">
        <v>66</v>
      </c>
      <c r="K43" s="244"/>
      <c r="L43" s="244"/>
      <c r="M43" s="244"/>
      <c r="N43" s="244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90" t="s">
        <v>81</v>
      </c>
      <c r="AK43" s="291"/>
      <c r="AL43" s="291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2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84" t="s">
        <v>158</v>
      </c>
      <c r="C44" s="285"/>
      <c r="D44" s="285"/>
      <c r="E44" s="285"/>
      <c r="F44" s="285"/>
      <c r="G44" s="191">
        <f>G38*0.708</f>
        <v>303.73199999999997</v>
      </c>
      <c r="H44" s="190" t="s">
        <v>50</v>
      </c>
      <c r="I44" s="29"/>
      <c r="J44" s="284" t="s">
        <v>158</v>
      </c>
      <c r="K44" s="285"/>
      <c r="L44" s="285"/>
      <c r="M44" s="285"/>
      <c r="N44" s="285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93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5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18" t="s">
        <v>82</v>
      </c>
      <c r="C45" s="219"/>
      <c r="D45" s="219"/>
      <c r="E45" s="219"/>
      <c r="F45" s="219"/>
      <c r="G45" s="219"/>
      <c r="H45" s="220"/>
      <c r="I45" s="11"/>
      <c r="J45" s="218" t="s">
        <v>83</v>
      </c>
      <c r="K45" s="219"/>
      <c r="L45" s="219"/>
      <c r="M45" s="219"/>
      <c r="N45" s="219"/>
      <c r="O45" s="219"/>
      <c r="P45" s="220"/>
      <c r="Q45" s="11"/>
      <c r="R45" s="12"/>
      <c r="S45" s="218" t="s">
        <v>82</v>
      </c>
      <c r="T45" s="219"/>
      <c r="U45" s="219"/>
      <c r="V45" s="219"/>
      <c r="W45" s="219"/>
      <c r="X45" s="219"/>
      <c r="Y45" s="220"/>
      <c r="Z45" s="11"/>
      <c r="AA45" s="218" t="s">
        <v>83</v>
      </c>
      <c r="AB45" s="219"/>
      <c r="AC45" s="219"/>
      <c r="AD45" s="219"/>
      <c r="AE45" s="219"/>
      <c r="AF45" s="219"/>
      <c r="AG45" s="220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35" t="s">
        <v>46</v>
      </c>
      <c r="C46" s="236"/>
      <c r="D46" s="236"/>
      <c r="E46" s="236"/>
      <c r="F46" s="236"/>
      <c r="G46" s="30">
        <v>300</v>
      </c>
      <c r="H46" s="31" t="s">
        <v>47</v>
      </c>
      <c r="I46" s="29"/>
      <c r="J46" s="235" t="s">
        <v>46</v>
      </c>
      <c r="K46" s="236"/>
      <c r="L46" s="236"/>
      <c r="M46" s="236"/>
      <c r="N46" s="236"/>
      <c r="O46" s="30">
        <v>400</v>
      </c>
      <c r="P46" s="31" t="s">
        <v>47</v>
      </c>
      <c r="Q46" s="29"/>
      <c r="R46" s="32"/>
      <c r="S46" s="221" t="s">
        <v>46</v>
      </c>
      <c r="T46" s="222"/>
      <c r="U46" s="222"/>
      <c r="V46" s="222"/>
      <c r="W46" s="223"/>
      <c r="X46" s="30">
        <v>300</v>
      </c>
      <c r="Y46" s="31" t="s">
        <v>47</v>
      </c>
      <c r="Z46" s="29"/>
      <c r="AA46" s="221" t="s">
        <v>46</v>
      </c>
      <c r="AB46" s="222"/>
      <c r="AC46" s="222"/>
      <c r="AD46" s="222"/>
      <c r="AE46" s="223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37" t="s">
        <v>49</v>
      </c>
      <c r="C47" s="238"/>
      <c r="D47" s="238"/>
      <c r="E47" s="238"/>
      <c r="F47" s="238"/>
      <c r="G47" s="34">
        <v>545</v>
      </c>
      <c r="H47" s="27" t="s">
        <v>50</v>
      </c>
      <c r="I47" s="29"/>
      <c r="J47" s="237" t="s">
        <v>49</v>
      </c>
      <c r="K47" s="238"/>
      <c r="L47" s="238"/>
      <c r="M47" s="238"/>
      <c r="N47" s="238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37" t="s">
        <v>55</v>
      </c>
      <c r="C48" s="238"/>
      <c r="D48" s="238"/>
      <c r="E48" s="238"/>
      <c r="F48" s="238"/>
      <c r="G48" s="38">
        <f>G47/1.2</f>
        <v>454.16666666666669</v>
      </c>
      <c r="H48" s="27" t="s">
        <v>50</v>
      </c>
      <c r="I48" s="29"/>
      <c r="J48" s="237" t="s">
        <v>55</v>
      </c>
      <c r="K48" s="238"/>
      <c r="L48" s="238"/>
      <c r="M48" s="238"/>
      <c r="N48" s="238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39" t="s">
        <v>58</v>
      </c>
      <c r="C49" s="240"/>
      <c r="D49" s="240"/>
      <c r="E49" s="240"/>
      <c r="F49" s="240"/>
      <c r="G49" s="41">
        <f>G47*0.87</f>
        <v>474.15</v>
      </c>
      <c r="H49" s="42" t="s">
        <v>50</v>
      </c>
      <c r="I49" s="29"/>
      <c r="J49" s="239" t="s">
        <v>58</v>
      </c>
      <c r="K49" s="240"/>
      <c r="L49" s="240"/>
      <c r="M49" s="240"/>
      <c r="N49" s="240"/>
      <c r="O49" s="41">
        <f>O47*0.87</f>
        <v>522</v>
      </c>
      <c r="P49" s="42" t="s">
        <v>50</v>
      </c>
      <c r="Q49" s="43"/>
      <c r="R49" s="44"/>
      <c r="S49" s="224" t="s">
        <v>59</v>
      </c>
      <c r="T49" s="225"/>
      <c r="U49" s="225"/>
      <c r="V49" s="225"/>
      <c r="W49" s="226"/>
      <c r="X49" s="45">
        <v>0.11700000000000001</v>
      </c>
      <c r="Y49" s="46" t="s">
        <v>52</v>
      </c>
      <c r="Z49" s="29"/>
      <c r="AA49" s="224" t="s">
        <v>59</v>
      </c>
      <c r="AB49" s="225"/>
      <c r="AC49" s="225"/>
      <c r="AD49" s="225"/>
      <c r="AE49" s="226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39" t="s">
        <v>62</v>
      </c>
      <c r="C50" s="240"/>
      <c r="D50" s="240"/>
      <c r="E50" s="240"/>
      <c r="F50" s="240"/>
      <c r="G50" s="41">
        <f>G49/1.2</f>
        <v>395.125</v>
      </c>
      <c r="H50" s="42" t="s">
        <v>50</v>
      </c>
      <c r="I50" s="29"/>
      <c r="J50" s="239" t="s">
        <v>62</v>
      </c>
      <c r="K50" s="240"/>
      <c r="L50" s="240"/>
      <c r="M50" s="240"/>
      <c r="N50" s="240"/>
      <c r="O50" s="41">
        <f>O49/1.2</f>
        <v>435</v>
      </c>
      <c r="P50" s="42" t="s">
        <v>50</v>
      </c>
      <c r="Q50" s="43"/>
      <c r="R50" s="44"/>
      <c r="S50" s="281"/>
      <c r="T50" s="281"/>
      <c r="U50" s="281"/>
      <c r="V50" s="281"/>
      <c r="W50" s="281"/>
      <c r="X50" s="48"/>
      <c r="Y50" s="29"/>
      <c r="Z50" s="29"/>
      <c r="AA50" s="281"/>
      <c r="AB50" s="281"/>
      <c r="AC50" s="281"/>
      <c r="AD50" s="281"/>
      <c r="AE50" s="281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41" t="s">
        <v>64</v>
      </c>
      <c r="C51" s="242"/>
      <c r="D51" s="242"/>
      <c r="E51" s="242"/>
      <c r="F51" s="242"/>
      <c r="G51" s="51">
        <f>G47*0.76</f>
        <v>414.2</v>
      </c>
      <c r="H51" s="52" t="s">
        <v>50</v>
      </c>
      <c r="I51" s="29"/>
      <c r="J51" s="241" t="s">
        <v>64</v>
      </c>
      <c r="K51" s="242"/>
      <c r="L51" s="242"/>
      <c r="M51" s="242"/>
      <c r="N51" s="242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43" t="s">
        <v>66</v>
      </c>
      <c r="C52" s="244"/>
      <c r="D52" s="244"/>
      <c r="E52" s="244"/>
      <c r="F52" s="244"/>
      <c r="G52" s="56">
        <f>G51/1.2</f>
        <v>345.16666666666669</v>
      </c>
      <c r="H52" s="57" t="s">
        <v>50</v>
      </c>
      <c r="I52" s="69"/>
      <c r="J52" s="243" t="s">
        <v>66</v>
      </c>
      <c r="K52" s="244"/>
      <c r="L52" s="244"/>
      <c r="M52" s="244"/>
      <c r="N52" s="244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84" t="s">
        <v>158</v>
      </c>
      <c r="C53" s="285"/>
      <c r="D53" s="285"/>
      <c r="E53" s="285"/>
      <c r="F53" s="285"/>
      <c r="G53" s="191">
        <f>G47*0.708</f>
        <v>385.85999999999996</v>
      </c>
      <c r="H53" s="190" t="s">
        <v>50</v>
      </c>
      <c r="J53" s="284" t="s">
        <v>158</v>
      </c>
      <c r="K53" s="285"/>
      <c r="L53" s="285"/>
      <c r="M53" s="285"/>
      <c r="N53" s="285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09" t="s">
        <v>138</v>
      </c>
      <c r="C55" s="210"/>
      <c r="D55" s="210"/>
      <c r="E55" s="210"/>
      <c r="F55" s="210"/>
      <c r="G55" s="210"/>
      <c r="H55" s="211"/>
      <c r="J55" s="218" t="s">
        <v>139</v>
      </c>
      <c r="K55" s="219"/>
      <c r="L55" s="219"/>
      <c r="M55" s="219"/>
      <c r="N55" s="219"/>
      <c r="O55" s="219"/>
      <c r="P55" s="220"/>
      <c r="S55" s="209" t="s">
        <v>138</v>
      </c>
      <c r="T55" s="210"/>
      <c r="U55" s="210"/>
      <c r="V55" s="210"/>
      <c r="W55" s="210"/>
      <c r="X55" s="210"/>
      <c r="Y55" s="211"/>
      <c r="AA55" s="218" t="s">
        <v>139</v>
      </c>
      <c r="AB55" s="219"/>
      <c r="AC55" s="219"/>
      <c r="AD55" s="219"/>
      <c r="AE55" s="219"/>
      <c r="AF55" s="219"/>
      <c r="AG55" s="220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27" t="s">
        <v>46</v>
      </c>
      <c r="C56" s="228"/>
      <c r="D56" s="228"/>
      <c r="E56" s="228"/>
      <c r="F56" s="228"/>
      <c r="G56" s="134">
        <v>400</v>
      </c>
      <c r="H56" s="135" t="s">
        <v>47</v>
      </c>
      <c r="J56" s="235" t="s">
        <v>46</v>
      </c>
      <c r="K56" s="236"/>
      <c r="L56" s="236"/>
      <c r="M56" s="236"/>
      <c r="N56" s="236"/>
      <c r="O56" s="30">
        <v>630</v>
      </c>
      <c r="P56" s="31" t="s">
        <v>47</v>
      </c>
      <c r="S56" s="212" t="s">
        <v>46</v>
      </c>
      <c r="T56" s="213"/>
      <c r="U56" s="213"/>
      <c r="V56" s="213"/>
      <c r="W56" s="214"/>
      <c r="X56" s="134">
        <v>500</v>
      </c>
      <c r="Y56" s="135" t="s">
        <v>47</v>
      </c>
      <c r="AA56" s="221" t="s">
        <v>46</v>
      </c>
      <c r="AB56" s="222"/>
      <c r="AC56" s="222"/>
      <c r="AD56" s="222"/>
      <c r="AE56" s="223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29" t="s">
        <v>49</v>
      </c>
      <c r="C57" s="230"/>
      <c r="D57" s="230"/>
      <c r="E57" s="230"/>
      <c r="F57" s="230"/>
      <c r="G57" s="144">
        <v>659</v>
      </c>
      <c r="H57" s="140" t="s">
        <v>50</v>
      </c>
      <c r="J57" s="237" t="s">
        <v>49</v>
      </c>
      <c r="K57" s="238"/>
      <c r="L57" s="238"/>
      <c r="M57" s="238"/>
      <c r="N57" s="238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29" t="s">
        <v>55</v>
      </c>
      <c r="C58" s="230"/>
      <c r="D58" s="230"/>
      <c r="E58" s="230"/>
      <c r="F58" s="230"/>
      <c r="G58" s="145">
        <f>G57/1.2</f>
        <v>549.16666666666674</v>
      </c>
      <c r="H58" s="140" t="s">
        <v>50</v>
      </c>
      <c r="J58" s="237" t="s">
        <v>55</v>
      </c>
      <c r="K58" s="238"/>
      <c r="L58" s="238"/>
      <c r="M58" s="238"/>
      <c r="N58" s="238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31" t="s">
        <v>58</v>
      </c>
      <c r="C59" s="232"/>
      <c r="D59" s="232"/>
      <c r="E59" s="232"/>
      <c r="F59" s="232"/>
      <c r="G59" s="146">
        <f>G57*0.87</f>
        <v>573.33000000000004</v>
      </c>
      <c r="H59" s="147" t="s">
        <v>50</v>
      </c>
      <c r="J59" s="239" t="s">
        <v>58</v>
      </c>
      <c r="K59" s="240"/>
      <c r="L59" s="240"/>
      <c r="M59" s="240"/>
      <c r="N59" s="240"/>
      <c r="O59" s="41">
        <f>O57*0.87</f>
        <v>627.27</v>
      </c>
      <c r="P59" s="42" t="s">
        <v>50</v>
      </c>
      <c r="S59" s="215" t="s">
        <v>59</v>
      </c>
      <c r="T59" s="216"/>
      <c r="U59" s="216"/>
      <c r="V59" s="216"/>
      <c r="W59" s="217"/>
      <c r="X59" s="142">
        <v>0.112</v>
      </c>
      <c r="Y59" s="143" t="s">
        <v>52</v>
      </c>
      <c r="AA59" s="224" t="s">
        <v>59</v>
      </c>
      <c r="AB59" s="225"/>
      <c r="AC59" s="225"/>
      <c r="AD59" s="225"/>
      <c r="AE59" s="226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31" t="s">
        <v>62</v>
      </c>
      <c r="C60" s="232"/>
      <c r="D60" s="232"/>
      <c r="E60" s="232"/>
      <c r="F60" s="232"/>
      <c r="G60" s="146">
        <f>G59/1.2</f>
        <v>477.77500000000003</v>
      </c>
      <c r="H60" s="147" t="s">
        <v>50</v>
      </c>
      <c r="J60" s="239" t="s">
        <v>62</v>
      </c>
      <c r="K60" s="240"/>
      <c r="L60" s="240"/>
      <c r="M60" s="240"/>
      <c r="N60" s="240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96" t="s">
        <v>64</v>
      </c>
      <c r="C61" s="297"/>
      <c r="D61" s="297"/>
      <c r="E61" s="297"/>
      <c r="F61" s="297"/>
      <c r="G61" s="148">
        <f>G57*0.76</f>
        <v>500.84000000000003</v>
      </c>
      <c r="H61" s="149" t="s">
        <v>50</v>
      </c>
      <c r="J61" s="241" t="s">
        <v>64</v>
      </c>
      <c r="K61" s="242"/>
      <c r="L61" s="242"/>
      <c r="M61" s="242"/>
      <c r="N61" s="242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33" t="s">
        <v>66</v>
      </c>
      <c r="C62" s="234"/>
      <c r="D62" s="234"/>
      <c r="E62" s="234"/>
      <c r="F62" s="234"/>
      <c r="G62" s="150">
        <f>G61/1.2</f>
        <v>417.36666666666673</v>
      </c>
      <c r="H62" s="151" t="s">
        <v>50</v>
      </c>
      <c r="J62" s="243" t="s">
        <v>66</v>
      </c>
      <c r="K62" s="244"/>
      <c r="L62" s="244"/>
      <c r="M62" s="244"/>
      <c r="N62" s="244"/>
      <c r="O62" s="56">
        <f>O61/1.2</f>
        <v>456.63333333333338</v>
      </c>
      <c r="P62" s="57" t="s">
        <v>50</v>
      </c>
    </row>
    <row r="63" spans="1:68" ht="15" customHeight="1" x14ac:dyDescent="0.25">
      <c r="B63" s="284" t="s">
        <v>158</v>
      </c>
      <c r="C63" s="285"/>
      <c r="D63" s="285"/>
      <c r="E63" s="285"/>
      <c r="F63" s="285"/>
      <c r="G63" s="191">
        <f>G57*0.708</f>
        <v>466.572</v>
      </c>
      <c r="H63" s="190" t="s">
        <v>50</v>
      </c>
      <c r="J63" s="284" t="s">
        <v>158</v>
      </c>
      <c r="K63" s="285"/>
      <c r="L63" s="285"/>
      <c r="M63" s="285"/>
      <c r="N63" s="285"/>
      <c r="O63" s="191">
        <f>O57*0.708</f>
        <v>510.46799999999996</v>
      </c>
      <c r="P63" s="190" t="s">
        <v>50</v>
      </c>
    </row>
  </sheetData>
  <mergeCells count="207"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2020-11-03T21:18:47Z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