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yne\Documents\Repos\CrashPilot\"/>
    </mc:Choice>
  </mc:AlternateContent>
  <xr:revisionPtr revIDLastSave="0" documentId="8_{68AF6D9F-D9A4-4808-BE4D-8C6B0A15C4BB}" xr6:coauthVersionLast="47" xr6:coauthVersionMax="47" xr10:uidLastSave="{00000000-0000-0000-0000-000000000000}"/>
  <bookViews>
    <workbookView xWindow="-16320" yWindow="-6720" windowWidth="16440" windowHeight="28320" activeTab="2" xr2:uid="{75D5305D-9536-4117-8024-D196E45AA957}"/>
  </bookViews>
  <sheets>
    <sheet name="Major_Components" sheetId="2" r:id="rId1"/>
    <sheet name="Preliminary_Weight_Estimate" sheetId="1" r:id="rId2"/>
    <sheet name="Aerodynamic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9" i="3" l="1"/>
  <c r="O10" i="3"/>
  <c r="H9" i="3"/>
  <c r="I9" i="3" s="1"/>
  <c r="H10" i="3"/>
  <c r="I10" i="3" s="1"/>
  <c r="F2" i="3"/>
  <c r="A4" i="3"/>
  <c r="M12" i="3" s="1"/>
  <c r="M13" i="3" s="1"/>
  <c r="M30" i="3"/>
  <c r="A14" i="3"/>
  <c r="A15" i="3" s="1"/>
  <c r="A16" i="3" s="1"/>
  <c r="A17" i="3" s="1"/>
  <c r="A18" i="3" s="1"/>
  <c r="H8" i="3"/>
  <c r="B13" i="3" s="1"/>
  <c r="G6" i="2"/>
  <c r="K3" i="1"/>
  <c r="K6" i="1" s="1"/>
  <c r="L2" i="3" s="1"/>
  <c r="E5" i="1"/>
  <c r="F5" i="1" s="1"/>
  <c r="F4" i="1"/>
  <c r="F3" i="1"/>
  <c r="E2" i="1"/>
  <c r="F2" i="1" s="1"/>
  <c r="K4" i="1" l="1"/>
  <c r="M4" i="1" s="1"/>
  <c r="K5" i="1"/>
  <c r="M5" i="1" s="1"/>
  <c r="M3" i="1"/>
  <c r="O22" i="3"/>
  <c r="O23" i="3" s="1"/>
  <c r="M6" i="1"/>
  <c r="M18" i="3"/>
  <c r="M14" i="3" s="1"/>
  <c r="A19" i="3"/>
  <c r="A20" i="3" s="1"/>
  <c r="A21" i="3" s="1"/>
  <c r="A22" i="3" s="1"/>
  <c r="A23" i="3" s="1"/>
  <c r="B18" i="3"/>
  <c r="I8" i="3"/>
  <c r="B15" i="3"/>
  <c r="O8" i="3"/>
  <c r="B14" i="3"/>
  <c r="B17" i="3"/>
  <c r="B16" i="3"/>
  <c r="I2" i="3"/>
  <c r="K2" i="3" l="1"/>
  <c r="J2" i="3"/>
  <c r="N24" i="3"/>
  <c r="O24" i="3"/>
  <c r="O25" i="3" s="1"/>
  <c r="M24" i="3"/>
  <c r="H2" i="3"/>
  <c r="B23" i="3"/>
  <c r="A24" i="3"/>
  <c r="B21" i="3"/>
  <c r="B20" i="3"/>
  <c r="B19" i="3"/>
  <c r="B22" i="3"/>
  <c r="P8" i="3" l="1"/>
  <c r="P10" i="3"/>
  <c r="Q10" i="3" s="1"/>
  <c r="R10" i="3" s="1"/>
  <c r="P9" i="3"/>
  <c r="M22" i="3"/>
  <c r="M23" i="3" s="1"/>
  <c r="Q8" i="3"/>
  <c r="N22" i="3"/>
  <c r="N23" i="3" s="1"/>
  <c r="Q9" i="3"/>
  <c r="R9" i="3" s="1"/>
  <c r="N25" i="3"/>
  <c r="M25" i="3"/>
  <c r="R8" i="3"/>
  <c r="K9" i="3"/>
  <c r="L9" i="3" s="1"/>
  <c r="M9" i="3" s="1"/>
  <c r="K8" i="3"/>
  <c r="L8" i="3" s="1"/>
  <c r="M8" i="3" s="1"/>
  <c r="K10" i="3"/>
  <c r="L10" i="3" s="1"/>
  <c r="M10" i="3" s="1"/>
  <c r="A25" i="3"/>
  <c r="B24" i="3"/>
  <c r="A26" i="3" l="1"/>
  <c r="B25" i="3"/>
  <c r="A27" i="3" l="1"/>
  <c r="B26" i="3"/>
  <c r="A28" i="3" l="1"/>
  <c r="B27" i="3"/>
  <c r="A29" i="3" l="1"/>
  <c r="B28" i="3"/>
  <c r="A30" i="3" l="1"/>
  <c r="B29" i="3"/>
  <c r="A31" i="3" l="1"/>
  <c r="B30" i="3"/>
  <c r="A32" i="3" l="1"/>
  <c r="B31" i="3"/>
  <c r="A33" i="3" l="1"/>
  <c r="B33" i="3" s="1"/>
  <c r="B32" i="3"/>
</calcChain>
</file>

<file path=xl/sharedStrings.xml><?xml version="1.0" encoding="utf-8"?>
<sst xmlns="http://schemas.openxmlformats.org/spreadsheetml/2006/main" count="114" uniqueCount="94">
  <si>
    <t>FT Mini Sparrow</t>
  </si>
  <si>
    <t>Foam</t>
  </si>
  <si>
    <t>FT Mini Corsair</t>
  </si>
  <si>
    <t>foam</t>
  </si>
  <si>
    <t>FT Mini Scout</t>
  </si>
  <si>
    <t>FT Mini Mustang</t>
  </si>
  <si>
    <t>FT Mighty Mini</t>
  </si>
  <si>
    <t>Material</t>
  </si>
  <si>
    <t>AR</t>
  </si>
  <si>
    <t>S</t>
  </si>
  <si>
    <t>c (mm)</t>
  </si>
  <si>
    <t>W0 (g)</t>
  </si>
  <si>
    <t>b (mm)</t>
  </si>
  <si>
    <t>Title of Aircraft</t>
  </si>
  <si>
    <t>Name</t>
  </si>
  <si>
    <t>Motor</t>
  </si>
  <si>
    <t>ESC</t>
  </si>
  <si>
    <t>Battery</t>
  </si>
  <si>
    <t>Reciever</t>
  </si>
  <si>
    <t>Servos</t>
  </si>
  <si>
    <t>Control Rods and Horns</t>
  </si>
  <si>
    <t>Crash Pilot (estimate)</t>
  </si>
  <si>
    <t>Glider Batteries</t>
  </si>
  <si>
    <t>Weight (g)</t>
  </si>
  <si>
    <t>https://www.amazon.com/Gens-ace-Battery-2200mAh-Airplane/dp/B00WJN4LG0</t>
  </si>
  <si>
    <t>https://store.flitetest.com/emax-gt2215-1100kv-motor/</t>
  </si>
  <si>
    <t>https://store.flitetest.com/blheli-series-30a-esc-xt60/</t>
  </si>
  <si>
    <t>Alternates</t>
  </si>
  <si>
    <t>https://www.amazon.com/Flysky-FS_iA10B-Receiver-Compatible-Transmitter/dp/B07GBNHHR4/ref=pd_day0fbt_sccl_1/142-0773107-8908043?pd_rd_w=Ng6L2&amp;content-id=amzn1.sym.9a7bb4f0-99f2-4dae-8247-9faa276d7c6a&amp;pf_rd_p=9a7bb4f0-99f2-4dae-8247-9faa276d7c6a&amp;pf_rd_r=ZQBBXPP85Q77KMZX3CB8&amp;pd_rd_wg=0trLC&amp;pd_rd_r=a9300538-3791-4410-b293-0700c053e23c&amp;pd_rd_i=B07GBNHHR4&amp;psc=1</t>
  </si>
  <si>
    <t>https://store.flitetest.com/tattu-1300mah-3s-75c-lipo-battery-pack-with-xt60-plug/</t>
  </si>
  <si>
    <t>https://store.flitetest.com/lemon-rx-dsmp-dsmx-dsm2-compatible-6-channel-chd/</t>
  </si>
  <si>
    <t>Propeller</t>
  </si>
  <si>
    <t xml:space="preserve">Gens Ace </t>
  </si>
  <si>
    <t>FLSky</t>
  </si>
  <si>
    <t>Desired Wingspan</t>
  </si>
  <si>
    <t>Estimated Airframe Weight</t>
  </si>
  <si>
    <t>Glider Estimated Total Weight</t>
  </si>
  <si>
    <t>Powered Estimated Total Weight</t>
  </si>
  <si>
    <t>Glider</t>
  </si>
  <si>
    <t>Powered</t>
  </si>
  <si>
    <t>mm</t>
  </si>
  <si>
    <t>g</t>
  </si>
  <si>
    <t>Alternate</t>
  </si>
  <si>
    <t>N</t>
  </si>
  <si>
    <t>Wingspan</t>
  </si>
  <si>
    <t>Chord Length</t>
  </si>
  <si>
    <t>Density</t>
  </si>
  <si>
    <t>Flight Speed</t>
  </si>
  <si>
    <t>Viscosity</t>
  </si>
  <si>
    <t>meters</t>
  </si>
  <si>
    <t>kg/m^3</t>
  </si>
  <si>
    <t>m/s</t>
  </si>
  <si>
    <t>Reynolds Number</t>
  </si>
  <si>
    <t>Aspect Ratio</t>
  </si>
  <si>
    <t>Powered Weight (N)</t>
  </si>
  <si>
    <t>Area (m^2)</t>
  </si>
  <si>
    <t>based on initial sketch</t>
  </si>
  <si>
    <t>From airfoil tools</t>
  </si>
  <si>
    <t>Using slope</t>
  </si>
  <si>
    <t>Based on L/D on af tools</t>
  </si>
  <si>
    <t>Airfoil Name</t>
  </si>
  <si>
    <t>Cl0</t>
  </si>
  <si>
    <t>Cla (per deg)</t>
  </si>
  <si>
    <t>Cla (per rad)</t>
  </si>
  <si>
    <t>Clmax</t>
  </si>
  <si>
    <t>CLmax</t>
  </si>
  <si>
    <t>Vstall (m/s)</t>
  </si>
  <si>
    <t>Vstall (mph)</t>
  </si>
  <si>
    <t>AoA max L/D (deg)</t>
  </si>
  <si>
    <t>Cl for max L/D</t>
  </si>
  <si>
    <t>CL max L/D</t>
  </si>
  <si>
    <t>V for ma L/D (m/s)</t>
  </si>
  <si>
    <t>V for max L/D (mph)</t>
  </si>
  <si>
    <t>Changed after I computed the max L/D speed</t>
  </si>
  <si>
    <t>sI units</t>
  </si>
  <si>
    <t>TAIL DESIGN</t>
  </si>
  <si>
    <t>AoA</t>
  </si>
  <si>
    <t>Clark Y Cl</t>
  </si>
  <si>
    <t>Airfoil 2 Cl</t>
  </si>
  <si>
    <t>Airfoil 3 Cl</t>
  </si>
  <si>
    <t>inches</t>
  </si>
  <si>
    <t>Same as main wing</t>
  </si>
  <si>
    <t>Root Chord</t>
  </si>
  <si>
    <t>Tip Chord</t>
  </si>
  <si>
    <t>AREA (AGAIN)</t>
  </si>
  <si>
    <t>inches^2</t>
  </si>
  <si>
    <t>Wing Cube Loading Analysis</t>
  </si>
  <si>
    <t>lbs</t>
  </si>
  <si>
    <t>oz</t>
  </si>
  <si>
    <t>ft</t>
  </si>
  <si>
    <t>oz/ft^3</t>
  </si>
  <si>
    <t>Glider Weight (N)</t>
  </si>
  <si>
    <t>Alternate Weight</t>
  </si>
  <si>
    <t>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</si>
</sst>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4" fontId="1" fillId="0" borderId="0" xfId="0" applyNumberFormat="1" applyFont="1"/>
    <xf numFmtId="11" fontId="1" fillId="0" borderId="0" xfId="0" applyNumberFormat="1" applyFont="1"/>
    <xf numFmtId="0" fontId="1" fillId="0" borderId="0" xfId="0" applyFont="1"/>
    <xf numFmtId="0" fontId="0" fillId="0" borderId="0" xfId="0"/>
    <xf numFmtId="0" fontId="1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Approximation</a:t>
            </a:r>
          </a:p>
        </c:rich>
      </c:tx>
      <c:layout>
        <c:manualLayout>
          <c:xMode val="edge"/>
          <c:yMode val="edge"/>
          <c:x val="0.17483375956841046"/>
          <c:y val="4.29859859762451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Preliminary_Weight_Estimate!$C$1</c:f>
              <c:strCache>
                <c:ptCount val="1"/>
                <c:pt idx="0">
                  <c:v>W0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406142554684367"/>
                  <c:y val="-0.217382585006268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Preliminary_Weight_Estimate!$B$2:$B$7</c:f>
              <c:numCache>
                <c:formatCode>General</c:formatCode>
                <c:ptCount val="6"/>
                <c:pt idx="0">
                  <c:v>940</c:v>
                </c:pt>
                <c:pt idx="1">
                  <c:v>622</c:v>
                </c:pt>
                <c:pt idx="2">
                  <c:v>609</c:v>
                </c:pt>
                <c:pt idx="3">
                  <c:v>610</c:v>
                </c:pt>
                <c:pt idx="4">
                  <c:v>723</c:v>
                </c:pt>
              </c:numCache>
            </c:numRef>
          </c:xVal>
          <c:yVal>
            <c:numRef>
              <c:f>Preliminary_Weight_Estimate!$C$2:$C$7</c:f>
              <c:numCache>
                <c:formatCode>General</c:formatCode>
                <c:ptCount val="6"/>
                <c:pt idx="0">
                  <c:v>193</c:v>
                </c:pt>
                <c:pt idx="1">
                  <c:v>156</c:v>
                </c:pt>
                <c:pt idx="2">
                  <c:v>115</c:v>
                </c:pt>
                <c:pt idx="3">
                  <c:v>156</c:v>
                </c:pt>
                <c:pt idx="4">
                  <c:v>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9B-4311-9F7B-C24F22D18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9071"/>
        <c:axId val="98399903"/>
      </c:scatterChart>
      <c:valAx>
        <c:axId val="98399071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Wingspan</a:t>
                </a:r>
                <a:r>
                  <a:rPr lang="en-US" baseline="0"/>
                  <a:t> (b)(mm)</a:t>
                </a:r>
              </a:p>
            </c:rich>
          </c:tx>
          <c:layout>
            <c:manualLayout>
              <c:xMode val="edge"/>
              <c:yMode val="edge"/>
              <c:x val="0.47672108867053381"/>
              <c:y val="0.859193818141355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99903"/>
        <c:crosses val="autoZero"/>
        <c:crossBetween val="midCat"/>
      </c:valAx>
      <c:valAx>
        <c:axId val="983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99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Aerodynamics!$A$13:$A$33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Aerodynamics!$B$13:$B$33</c:f>
              <c:numCache>
                <c:formatCode>General</c:formatCode>
                <c:ptCount val="21"/>
                <c:pt idx="0">
                  <c:v>-0.66666666666666663</c:v>
                </c:pt>
                <c:pt idx="1">
                  <c:v>-0.55999999999999994</c:v>
                </c:pt>
                <c:pt idx="2">
                  <c:v>-0.45333333333333325</c:v>
                </c:pt>
                <c:pt idx="3">
                  <c:v>-0.34666666666666657</c:v>
                </c:pt>
                <c:pt idx="4">
                  <c:v>-0.23999999999999988</c:v>
                </c:pt>
                <c:pt idx="5">
                  <c:v>-0.1333333333333333</c:v>
                </c:pt>
                <c:pt idx="6">
                  <c:v>-2.6666666666666616E-2</c:v>
                </c:pt>
                <c:pt idx="7">
                  <c:v>8.0000000000000071E-2</c:v>
                </c:pt>
                <c:pt idx="8">
                  <c:v>0.1866666666666667</c:v>
                </c:pt>
                <c:pt idx="9">
                  <c:v>0.29333333333333333</c:v>
                </c:pt>
                <c:pt idx="10">
                  <c:v>0.4</c:v>
                </c:pt>
                <c:pt idx="11">
                  <c:v>0.50666666666666671</c:v>
                </c:pt>
                <c:pt idx="12">
                  <c:v>0.61333333333333329</c:v>
                </c:pt>
                <c:pt idx="13">
                  <c:v>0.72</c:v>
                </c:pt>
                <c:pt idx="14">
                  <c:v>0.82666666666666666</c:v>
                </c:pt>
                <c:pt idx="15">
                  <c:v>0.93333333333333335</c:v>
                </c:pt>
                <c:pt idx="16">
                  <c:v>1.04</c:v>
                </c:pt>
                <c:pt idx="17">
                  <c:v>1.1466666666666665</c:v>
                </c:pt>
                <c:pt idx="18">
                  <c:v>1.2533333333333334</c:v>
                </c:pt>
                <c:pt idx="19">
                  <c:v>1.3599999999999999</c:v>
                </c:pt>
                <c:pt idx="20">
                  <c:v>1.4666666666666668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7-4C5F-AA2A-DDE5143EB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502148"/>
        <c:axId val="1101588892"/>
      </c:lineChart>
      <c:catAx>
        <c:axId val="6215021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01588892"/>
        <c:crosses val="autoZero"/>
        <c:auto val="1"/>
        <c:lblAlgn val="ctr"/>
        <c:lblOffset val="100"/>
        <c:noMultiLvlLbl val="1"/>
      </c:catAx>
      <c:valAx>
        <c:axId val="11015888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2150214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7</xdr:row>
      <xdr:rowOff>95250</xdr:rowOff>
    </xdr:from>
    <xdr:to>
      <xdr:col>7</xdr:col>
      <xdr:colOff>398689</xdr:colOff>
      <xdr:row>19</xdr:row>
      <xdr:rowOff>172811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8AD01B-0457-44B5-9AF8-9D56C75F5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390525</xdr:colOff>
      <xdr:row>13</xdr:row>
      <xdr:rowOff>0</xdr:rowOff>
    </xdr:from>
    <xdr:ext cx="5076825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32723C9-BC59-417D-A7BB-ECEC05430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EBA2B-63DF-4714-9E49-98507133E282}">
  <dimension ref="A1:H12"/>
  <sheetViews>
    <sheetView workbookViewId="0">
      <selection activeCell="E80" sqref="E80"/>
    </sheetView>
  </sheetViews>
  <sheetFormatPr defaultRowHeight="15" x14ac:dyDescent="0.25"/>
  <sheetData>
    <row r="1" spans="1:8" x14ac:dyDescent="0.25">
      <c r="A1" t="s">
        <v>14</v>
      </c>
      <c r="B1" t="s">
        <v>23</v>
      </c>
      <c r="F1" t="s">
        <v>27</v>
      </c>
    </row>
    <row r="2" spans="1:8" x14ac:dyDescent="0.25">
      <c r="A2" t="s">
        <v>15</v>
      </c>
      <c r="B2">
        <v>81</v>
      </c>
      <c r="C2" t="s">
        <v>25</v>
      </c>
    </row>
    <row r="3" spans="1:8" x14ac:dyDescent="0.25">
      <c r="A3" t="s">
        <v>16</v>
      </c>
      <c r="B3">
        <v>31</v>
      </c>
      <c r="C3" t="s">
        <v>26</v>
      </c>
    </row>
    <row r="4" spans="1:8" x14ac:dyDescent="0.25">
      <c r="A4" t="s">
        <v>17</v>
      </c>
      <c r="B4">
        <v>118</v>
      </c>
      <c r="C4" t="s">
        <v>29</v>
      </c>
      <c r="F4" t="s">
        <v>32</v>
      </c>
      <c r="G4">
        <v>190</v>
      </c>
      <c r="H4" t="s">
        <v>24</v>
      </c>
    </row>
    <row r="5" spans="1:8" x14ac:dyDescent="0.25">
      <c r="A5" t="s">
        <v>18</v>
      </c>
      <c r="B5">
        <v>4.54</v>
      </c>
      <c r="C5" t="s">
        <v>30</v>
      </c>
      <c r="F5" t="s">
        <v>33</v>
      </c>
      <c r="G5">
        <v>10</v>
      </c>
      <c r="H5" t="s">
        <v>28</v>
      </c>
    </row>
    <row r="6" spans="1:8" x14ac:dyDescent="0.25">
      <c r="A6" t="s">
        <v>19</v>
      </c>
      <c r="B6">
        <v>20</v>
      </c>
      <c r="G6">
        <f>9*4</f>
        <v>36</v>
      </c>
    </row>
    <row r="7" spans="1:8" x14ac:dyDescent="0.25">
      <c r="A7" t="s">
        <v>20</v>
      </c>
      <c r="B7">
        <v>17</v>
      </c>
    </row>
    <row r="8" spans="1:8" x14ac:dyDescent="0.25">
      <c r="A8" t="s">
        <v>31</v>
      </c>
      <c r="B8">
        <v>10</v>
      </c>
    </row>
    <row r="11" spans="1:8" x14ac:dyDescent="0.25">
      <c r="A11" t="s">
        <v>21</v>
      </c>
      <c r="B11">
        <v>50</v>
      </c>
    </row>
    <row r="12" spans="1:8" x14ac:dyDescent="0.25">
      <c r="A12" t="s">
        <v>22</v>
      </c>
      <c r="B12">
        <v>140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3E613-9C07-45BD-B781-8A8F98ACF172}">
  <dimension ref="A1:N6"/>
  <sheetViews>
    <sheetView topLeftCell="C1" workbookViewId="0">
      <selection activeCell="K6" sqref="K6"/>
    </sheetView>
  </sheetViews>
  <sheetFormatPr defaultRowHeight="15" x14ac:dyDescent="0.25"/>
  <sheetData>
    <row r="1" spans="1:14" x14ac:dyDescent="0.25">
      <c r="A1" s="2" t="s">
        <v>13</v>
      </c>
      <c r="B1" s="2" t="s">
        <v>12</v>
      </c>
      <c r="C1" s="2" t="s">
        <v>11</v>
      </c>
      <c r="D1" s="2" t="s">
        <v>10</v>
      </c>
      <c r="E1" s="2" t="s">
        <v>9</v>
      </c>
      <c r="F1" s="2" t="s">
        <v>8</v>
      </c>
      <c r="G1" s="2" t="s">
        <v>7</v>
      </c>
    </row>
    <row r="2" spans="1:14" x14ac:dyDescent="0.25">
      <c r="A2" s="1" t="s">
        <v>6</v>
      </c>
      <c r="B2" s="1">
        <v>940</v>
      </c>
      <c r="C2" s="1">
        <v>193</v>
      </c>
      <c r="D2" s="1">
        <v>127</v>
      </c>
      <c r="E2" s="1">
        <f>D2*B2</f>
        <v>119380</v>
      </c>
      <c r="F2" s="1">
        <f>B2^2/E2</f>
        <v>7.4015748031496065</v>
      </c>
      <c r="G2" s="1" t="s">
        <v>1</v>
      </c>
      <c r="J2" t="s">
        <v>34</v>
      </c>
      <c r="K2">
        <v>1156.0152846970273</v>
      </c>
      <c r="L2" t="s">
        <v>40</v>
      </c>
    </row>
    <row r="3" spans="1:14" x14ac:dyDescent="0.25">
      <c r="A3" s="1" t="s">
        <v>5</v>
      </c>
      <c r="B3" s="1">
        <v>622</v>
      </c>
      <c r="C3" s="1">
        <v>156</v>
      </c>
      <c r="D3" s="1">
        <v>290</v>
      </c>
      <c r="E3" s="1">
        <v>74193.399999999994</v>
      </c>
      <c r="F3" s="1">
        <f>B3^2/E3</f>
        <v>5.2145339073286845</v>
      </c>
      <c r="G3" s="1" t="s">
        <v>1</v>
      </c>
      <c r="J3" t="s">
        <v>35</v>
      </c>
      <c r="K3">
        <f>129.1*LN(K2)-682.58</f>
        <v>227.92799441207012</v>
      </c>
      <c r="L3" t="s">
        <v>41</v>
      </c>
      <c r="M3">
        <f>K3*9.81/1000</f>
        <v>2.2359736251824081</v>
      </c>
      <c r="N3" t="s">
        <v>43</v>
      </c>
    </row>
    <row r="4" spans="1:14" x14ac:dyDescent="0.25">
      <c r="A4" s="1" t="s">
        <v>4</v>
      </c>
      <c r="B4" s="1">
        <v>609</v>
      </c>
      <c r="C4" s="1">
        <v>115</v>
      </c>
      <c r="D4" s="1">
        <v>200</v>
      </c>
      <c r="E4" s="1">
        <v>85161</v>
      </c>
      <c r="F4" s="1">
        <f>B4^2/E4</f>
        <v>4.3550568922394053</v>
      </c>
      <c r="G4" s="1" t="s">
        <v>3</v>
      </c>
      <c r="J4" t="s">
        <v>36</v>
      </c>
      <c r="K4">
        <f>Major_Components!B12+Major_Components!B11+Major_Components!B6+Major_Components!B7+Preliminary_Weight_Estimate!K3</f>
        <v>454.92799441207012</v>
      </c>
      <c r="L4" t="s">
        <v>41</v>
      </c>
      <c r="M4">
        <f t="shared" ref="M4:M6" si="0">K4*9.81/1000</f>
        <v>4.4628436251824075</v>
      </c>
      <c r="N4" t="s">
        <v>43</v>
      </c>
    </row>
    <row r="5" spans="1:14" x14ac:dyDescent="0.25">
      <c r="A5" s="1" t="s">
        <v>2</v>
      </c>
      <c r="B5" s="1">
        <v>610</v>
      </c>
      <c r="C5" s="1">
        <v>156</v>
      </c>
      <c r="D5" s="1">
        <v>200</v>
      </c>
      <c r="E5" s="1">
        <f>D5*B5</f>
        <v>122000</v>
      </c>
      <c r="F5" s="1">
        <f>B5^2/E5</f>
        <v>3.05</v>
      </c>
      <c r="G5" s="1" t="s">
        <v>1</v>
      </c>
      <c r="J5" t="s">
        <v>37</v>
      </c>
      <c r="K5">
        <f>SUM(Major_Components!B2:B8)+Major_Components!B11+K3</f>
        <v>559.46799441207008</v>
      </c>
      <c r="L5" t="s">
        <v>41</v>
      </c>
      <c r="M5">
        <f t="shared" si="0"/>
        <v>5.4883810251824077</v>
      </c>
      <c r="N5" t="s">
        <v>43</v>
      </c>
    </row>
    <row r="6" spans="1:14" x14ac:dyDescent="0.25">
      <c r="A6" s="1" t="s">
        <v>0</v>
      </c>
      <c r="B6">
        <v>723</v>
      </c>
      <c r="C6" s="1">
        <v>187</v>
      </c>
      <c r="G6" s="1" t="s">
        <v>1</v>
      </c>
      <c r="J6" t="s">
        <v>42</v>
      </c>
      <c r="K6">
        <f>Major_Components!B2+Major_Components!B3+Major_Components!G4+Major_Components!G5+Major_Components!G6+Major_Components!B7+Major_Components!B8+Major_Components!B11+Preliminary_Weight_Estimate!K3</f>
        <v>652.92799441207012</v>
      </c>
      <c r="L6" t="s">
        <v>41</v>
      </c>
      <c r="M6">
        <f t="shared" si="0"/>
        <v>6.4052236251824075</v>
      </c>
      <c r="N6" t="s">
        <v>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7A495-895E-4FAA-A075-0E7891755ED7}">
  <dimension ref="A1:R33"/>
  <sheetViews>
    <sheetView tabSelected="1" workbookViewId="0">
      <selection activeCell="Q11" sqref="Q11"/>
    </sheetView>
  </sheetViews>
  <sheetFormatPr defaultRowHeight="15" x14ac:dyDescent="0.25"/>
  <cols>
    <col min="1" max="1" width="9.140625" customWidth="1"/>
    <col min="6" max="6" width="10.42578125" customWidth="1"/>
    <col min="12" max="12" width="10.42578125" customWidth="1"/>
  </cols>
  <sheetData>
    <row r="1" spans="1:18" x14ac:dyDescent="0.25">
      <c r="A1" s="1" t="s">
        <v>45</v>
      </c>
      <c r="F1" s="1" t="s">
        <v>52</v>
      </c>
      <c r="H1" s="1" t="s">
        <v>53</v>
      </c>
      <c r="I1" s="1" t="s">
        <v>55</v>
      </c>
      <c r="J1" s="1" t="s">
        <v>91</v>
      </c>
      <c r="K1" s="1" t="s">
        <v>54</v>
      </c>
      <c r="L1" s="1" t="s">
        <v>92</v>
      </c>
    </row>
    <row r="2" spans="1:18" x14ac:dyDescent="0.25">
      <c r="A2" s="1">
        <v>0.20300000000000001</v>
      </c>
      <c r="B2" s="1" t="s">
        <v>49</v>
      </c>
      <c r="C2" s="1" t="s">
        <v>56</v>
      </c>
      <c r="F2" s="3">
        <f>A6*A8*A2/A10</f>
        <v>274779.00552486192</v>
      </c>
      <c r="H2" s="1">
        <f>A4^2/I2</f>
        <v>5.6946565748622024</v>
      </c>
      <c r="I2" s="1">
        <f>A4*A2</f>
        <v>0.23467110279349657</v>
      </c>
      <c r="J2" s="1">
        <f>Preliminary_Weight_Estimate!K4*9.81/1000</f>
        <v>4.4628436251824075</v>
      </c>
      <c r="K2">
        <f>Preliminary_Weight_Estimate!K5*9.81/1000</f>
        <v>5.4883810251824077</v>
      </c>
      <c r="L2">
        <f>Preliminary_Weight_Estimate!K6*9.81/1000</f>
        <v>6.4052236251824075</v>
      </c>
    </row>
    <row r="3" spans="1:18" x14ac:dyDescent="0.25">
      <c r="A3" s="1" t="s">
        <v>44</v>
      </c>
      <c r="B3" s="1"/>
      <c r="C3" s="1"/>
      <c r="F3" s="3"/>
    </row>
    <row r="4" spans="1:18" x14ac:dyDescent="0.25">
      <c r="A4" s="1">
        <f>Preliminary_Weight_Estimate!K2/1000</f>
        <v>1.1560152846970273</v>
      </c>
      <c r="B4" s="1" t="s">
        <v>49</v>
      </c>
      <c r="C4" s="1" t="s">
        <v>56</v>
      </c>
      <c r="F4" s="3"/>
    </row>
    <row r="5" spans="1:18" x14ac:dyDescent="0.25">
      <c r="A5" s="1" t="s">
        <v>46</v>
      </c>
    </row>
    <row r="6" spans="1:18" x14ac:dyDescent="0.25">
      <c r="A6" s="1">
        <v>1.2250000000000001</v>
      </c>
      <c r="B6" s="1" t="s">
        <v>50</v>
      </c>
      <c r="F6" s="1" t="s">
        <v>57</v>
      </c>
      <c r="H6" s="1" t="s">
        <v>58</v>
      </c>
      <c r="N6" s="1" t="s">
        <v>59</v>
      </c>
    </row>
    <row r="7" spans="1:18" x14ac:dyDescent="0.25">
      <c r="A7" s="1" t="s">
        <v>47</v>
      </c>
      <c r="F7" s="1" t="s">
        <v>60</v>
      </c>
      <c r="G7" s="1" t="s">
        <v>61</v>
      </c>
      <c r="H7" s="1" t="s">
        <v>62</v>
      </c>
      <c r="I7" s="1" t="s">
        <v>63</v>
      </c>
      <c r="J7" s="1" t="s">
        <v>64</v>
      </c>
      <c r="K7" s="1" t="s">
        <v>65</v>
      </c>
      <c r="L7" s="1" t="s">
        <v>66</v>
      </c>
      <c r="M7" s="1" t="s">
        <v>67</v>
      </c>
      <c r="N7" s="1" t="s">
        <v>68</v>
      </c>
      <c r="O7" s="1" t="s">
        <v>69</v>
      </c>
      <c r="P7" s="1" t="s">
        <v>70</v>
      </c>
      <c r="Q7" s="1" t="s">
        <v>71</v>
      </c>
      <c r="R7" s="1" t="s">
        <v>72</v>
      </c>
    </row>
    <row r="8" spans="1:18" x14ac:dyDescent="0.25">
      <c r="A8" s="1">
        <v>20</v>
      </c>
      <c r="B8" s="1" t="s">
        <v>51</v>
      </c>
      <c r="C8" s="1" t="s">
        <v>73</v>
      </c>
      <c r="F8" s="1" t="s">
        <v>38</v>
      </c>
      <c r="G8" s="1">
        <v>0.4</v>
      </c>
      <c r="H8" s="1">
        <f>(1.2-0.4)/(7.5-0)</f>
        <v>0.10666666666666666</v>
      </c>
      <c r="I8" s="1">
        <f>H8*180/PI()</f>
        <v>6.1115498147287806</v>
      </c>
      <c r="J8" s="1">
        <v>1.4</v>
      </c>
      <c r="K8" s="1">
        <f>$J$8/(1+$J$8/(PI()*$H$2))</f>
        <v>1.2983944838596946</v>
      </c>
      <c r="L8" s="1">
        <f>SQRT(2*J2/($A$6*$I$2*K8))</f>
        <v>4.8901215070037818</v>
      </c>
      <c r="M8" s="1">
        <f>L8*2.23</f>
        <v>10.904970960618433</v>
      </c>
      <c r="N8" s="1">
        <v>4</v>
      </c>
      <c r="O8" s="1">
        <f>G8+H8*N8</f>
        <v>0.82666666666666666</v>
      </c>
      <c r="P8" s="1">
        <f>O8/(1+O8/(PI()*H2))</f>
        <v>0.79015551028943032</v>
      </c>
      <c r="Q8" s="1">
        <f>SQRT(2*J2/($A$6*$I$2*P8))</f>
        <v>6.268544232401581</v>
      </c>
      <c r="R8" s="1">
        <f>Q8*2.23</f>
        <v>13.978853638255526</v>
      </c>
    </row>
    <row r="9" spans="1:18" x14ac:dyDescent="0.25">
      <c r="A9" s="1" t="s">
        <v>48</v>
      </c>
      <c r="F9" s="1" t="s">
        <v>39</v>
      </c>
      <c r="G9" s="1">
        <v>0.4</v>
      </c>
      <c r="H9" s="1">
        <f t="shared" ref="H9:H10" si="0">(1.2-0.4)/(7.5-0)</f>
        <v>0.10666666666666666</v>
      </c>
      <c r="I9" s="1">
        <f t="shared" ref="I9:I10" si="1">H9*180/PI()</f>
        <v>6.1115498147287806</v>
      </c>
      <c r="J9" s="1">
        <v>1.4</v>
      </c>
      <c r="K9" s="1">
        <f t="shared" ref="K9:K10" si="2">$J$8/(1+$J$8/(PI()*$H$2))</f>
        <v>1.2983944838596946</v>
      </c>
      <c r="L9" s="1">
        <f>SQRT(2*K2/($A$6*$I$2*K9))</f>
        <v>5.4229542750066004</v>
      </c>
      <c r="M9" s="1">
        <f t="shared" ref="M9:M10" si="3">L9*2.23</f>
        <v>12.093188033264719</v>
      </c>
      <c r="N9" s="1">
        <v>4</v>
      </c>
      <c r="O9" s="1">
        <f t="shared" ref="O9:O10" si="4">G9+H9*N9</f>
        <v>0.82666666666666666</v>
      </c>
      <c r="P9" s="1">
        <f>O9/(1+O9/(PI()*$H$2))</f>
        <v>0.79015551028943032</v>
      </c>
      <c r="Q9" s="1">
        <f>SQRT(2*K2/($A$6*$I$2*P9))</f>
        <v>6.9515713862084691</v>
      </c>
      <c r="R9" s="1">
        <f t="shared" ref="R9:R10" si="5">Q9*2.23</f>
        <v>15.502004191244886</v>
      </c>
    </row>
    <row r="10" spans="1:18" x14ac:dyDescent="0.25">
      <c r="A10" s="4">
        <v>1.8099999999999999E-5</v>
      </c>
      <c r="B10" s="1" t="s">
        <v>74</v>
      </c>
      <c r="F10" s="1" t="s">
        <v>60</v>
      </c>
      <c r="G10" s="1">
        <v>0.4</v>
      </c>
      <c r="H10" s="1">
        <f t="shared" si="0"/>
        <v>0.10666666666666666</v>
      </c>
      <c r="I10" s="1">
        <f t="shared" si="1"/>
        <v>6.1115498147287806</v>
      </c>
      <c r="J10" s="1">
        <v>1.4</v>
      </c>
      <c r="K10" s="1">
        <f t="shared" si="2"/>
        <v>1.2983944838596946</v>
      </c>
      <c r="L10" s="1">
        <f>SQRT(2*L2/($A$6*$I$2*K10))</f>
        <v>5.8584262071917221</v>
      </c>
      <c r="M10" s="1">
        <f t="shared" si="3"/>
        <v>13.064290442037541</v>
      </c>
      <c r="N10" s="1">
        <v>4</v>
      </c>
      <c r="O10" s="1">
        <f t="shared" si="4"/>
        <v>0.82666666666666666</v>
      </c>
      <c r="P10" s="1">
        <f>O10/(1+O10/(PI()*$H$2))</f>
        <v>0.79015551028943032</v>
      </c>
      <c r="Q10" s="1">
        <f>SQRT(2*L2/($A$6*$I$2*P10))</f>
        <v>7.5097937258706118</v>
      </c>
      <c r="R10" s="1">
        <f t="shared" si="5"/>
        <v>16.746840008691464</v>
      </c>
    </row>
    <row r="11" spans="1:18" x14ac:dyDescent="0.25">
      <c r="L11" s="5" t="s">
        <v>75</v>
      </c>
      <c r="M11" s="6"/>
      <c r="N11" s="6"/>
    </row>
    <row r="12" spans="1:18" x14ac:dyDescent="0.25">
      <c r="A12" s="1" t="s">
        <v>76</v>
      </c>
      <c r="B12" s="1" t="s">
        <v>77</v>
      </c>
      <c r="C12" s="1" t="s">
        <v>78</v>
      </c>
      <c r="D12" s="1" t="s">
        <v>79</v>
      </c>
      <c r="L12" s="1" t="s">
        <v>44</v>
      </c>
      <c r="M12" s="1">
        <f>A4/2</f>
        <v>0.57800764234851365</v>
      </c>
      <c r="N12" s="1" t="s">
        <v>49</v>
      </c>
    </row>
    <row r="13" spans="1:18" x14ac:dyDescent="0.25">
      <c r="A13" s="1">
        <v>-10</v>
      </c>
      <c r="B13" s="1">
        <f t="shared" ref="B13:B33" si="6">$G$8+$H$8*A13</f>
        <v>-0.66666666666666663</v>
      </c>
      <c r="L13" s="1" t="s">
        <v>44</v>
      </c>
      <c r="M13" s="1">
        <f>M12*3.28*12</f>
        <v>22.750380802837498</v>
      </c>
      <c r="N13" s="1" t="s">
        <v>80</v>
      </c>
    </row>
    <row r="14" spans="1:18" x14ac:dyDescent="0.25">
      <c r="A14" s="1">
        <f t="shared" ref="A14:A33" si="7">A13+1</f>
        <v>-9</v>
      </c>
      <c r="B14" s="1">
        <f t="shared" si="6"/>
        <v>-0.55999999999999994</v>
      </c>
      <c r="L14" s="1" t="s">
        <v>53</v>
      </c>
      <c r="M14" s="1">
        <f>M13^2/M18</f>
        <v>3.2500544004053569</v>
      </c>
      <c r="N14" s="1" t="s">
        <v>81</v>
      </c>
    </row>
    <row r="15" spans="1:18" x14ac:dyDescent="0.25">
      <c r="A15" s="1">
        <f t="shared" si="7"/>
        <v>-8</v>
      </c>
      <c r="B15" s="1">
        <f t="shared" si="6"/>
        <v>-0.45333333333333325</v>
      </c>
    </row>
    <row r="16" spans="1:18" x14ac:dyDescent="0.25">
      <c r="A16" s="1">
        <f t="shared" si="7"/>
        <v>-7</v>
      </c>
      <c r="B16" s="1">
        <f t="shared" si="6"/>
        <v>-0.34666666666666657</v>
      </c>
      <c r="L16" s="1" t="s">
        <v>82</v>
      </c>
      <c r="M16" s="1">
        <v>10</v>
      </c>
      <c r="N16" s="1" t="s">
        <v>80</v>
      </c>
    </row>
    <row r="17" spans="1:15" x14ac:dyDescent="0.25">
      <c r="A17" s="1">
        <f t="shared" si="7"/>
        <v>-6</v>
      </c>
      <c r="B17" s="1">
        <f t="shared" si="6"/>
        <v>-0.23999999999999988</v>
      </c>
      <c r="L17" s="1" t="s">
        <v>83</v>
      </c>
      <c r="M17" s="1">
        <v>4</v>
      </c>
      <c r="N17" s="1" t="s">
        <v>80</v>
      </c>
    </row>
    <row r="18" spans="1:15" x14ac:dyDescent="0.25">
      <c r="A18" s="1">
        <f t="shared" si="7"/>
        <v>-5</v>
      </c>
      <c r="B18" s="1">
        <f t="shared" si="6"/>
        <v>-0.1333333333333333</v>
      </c>
      <c r="L18" s="1" t="s">
        <v>84</v>
      </c>
      <c r="M18" s="1">
        <f>(M13/2)*(M16+M17)</f>
        <v>159.25266561986248</v>
      </c>
      <c r="N18" s="1" t="s">
        <v>85</v>
      </c>
    </row>
    <row r="19" spans="1:15" x14ac:dyDescent="0.25">
      <c r="A19" s="1">
        <f t="shared" si="7"/>
        <v>-4</v>
      </c>
      <c r="B19" s="1">
        <f t="shared" si="6"/>
        <v>-2.6666666666666616E-2</v>
      </c>
    </row>
    <row r="20" spans="1:15" x14ac:dyDescent="0.25">
      <c r="A20" s="1">
        <f t="shared" si="7"/>
        <v>-3</v>
      </c>
      <c r="B20" s="1">
        <f t="shared" si="6"/>
        <v>8.0000000000000071E-2</v>
      </c>
      <c r="M20" s="7" t="s">
        <v>86</v>
      </c>
      <c r="N20" s="8"/>
      <c r="O20" s="8"/>
    </row>
    <row r="21" spans="1:15" x14ac:dyDescent="0.25">
      <c r="A21" s="1">
        <f t="shared" si="7"/>
        <v>-2</v>
      </c>
      <c r="B21" s="1">
        <f t="shared" si="6"/>
        <v>0.1866666666666667</v>
      </c>
      <c r="M21" s="1" t="s">
        <v>38</v>
      </c>
      <c r="N21" t="s">
        <v>39</v>
      </c>
      <c r="O21" t="s">
        <v>93</v>
      </c>
    </row>
    <row r="22" spans="1:15" x14ac:dyDescent="0.25">
      <c r="A22" s="1">
        <f t="shared" si="7"/>
        <v>-1</v>
      </c>
      <c r="B22" s="1">
        <f t="shared" si="6"/>
        <v>0.29333333333333333</v>
      </c>
      <c r="L22" s="1" t="s">
        <v>87</v>
      </c>
      <c r="M22" s="1">
        <f>J2/4.45</f>
        <v>1.0028862079061589</v>
      </c>
      <c r="N22" s="1">
        <f t="shared" ref="N22:O22" si="8">K2/4.45</f>
        <v>1.2333440506027882</v>
      </c>
      <c r="O22" s="1">
        <f t="shared" si="8"/>
        <v>1.4393760955466084</v>
      </c>
    </row>
    <row r="23" spans="1:15" x14ac:dyDescent="0.25">
      <c r="A23" s="1">
        <f t="shared" si="7"/>
        <v>0</v>
      </c>
      <c r="B23" s="1">
        <f t="shared" si="6"/>
        <v>0.4</v>
      </c>
      <c r="L23" s="1" t="s">
        <v>88</v>
      </c>
      <c r="M23" s="1">
        <f>M22*16</f>
        <v>16.046179326498542</v>
      </c>
      <c r="N23" s="1">
        <f t="shared" ref="N23:O23" si="9">N22*16</f>
        <v>19.733504809644611</v>
      </c>
      <c r="O23" s="1">
        <f t="shared" si="9"/>
        <v>23.030017528745734</v>
      </c>
    </row>
    <row r="24" spans="1:15" x14ac:dyDescent="0.25">
      <c r="A24" s="1">
        <f t="shared" si="7"/>
        <v>1</v>
      </c>
      <c r="B24" s="1">
        <f t="shared" si="6"/>
        <v>0.50666666666666671</v>
      </c>
      <c r="L24" s="1" t="s">
        <v>89</v>
      </c>
      <c r="M24" s="1">
        <f>$I$2*3.28^2</f>
        <v>2.5246855922935532</v>
      </c>
      <c r="N24" s="1">
        <f t="shared" ref="N24:O24" si="10">$I$2*3.28^2</f>
        <v>2.5246855922935532</v>
      </c>
      <c r="O24" s="1">
        <f t="shared" si="10"/>
        <v>2.5246855922935532</v>
      </c>
    </row>
    <row r="25" spans="1:15" x14ac:dyDescent="0.25">
      <c r="A25" s="1">
        <f t="shared" si="7"/>
        <v>2</v>
      </c>
      <c r="B25" s="1">
        <f t="shared" si="6"/>
        <v>0.61333333333333329</v>
      </c>
      <c r="L25" s="1" t="s">
        <v>90</v>
      </c>
      <c r="M25" s="1">
        <f>M23/(M24^(1.5))</f>
        <v>4.0000064252801817</v>
      </c>
      <c r="N25" s="1">
        <f t="shared" ref="N25:O25" si="11">N23/(N24^(1.5))</f>
        <v>4.9191863325074863</v>
      </c>
      <c r="O25" s="1">
        <f t="shared" si="11"/>
        <v>5.7409440724105272</v>
      </c>
    </row>
    <row r="26" spans="1:15" x14ac:dyDescent="0.25">
      <c r="A26" s="1">
        <f t="shared" si="7"/>
        <v>3</v>
      </c>
      <c r="B26" s="1">
        <f t="shared" si="6"/>
        <v>0.72</v>
      </c>
    </row>
    <row r="27" spans="1:15" x14ac:dyDescent="0.25">
      <c r="A27" s="1">
        <f t="shared" si="7"/>
        <v>4</v>
      </c>
      <c r="B27" s="1">
        <f t="shared" si="6"/>
        <v>0.82666666666666666</v>
      </c>
    </row>
    <row r="28" spans="1:15" x14ac:dyDescent="0.25">
      <c r="A28" s="1">
        <f t="shared" si="7"/>
        <v>5</v>
      </c>
      <c r="B28" s="1">
        <f t="shared" si="6"/>
        <v>0.93333333333333335</v>
      </c>
    </row>
    <row r="29" spans="1:15" x14ac:dyDescent="0.25">
      <c r="A29" s="1">
        <f t="shared" si="7"/>
        <v>6</v>
      </c>
      <c r="B29" s="1">
        <f t="shared" si="6"/>
        <v>1.04</v>
      </c>
    </row>
    <row r="30" spans="1:15" x14ac:dyDescent="0.25">
      <c r="A30" s="1">
        <f t="shared" si="7"/>
        <v>7</v>
      </c>
      <c r="B30" s="1">
        <f t="shared" si="6"/>
        <v>1.1466666666666665</v>
      </c>
      <c r="M30">
        <f>20*30*(3/16)</f>
        <v>112.5</v>
      </c>
    </row>
    <row r="31" spans="1:15" x14ac:dyDescent="0.25">
      <c r="A31" s="1">
        <f t="shared" si="7"/>
        <v>8</v>
      </c>
      <c r="B31" s="1">
        <f t="shared" si="6"/>
        <v>1.2533333333333334</v>
      </c>
    </row>
    <row r="32" spans="1:15" x14ac:dyDescent="0.25">
      <c r="A32" s="1">
        <f t="shared" si="7"/>
        <v>9</v>
      </c>
      <c r="B32" s="1">
        <f t="shared" si="6"/>
        <v>1.3599999999999999</v>
      </c>
    </row>
    <row r="33" spans="1:2" x14ac:dyDescent="0.25">
      <c r="A33" s="1">
        <f t="shared" si="7"/>
        <v>10</v>
      </c>
      <c r="B33" s="1">
        <f t="shared" si="6"/>
        <v>1.4666666666666668</v>
      </c>
    </row>
  </sheetData>
  <mergeCells count="1">
    <mergeCell ref="L11:N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Major_Components</vt:lpstr>
      <vt:lpstr>Preliminary_Weight_Estimate</vt:lpstr>
      <vt:lpstr>Aerodynamics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barefoot knight</dc:creator>
  <cp:lastModifiedBy>barefoot knight</cp:lastModifiedBy>
  <dcterms:created xsi:type="dcterms:W3CDTF">2022-06-08T21:24:49Z</dcterms:created>
  <dcterms:modified xsi:type="dcterms:W3CDTF">2022-06-08T22:56:15Z</dcterms:modified>
</cp:coreProperties>
</file>