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pence" sheetId="1" r:id="rId1"/>
    <sheet name="cost" sheetId="2" r:id="rId2"/>
    <sheet name="sales" sheetId="3" r:id="rId3"/>
    <sheet name="sales-invoices" sheetId="4" r:id="rId4"/>
    <sheet name="Adress book" sheetId="5" r:id="rId5"/>
    <sheet name="follow up " sheetId="6" r:id="rId6"/>
    <sheet name="orders" sheetId="7" r:id="rId7"/>
    <sheet name="samples" sheetId="8" r:id="rId8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app.goo.gl/FmnPrgJPvQGXW5tg9?g_st=ac" TargetMode="External"/><Relationship Id="rId2" Type="http://schemas.openxmlformats.org/officeDocument/2006/relationships/hyperlink" Target="https://maps.app.goo.gl/FmnPrgJPvQGXW5tg9?g_st=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workbookViewId="0" rightToLeft="0"/>
  </sheetViews>
  <sheetData>
    <row r="1">
      <c r="G1" t="str">
        <v>Facture</v>
      </c>
    </row>
    <row r="2">
      <c r="B2" t="str">
        <v>Description</v>
      </c>
      <c r="C2" t="str">
        <v>khalil pay</v>
      </c>
      <c r="D2" t="str">
        <v>TuniOlive pay</v>
      </c>
      <c r="E2" t="str">
        <v>khaled pay</v>
      </c>
      <c r="F2" t="str">
        <v>Adel pay</v>
      </c>
      <c r="G2" t="str">
        <v>montant</v>
      </c>
      <c r="H2" t="str">
        <v>date</v>
      </c>
      <c r="I2" t="str">
        <v>description</v>
      </c>
      <c r="J2" t="str">
        <v>saved fees</v>
      </c>
      <c r="K2" t="str">
        <v>credit khaled</v>
      </c>
      <c r="L2" t="str">
        <v xml:space="preserve">khalil credit </v>
      </c>
      <c r="M2" t="str">
        <v xml:space="preserve">description khalil credit </v>
      </c>
    </row>
    <row r="3">
      <c r="A3" t="str">
        <v>Total Expence</v>
      </c>
      <c r="G3">
        <f>G4</f>
        <v>4809.419999999998</v>
      </c>
    </row>
    <row r="4">
      <c r="A4" t="str">
        <v>Total</v>
      </c>
      <c r="G4">
        <f>SUM(G5:G28)-G8</f>
        <v>4809.419999999998</v>
      </c>
      <c r="J4">
        <f>SUM(J5:J29)</f>
        <v>7204</v>
      </c>
    </row>
    <row r="5">
      <c r="A5">
        <v>45680</v>
      </c>
      <c r="B5" t="str">
        <v>constitution de la corporation</v>
      </c>
      <c r="C5">
        <v>389</v>
      </c>
      <c r="G5">
        <f>C5</f>
        <v>389</v>
      </c>
    </row>
    <row r="6">
      <c r="A6">
        <v>45693</v>
      </c>
      <c r="B6" t="str">
        <v xml:space="preserve">illustrator pour Les etiquettes </v>
      </c>
      <c r="C6">
        <v>34.48</v>
      </c>
      <c r="G6">
        <f>C6</f>
        <v>34.48</v>
      </c>
    </row>
    <row r="7">
      <c r="A7">
        <v>45693</v>
      </c>
      <c r="B7" t="str">
        <v>avance pour huile d'olive ADEL</v>
      </c>
      <c r="F7">
        <v>6900</v>
      </c>
      <c r="L7">
        <v>470</v>
      </c>
      <c r="M7" t="str">
        <v xml:space="preserve">f compte usd chrit bihom tel pour adel </v>
      </c>
    </row>
    <row r="8">
      <c r="A8">
        <v>45715</v>
      </c>
      <c r="B8" t="str">
        <v>avance pour huile d'olive</v>
      </c>
      <c r="C8">
        <f>9930/2+45</f>
        <v>5010</v>
      </c>
      <c r="E8">
        <f>9930/2+45</f>
        <v>5010</v>
      </c>
      <c r="G8">
        <f>C8+E8</f>
        <v>10020</v>
      </c>
      <c r="K8" t="str">
        <v>donne 1450 a walid</v>
      </c>
      <c r="L8">
        <v>351</v>
      </c>
      <c r="M8" t="str">
        <v>khalest 119 mi 470 usd</v>
      </c>
    </row>
    <row r="9">
      <c r="A9">
        <v>45721</v>
      </c>
      <c r="B9" t="str">
        <v xml:space="preserve">illustrator pour Les etiquettes </v>
      </c>
      <c r="C9">
        <v>34.48</v>
      </c>
      <c r="G9">
        <f>C9</f>
        <v>34.48</v>
      </c>
    </row>
    <row r="10">
      <c r="A10">
        <v>45752</v>
      </c>
      <c r="B10" t="str">
        <v xml:space="preserve">illustrator pour Les etiquettes </v>
      </c>
      <c r="C10">
        <v>34.48</v>
      </c>
      <c r="G10">
        <f>C10</f>
        <v>34.48</v>
      </c>
    </row>
    <row r="11">
      <c r="A11">
        <v>45782</v>
      </c>
      <c r="B11" t="str">
        <v xml:space="preserve">illustrator pour Les etiquettes </v>
      </c>
      <c r="C11">
        <v>34.48</v>
      </c>
      <c r="G11">
        <f>C11</f>
        <v>34.48</v>
      </c>
    </row>
    <row r="12">
      <c r="A12">
        <v>45797</v>
      </c>
      <c r="B12" t="str">
        <v>facture wa9t lijit container</v>
      </c>
      <c r="C12">
        <v>476</v>
      </c>
      <c r="E12">
        <v>200</v>
      </c>
      <c r="G12">
        <f>C12+E12</f>
        <v>676</v>
      </c>
      <c r="I12" t="str">
        <v>480 usd payed to msc</v>
      </c>
      <c r="L12">
        <f>L8+8.48-339.48</f>
        <v>20</v>
      </c>
      <c r="M12" t="str">
        <v xml:space="preserve">khalest 339 usd lihoma yjo 476 cad </v>
      </c>
    </row>
    <row r="13">
      <c r="A13">
        <v>45804</v>
      </c>
      <c r="B13" t="str">
        <v>license ACIA</v>
      </c>
      <c r="D13">
        <f>300</f>
        <v>300</v>
      </c>
      <c r="G13">
        <f>D13</f>
        <v>300</v>
      </c>
    </row>
    <row r="14">
      <c r="A14">
        <v>45804</v>
      </c>
      <c r="B14" t="str">
        <v>exam douane</v>
      </c>
      <c r="D14">
        <f>1566-680-105</f>
        <v>781</v>
      </c>
      <c r="G14">
        <f>D14</f>
        <v>781</v>
      </c>
    </row>
    <row r="15">
      <c r="A15">
        <v>45804</v>
      </c>
      <c r="B15" t="str">
        <v>exam douane</v>
      </c>
      <c r="D15">
        <f>680+105</f>
        <v>785</v>
      </c>
      <c r="G15">
        <f>D15</f>
        <v>785</v>
      </c>
    </row>
    <row r="16">
      <c r="A16">
        <v>45805</v>
      </c>
      <c r="B16" t="str">
        <v>transport</v>
      </c>
      <c r="E16">
        <v>500</v>
      </c>
      <c r="G16">
        <f>E16</f>
        <v>500</v>
      </c>
    </row>
    <row r="17">
      <c r="A17">
        <v>45805</v>
      </c>
      <c r="B17" t="str">
        <v>cadna</v>
      </c>
      <c r="E17">
        <v>19.5</v>
      </c>
      <c r="G17">
        <f>E17</f>
        <v>19.5</v>
      </c>
    </row>
    <row r="18">
      <c r="A18">
        <v>45805</v>
      </c>
      <c r="B18" t="str">
        <v>entroposage premier moi</v>
      </c>
      <c r="E18">
        <v>295.5</v>
      </c>
      <c r="G18">
        <f>E18</f>
        <v>295.5</v>
      </c>
    </row>
    <row r="19">
      <c r="A19">
        <v>45805</v>
      </c>
      <c r="B19" t="str">
        <v>location trans Palette electric</v>
      </c>
      <c r="C19">
        <v>50</v>
      </c>
      <c r="G19">
        <f>C19</f>
        <v>50</v>
      </c>
    </row>
    <row r="20">
      <c r="A20">
        <v>45805</v>
      </c>
      <c r="B20" t="str">
        <v>Gift the driver of the goods</v>
      </c>
      <c r="C20">
        <v>20</v>
      </c>
      <c r="G20">
        <f>C20</f>
        <v>20</v>
      </c>
    </row>
    <row r="21">
      <c r="A21">
        <v>45843</v>
      </c>
      <c r="B21" t="str">
        <v>entroposage deuxieme moi</v>
      </c>
      <c r="E21">
        <v>275.5</v>
      </c>
      <c r="G21">
        <f>E21</f>
        <v>275.5</v>
      </c>
    </row>
    <row r="22">
      <c r="A22">
        <v>45843</v>
      </c>
      <c r="B22" t="str">
        <v>pay Aziz pour transport</v>
      </c>
      <c r="D22">
        <v>80</v>
      </c>
      <c r="G22">
        <f>D22</f>
        <v>80</v>
      </c>
    </row>
    <row r="23">
      <c r="B23" t="str">
        <v>entroposage 3eme moi</v>
      </c>
      <c r="E23">
        <v>500</v>
      </c>
      <c r="G23">
        <f>E23</f>
        <v>500</v>
      </c>
    </row>
    <row r="24">
      <c r="B24" t="str">
        <v xml:space="preserve">discharge container </v>
      </c>
      <c r="J24">
        <v>250</v>
      </c>
    </row>
    <row r="25">
      <c r="B25" t="str">
        <v>broker fees</v>
      </c>
      <c r="J25">
        <v>300</v>
      </c>
    </row>
    <row r="26">
      <c r="B26" t="str">
        <v>permission fees</v>
      </c>
      <c r="J26">
        <v>150</v>
      </c>
    </row>
    <row r="27">
      <c r="B27" t="str">
        <v>comptable fees</v>
      </c>
      <c r="J27">
        <v>1200</v>
      </c>
    </row>
    <row r="28">
      <c r="B28" t="str">
        <v>expected delivery fees</v>
      </c>
      <c r="J28">
        <f>200*24</f>
        <v>4800</v>
      </c>
    </row>
    <row r="29">
      <c r="B29" t="str">
        <v>les echantillon</v>
      </c>
      <c r="J29">
        <f>42*12</f>
        <v>504</v>
      </c>
    </row>
    <row r="31">
      <c r="B31" t="str">
        <v xml:space="preserve">le show in Kim phat </v>
      </c>
      <c r="J31">
        <f>15*12*4</f>
        <v>720</v>
      </c>
    </row>
    <row r="32">
      <c r="B32" t="str">
        <v>tools for the show: Kim phat +dollarama+bureau en gros+amazone table</v>
      </c>
      <c r="C32">
        <f>31+9+145+21</f>
        <v>206</v>
      </c>
    </row>
    <row r="33">
      <c r="B33" t="str">
        <v>show in intermarché</v>
      </c>
      <c r="J33">
        <f>3*6*15</f>
        <v>270</v>
      </c>
    </row>
    <row r="34">
      <c r="B34" t="str">
        <v>show vie en vert</v>
      </c>
      <c r="J34">
        <f>6*15</f>
        <v>90</v>
      </c>
    </row>
    <row r="35">
      <c r="B35" t="str">
        <v>walima plus show</v>
      </c>
      <c r="J35">
        <f>15*6</f>
        <v>90</v>
      </c>
    </row>
    <row r="37">
      <c r="B37" t="str">
        <v>wire transfer fee</v>
      </c>
      <c r="E37">
        <v>50</v>
      </c>
    </row>
  </sheetData>
  <mergeCells count="2">
    <mergeCell ref="G1:I1"/>
    <mergeCell ref="G3:J3"/>
  </mergeCells>
  <pageMargins left="0" right="0" top="0" bottom="0" header="0" footer="0"/>
  <ignoredErrors>
    <ignoredError numberStoredAsText="1" sqref="A1:M3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 rightToLeft="0"/>
  </sheetViews>
  <sheetData>
    <row r="1">
      <c r="A1" t="str">
        <v>overhead cost</v>
      </c>
      <c r="B1" t="str">
        <v>cost of goods</v>
      </c>
      <c r="C1" t="str">
        <v>Total</v>
      </c>
      <c r="D1" t="str">
        <v>unit Liter</v>
      </c>
      <c r="E1" t="str">
        <v xml:space="preserve">unit 3 Liter </v>
      </c>
      <c r="F1" t="str">
        <v>Total Liter</v>
      </c>
      <c r="G1" t="str">
        <v>rate usd to cad</v>
      </c>
    </row>
    <row r="2">
      <c r="A2">
        <f>Expence!G3</f>
        <v>4809.419999999998</v>
      </c>
      <c r="B2">
        <f>B3*G2</f>
        <v>89745.05249999999</v>
      </c>
      <c r="C2">
        <f>A2+B2</f>
        <v>94554.47249999999</v>
      </c>
      <c r="D2">
        <v>8250</v>
      </c>
      <c r="E2">
        <v>960</v>
      </c>
      <c r="F2">
        <f>D2+E2*3</f>
        <v>11130</v>
      </c>
      <c r="G2">
        <v>1.4015</v>
      </c>
    </row>
    <row r="3">
      <c r="A3">
        <f>A2/F2</f>
        <v>0.43211320754716964</v>
      </c>
      <c r="B3">
        <f>D3+E3</f>
        <v>64035</v>
      </c>
      <c r="D3">
        <v>48675</v>
      </c>
      <c r="E3">
        <v>15360</v>
      </c>
    </row>
    <row r="4">
      <c r="A4" t="str">
        <v>cost goods/ unit usd</v>
      </c>
      <c r="D4">
        <f>D3/D2</f>
        <v>5.9</v>
      </c>
      <c r="E4">
        <f>E3/E2</f>
        <v>16</v>
      </c>
    </row>
    <row r="5">
      <c r="A5" t="str">
        <v>goods in CAD</v>
      </c>
      <c r="D5">
        <f>D3*G2</f>
        <v>68218.0125</v>
      </c>
      <c r="E5">
        <f>E3*G2</f>
        <v>21527.04</v>
      </c>
    </row>
    <row r="6">
      <c r="A6" t="str">
        <v>cost goods/ unit cad</v>
      </c>
      <c r="D6">
        <f>D5/D2</f>
        <v>8.26885</v>
      </c>
      <c r="E6">
        <f>E5/E2</f>
        <v>22.424</v>
      </c>
    </row>
    <row r="7">
      <c r="A7" t="str">
        <v>overhead cost added</v>
      </c>
      <c r="D7">
        <f>D6+A3</f>
        <v>8.70096320754717</v>
      </c>
      <c r="E7">
        <f>E6+A3*3</f>
        <v>23.720339622641507</v>
      </c>
    </row>
    <row r="8">
      <c r="A8" t="str">
        <v>Sales Price</v>
      </c>
      <c r="D8">
        <f>D7/0.8</f>
        <v>10.876204009433962</v>
      </c>
      <c r="E8">
        <f>E7/0.88</f>
        <v>26.95493138936535</v>
      </c>
    </row>
    <row r="9">
      <c r="A9" t="str">
        <v>stores should sell +-</v>
      </c>
      <c r="D9">
        <f>D8*1.3</f>
        <v>14.139065212264152</v>
      </c>
      <c r="E9">
        <f>E8*1.87</f>
        <v>50.405721698113204</v>
      </c>
    </row>
    <row r="10">
      <c r="A10" t="str">
        <v xml:space="preserve">distributers Price </v>
      </c>
      <c r="D10">
        <f>D7*1.29</f>
        <v>11.22424253773585</v>
      </c>
      <c r="E10">
        <f>E7*1.29</f>
        <v>30.599238113207544</v>
      </c>
    </row>
    <row r="11">
      <c r="A11" t="str">
        <v>distributers should sell</v>
      </c>
      <c r="D11">
        <f>D10*1.15</f>
        <v>12.907878918396227</v>
      </c>
      <c r="E11">
        <f>E10*1.15</f>
        <v>35.18912383018867</v>
      </c>
    </row>
    <row r="12">
      <c r="A12" t="str">
        <v>salesman price</v>
      </c>
      <c r="D12">
        <f>D7*1.3</f>
        <v>11.311252169811322</v>
      </c>
      <c r="E12">
        <f>E7*1.3</f>
        <v>30.83644150943396</v>
      </c>
    </row>
    <row r="13">
      <c r="A13" t="str">
        <v>salesman should sell</v>
      </c>
      <c r="D13">
        <f>D12*1.2</f>
        <v>13.573502603773585</v>
      </c>
      <c r="E13">
        <f>E12*1.2</f>
        <v>37.00372981132075</v>
      </c>
    </row>
    <row r="15">
      <c r="A15" t="str">
        <v>Profit/unit stores</v>
      </c>
      <c r="D15">
        <f>D8-D7</f>
        <v>2.175240801886792</v>
      </c>
      <c r="E15">
        <f>E8-E7</f>
        <v>3.2345917667238417</v>
      </c>
    </row>
    <row r="16">
      <c r="A16" t="str">
        <v>Profit/batch stores</v>
      </c>
      <c r="D16">
        <f>(D8-D7)*D2</f>
        <v>17945.736615566035</v>
      </c>
      <c r="E16">
        <f>(E8-E7)*E2</f>
        <v>3105.2080960548883</v>
      </c>
    </row>
    <row r="17">
      <c r="A17" t="str">
        <v>Profit/unit dist</v>
      </c>
      <c r="D17">
        <f>D10-D7</f>
        <v>2.5232793301886804</v>
      </c>
      <c r="E17">
        <f>E10-E7</f>
        <v>6.878898490566037</v>
      </c>
    </row>
    <row r="18">
      <c r="A18" t="str">
        <v>Profit/batch dist</v>
      </c>
      <c r="D18">
        <f>D17*D2</f>
        <v>20817.054474056615</v>
      </c>
      <c r="E18">
        <f>E17*E2</f>
        <v>6603.742550943396</v>
      </c>
    </row>
    <row r="19">
      <c r="A19" t="str">
        <v>Profit/unit salesman</v>
      </c>
      <c r="D19">
        <f>D12-D7</f>
        <v>2.6102889622641516</v>
      </c>
      <c r="E19">
        <f>E12-E7</f>
        <v>7.116101886792453</v>
      </c>
    </row>
    <row r="20">
      <c r="A20" t="str">
        <v>Profit/batch salesman</v>
      </c>
      <c r="D20">
        <f>D19*D2</f>
        <v>21534.88393867925</v>
      </c>
      <c r="E20">
        <f>E19*E2</f>
        <v>6831.457811320755</v>
      </c>
    </row>
  </sheetData>
  <pageMargins left="0" right="0" top="0" bottom="0" header="0" footer="0"/>
  <ignoredErrors>
    <ignoredError numberStoredAsText="1" sqref="A1:G2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O140"/>
  <sheetViews>
    <sheetView workbookViewId="0" rightToLeft="0"/>
  </sheetViews>
  <sheetData>
    <row r="1">
      <c r="A1">
        <v>9.27</v>
      </c>
      <c r="B1">
        <v>24.43</v>
      </c>
      <c r="C1" t="str">
        <v>Unit Price</v>
      </c>
      <c r="D1">
        <v>45805</v>
      </c>
      <c r="E1">
        <v>45811</v>
      </c>
      <c r="F1">
        <v>45813</v>
      </c>
      <c r="G1">
        <v>45817</v>
      </c>
      <c r="H1">
        <v>45821</v>
      </c>
      <c r="I1">
        <v>45822</v>
      </c>
      <c r="J1">
        <v>45824</v>
      </c>
      <c r="K1">
        <v>45827</v>
      </c>
      <c r="L1">
        <v>45829</v>
      </c>
      <c r="M1">
        <v>45833</v>
      </c>
      <c r="N1">
        <v>45834</v>
      </c>
      <c r="O1">
        <v>45835</v>
      </c>
      <c r="P1">
        <v>45836</v>
      </c>
      <c r="Q1">
        <v>45849</v>
      </c>
      <c r="R1">
        <v>45850</v>
      </c>
      <c r="S1">
        <v>45847</v>
      </c>
      <c r="T1">
        <v>45859</v>
      </c>
      <c r="U1">
        <v>45865</v>
      </c>
      <c r="V1">
        <v>45867</v>
      </c>
      <c r="W1">
        <v>45869</v>
      </c>
      <c r="X1">
        <v>45870</v>
      </c>
      <c r="Y1">
        <v>45873</v>
      </c>
      <c r="Z1">
        <v>45878</v>
      </c>
      <c r="AA1">
        <v>45906</v>
      </c>
      <c r="AB1" t="str">
        <v>Total Qty</v>
      </c>
      <c r="AC1" t="str">
        <v>Total $$</v>
      </c>
      <c r="AD1" t="str">
        <v>cost $$</v>
      </c>
      <c r="AE1" t="str">
        <v>Total $ / store</v>
      </c>
      <c r="AF1" t="str">
        <v>Total not paid</v>
      </c>
      <c r="AG1" t="str">
        <v>Total paid</v>
      </c>
      <c r="AH1" t="str">
        <v>chq+Intrct</v>
      </c>
      <c r="AI1" t="str">
        <v>cash</v>
      </c>
      <c r="AK1" t="str">
        <v>Liquid</v>
      </c>
      <c r="AL1" t="str">
        <v>Profit/unit</v>
      </c>
      <c r="AM1" t="str">
        <v>Profit</v>
      </c>
      <c r="AN1" t="str">
        <v>Profit margin</v>
      </c>
      <c r="AO1" t="str">
        <v>Markup</v>
      </c>
    </row>
    <row r="2">
      <c r="A2" t="str">
        <v>Total Sales</v>
      </c>
      <c r="D2">
        <f>SUMPRODUCT(D3:D34, C$3:C$34)</f>
        <v>35</v>
      </c>
      <c r="E2">
        <f>SUMPRODUCT(E3:E34, C$3:C$34)</f>
        <v>25</v>
      </c>
      <c r="F2">
        <f>SUMPRODUCT(F3:F34, C$3:C$34)</f>
        <v>2145.92</v>
      </c>
      <c r="G2">
        <f>SUMPRODUCT(G3:G34, C$3:C$34)</f>
        <v>150</v>
      </c>
      <c r="H2">
        <f>SUMPRODUCT(H3:H34, C$3:C$34)</f>
        <v>136</v>
      </c>
      <c r="I2">
        <f>SUMPRODUCT(I3:I34, C$3:C$34)</f>
        <v>2461.8</v>
      </c>
      <c r="J2">
        <f>SUMPRODUCT(J3:J46, C$3:C$46)</f>
        <v>1481.3</v>
      </c>
      <c r="AC2">
        <f>SUM(AC3:AC140)</f>
        <v>59764.47999999999</v>
      </c>
      <c r="AD2">
        <f>SUM(AD3:AD140)</f>
        <v>49356.000000000015</v>
      </c>
      <c r="AF2">
        <f>SUM(AF3:AF140)-AF17</f>
        <v>32397.4</v>
      </c>
      <c r="AG2">
        <f>SUM(AG3:AG140)</f>
        <v>27367.08</v>
      </c>
      <c r="AH2">
        <f>SUM(AH3:AH140)</f>
        <v>12671.28</v>
      </c>
      <c r="AI2">
        <f>SUM(AI3:AI140)</f>
        <v>5134.9</v>
      </c>
      <c r="AM2">
        <f>SUM(AM3:AM140)</f>
        <v>10179.788000000008</v>
      </c>
      <c r="AN2">
        <f>(AC2-AD2)/AC2</f>
        <v>0.1741582960313547</v>
      </c>
      <c r="AO2">
        <f>(AC2-AD2)/AD2</f>
        <v>0.21088580922278893</v>
      </c>
    </row>
    <row r="3">
      <c r="A3" t="str">
        <v>Marche a tunis</v>
      </c>
      <c r="B3" t="str">
        <v>1 L</v>
      </c>
      <c r="C3">
        <v>10.66</v>
      </c>
      <c r="F3">
        <f>1*12</f>
        <v>12</v>
      </c>
      <c r="Z3">
        <v>456</v>
      </c>
      <c r="AB3">
        <f>SUM(D3:Z3)</f>
        <v>468</v>
      </c>
      <c r="AC3">
        <f>AB3*C3</f>
        <v>4988.88</v>
      </c>
      <c r="AD3">
        <f>AB3*A1</f>
        <v>4338.36</v>
      </c>
      <c r="AE3">
        <f>SUM(AC3:AC4)</f>
        <v>8849.880000000001</v>
      </c>
      <c r="AF3">
        <f>AE3</f>
        <v>8849.880000000001</v>
      </c>
      <c r="AG3">
        <f>AE3-AF3</f>
        <v>0</v>
      </c>
      <c r="AK3" t="str">
        <v>cash:2700</v>
      </c>
      <c r="AL3">
        <f>C3-9.27</f>
        <v>1.3900000000000006</v>
      </c>
      <c r="AM3">
        <f>AL3*AB3</f>
        <v>650.5200000000002</v>
      </c>
    </row>
    <row r="4">
      <c r="B4" t="str">
        <v>3 L</v>
      </c>
      <c r="C4">
        <v>29.25</v>
      </c>
      <c r="F4">
        <f>1*4</f>
        <v>4</v>
      </c>
      <c r="Z4">
        <v>128</v>
      </c>
      <c r="AB4">
        <f>SUM(D4:Z4)</f>
        <v>132</v>
      </c>
      <c r="AC4">
        <f>AB4*C4</f>
        <v>3861</v>
      </c>
      <c r="AD4">
        <f>AB4*B1</f>
        <v>3224.7599999999998</v>
      </c>
      <c r="AL4">
        <f>C4-25.43</f>
        <v>3.8200000000000003</v>
      </c>
      <c r="AM4">
        <f>AL4*AB4</f>
        <v>504.24</v>
      </c>
    </row>
    <row r="5">
      <c r="A5" t="str">
        <v>Casablanca</v>
      </c>
      <c r="B5" t="str">
        <v>1 L</v>
      </c>
      <c r="C5">
        <v>9.27</v>
      </c>
      <c r="AB5">
        <f>SUM(D5:I5)</f>
        <v>0</v>
      </c>
      <c r="AC5">
        <f>AB5*C5</f>
        <v>0</v>
      </c>
      <c r="AD5">
        <f>AB5*A1</f>
        <v>0</v>
      </c>
      <c r="AE5">
        <f>SUM(AC5:AC6)</f>
        <v>0</v>
      </c>
      <c r="AF5">
        <f>AE5</f>
        <v>0</v>
      </c>
      <c r="AG5">
        <f>AE5-AF5</f>
        <v>0</v>
      </c>
      <c r="AK5" t="str">
        <v>chq+intrct:683</v>
      </c>
      <c r="AL5">
        <f>C5-9.27</f>
        <v>0</v>
      </c>
      <c r="AM5">
        <f>AL5*AB5</f>
        <v>0</v>
      </c>
    </row>
    <row r="6">
      <c r="B6" t="str">
        <v>3 L</v>
      </c>
      <c r="C6">
        <v>25.43</v>
      </c>
      <c r="AB6">
        <f>SUM(D6:I6)</f>
        <v>0</v>
      </c>
      <c r="AC6">
        <f>AB6*C6</f>
        <v>0</v>
      </c>
      <c r="AD6">
        <f>AB6*B1</f>
        <v>0</v>
      </c>
      <c r="AL6">
        <f>C6-25.43</f>
        <v>0</v>
      </c>
      <c r="AM6">
        <f>AL6*AB6</f>
        <v>0</v>
      </c>
    </row>
    <row r="7">
      <c r="A7" t="str">
        <v>A la Tunisienne</v>
      </c>
      <c r="B7" t="str">
        <v>1 L</v>
      </c>
      <c r="C7">
        <v>12.5</v>
      </c>
      <c r="F7">
        <f>12</f>
        <v>12</v>
      </c>
      <c r="AB7">
        <f>SUM(D7:I7)</f>
        <v>12</v>
      </c>
      <c r="AC7">
        <f>AB7*C7</f>
        <v>150</v>
      </c>
      <c r="AD7">
        <f>AB7*A1</f>
        <v>111.24</v>
      </c>
      <c r="AE7">
        <f>SUM(AC7:AC8)</f>
        <v>290</v>
      </c>
      <c r="AF7">
        <f>AE7</f>
        <v>290</v>
      </c>
      <c r="AG7">
        <f>AE7-AF7</f>
        <v>0</v>
      </c>
      <c r="AK7" t="str">
        <v>on date de 4 jui 2025</v>
      </c>
      <c r="AL7">
        <f>C7-9.27</f>
        <v>3.2300000000000004</v>
      </c>
      <c r="AM7">
        <f>AL7*AB7</f>
        <v>38.760000000000005</v>
      </c>
    </row>
    <row r="8">
      <c r="B8" t="str">
        <v>3 L</v>
      </c>
      <c r="C8">
        <v>35</v>
      </c>
      <c r="F8">
        <f>4</f>
        <v>4</v>
      </c>
      <c r="AB8">
        <f>SUM(D8:I8)</f>
        <v>4</v>
      </c>
      <c r="AC8">
        <f>AB8*C8</f>
        <v>140</v>
      </c>
      <c r="AD8">
        <f>AB8*B1</f>
        <v>97.72</v>
      </c>
      <c r="AL8">
        <f>C8-25.43</f>
        <v>9.57</v>
      </c>
      <c r="AM8">
        <f>AL8*AB8</f>
        <v>38.28</v>
      </c>
    </row>
    <row r="9">
      <c r="A9" t="str">
        <v>Bakar</v>
      </c>
      <c r="B9" t="str">
        <v>1 L</v>
      </c>
      <c r="C9">
        <v>12.3</v>
      </c>
      <c r="F9">
        <f>12*4</f>
        <v>48</v>
      </c>
      <c r="AB9">
        <f>SUM(D9:I9)</f>
        <v>48</v>
      </c>
      <c r="AC9">
        <f>AB9*C9</f>
        <v>590.4000000000001</v>
      </c>
      <c r="AD9">
        <f>AB9*A1</f>
        <v>444.96</v>
      </c>
      <c r="AE9">
        <f>SUM(AC9:AC10)</f>
        <v>862.4000000000001</v>
      </c>
      <c r="AF9">
        <f>AE9</f>
        <v>862.4000000000001</v>
      </c>
      <c r="AG9">
        <f>AE9-AF9</f>
        <v>0</v>
      </c>
      <c r="AL9">
        <f>C9-9.27</f>
        <v>3.030000000000001</v>
      </c>
      <c r="AM9">
        <f>AL9*AB9</f>
        <v>145.44000000000005</v>
      </c>
    </row>
    <row r="10">
      <c r="B10" t="str">
        <v>3 L</v>
      </c>
      <c r="C10">
        <v>34</v>
      </c>
      <c r="F10">
        <f>4*2</f>
        <v>8</v>
      </c>
      <c r="AB10">
        <f>SUM(D10:I10)</f>
        <v>8</v>
      </c>
      <c r="AC10">
        <f>AB10*C10</f>
        <v>272</v>
      </c>
      <c r="AD10">
        <f>AB10*B1</f>
        <v>195.44</v>
      </c>
      <c r="AL10">
        <f>C10-25.43</f>
        <v>8.57</v>
      </c>
      <c r="AM10">
        <f>AL10*AB10</f>
        <v>68.56</v>
      </c>
    </row>
    <row r="11">
      <c r="A11" t="str">
        <v xml:space="preserve">Tout est la </v>
      </c>
      <c r="B11" t="str">
        <v>1 L</v>
      </c>
      <c r="C11">
        <v>9.27</v>
      </c>
      <c r="AB11">
        <f>SUM(D11:I11)</f>
        <v>0</v>
      </c>
      <c r="AC11">
        <f>AB11*C11</f>
        <v>0</v>
      </c>
      <c r="AD11">
        <f>AB11*A1</f>
        <v>0</v>
      </c>
      <c r="AE11">
        <f>SUM(AC11:AC12)</f>
        <v>0</v>
      </c>
      <c r="AF11">
        <f>AE11</f>
        <v>0</v>
      </c>
      <c r="AG11">
        <f>AE11-AF11</f>
        <v>0</v>
      </c>
      <c r="AL11">
        <f>C11-9.27</f>
        <v>0</v>
      </c>
      <c r="AM11">
        <f>AL11*AB11</f>
        <v>0</v>
      </c>
    </row>
    <row r="12">
      <c r="B12" t="str">
        <v>3 L</v>
      </c>
      <c r="C12">
        <v>25.43</v>
      </c>
      <c r="AB12">
        <f>SUM(D12:I12)</f>
        <v>0</v>
      </c>
      <c r="AC12">
        <f>AB12*C12</f>
        <v>0</v>
      </c>
      <c r="AD12">
        <f>AB12*B1</f>
        <v>0</v>
      </c>
      <c r="AL12">
        <f>C12-25.43</f>
        <v>0</v>
      </c>
      <c r="AM12">
        <f>AL12*AB12</f>
        <v>0</v>
      </c>
    </row>
    <row r="13">
      <c r="A13" t="str">
        <v>Noureddine Maroc</v>
      </c>
      <c r="B13" t="str">
        <v>1 L</v>
      </c>
      <c r="C13">
        <v>12.5</v>
      </c>
      <c r="F13">
        <f>12</f>
        <v>12</v>
      </c>
      <c r="AB13">
        <f>SUM(D13:I13)</f>
        <v>12</v>
      </c>
      <c r="AC13">
        <f>AB13*C13</f>
        <v>150</v>
      </c>
      <c r="AD13">
        <f>AB13*A1</f>
        <v>111.24</v>
      </c>
      <c r="AE13">
        <f>SUM(AC13:AC14)</f>
        <v>290</v>
      </c>
      <c r="AF13">
        <f>AE13-290</f>
        <v>0</v>
      </c>
      <c r="AG13">
        <f>AE13-AF13</f>
        <v>290</v>
      </c>
      <c r="AI13">
        <f>290</f>
        <v>290</v>
      </c>
      <c r="AL13">
        <f>C13-9.27</f>
        <v>3.2300000000000004</v>
      </c>
      <c r="AM13">
        <f>AL13*AB13</f>
        <v>38.760000000000005</v>
      </c>
    </row>
    <row r="14">
      <c r="B14" t="str">
        <v>3 L</v>
      </c>
      <c r="C14">
        <v>35</v>
      </c>
      <c r="F14">
        <f>4</f>
        <v>4</v>
      </c>
      <c r="AB14">
        <f>SUM(D14:I14)</f>
        <v>4</v>
      </c>
      <c r="AC14">
        <f>AB14*C14</f>
        <v>140</v>
      </c>
      <c r="AD14">
        <f>AB14*B1</f>
        <v>97.72</v>
      </c>
      <c r="AL14">
        <f>C14-25.43</f>
        <v>9.57</v>
      </c>
      <c r="AM14">
        <f>AL14*AB14</f>
        <v>38.28</v>
      </c>
    </row>
    <row r="15">
      <c r="A15" t="str">
        <v>Aïcha new marché</v>
      </c>
      <c r="B15" t="str">
        <v>1 L</v>
      </c>
      <c r="C15">
        <v>12.3</v>
      </c>
      <c r="F15">
        <f>12</f>
        <v>12</v>
      </c>
      <c r="AB15">
        <f>SUM(D15:I15)</f>
        <v>12</v>
      </c>
      <c r="AC15">
        <f>AB15*C15</f>
        <v>147.60000000000002</v>
      </c>
      <c r="AD15">
        <f>AB15*A1</f>
        <v>111.24</v>
      </c>
      <c r="AE15">
        <f>SUM(AC15:AC16)</f>
        <v>285.6</v>
      </c>
      <c r="AF15">
        <f>AE15-AC15</f>
        <v>138</v>
      </c>
      <c r="AG15">
        <f>AE15-AF15</f>
        <v>147.60000000000002</v>
      </c>
      <c r="AL15">
        <f>C15-9.27</f>
        <v>3.030000000000001</v>
      </c>
      <c r="AM15">
        <f>AL15*AB15</f>
        <v>36.360000000000014</v>
      </c>
    </row>
    <row r="16">
      <c r="B16" t="str">
        <v>3 L</v>
      </c>
      <c r="C16">
        <v>34.5</v>
      </c>
      <c r="F16">
        <f>4</f>
        <v>4</v>
      </c>
      <c r="AB16">
        <f>SUM(D16:I16)</f>
        <v>4</v>
      </c>
      <c r="AC16">
        <f>AB16*C16</f>
        <v>138</v>
      </c>
      <c r="AD16">
        <f>AB16*B1</f>
        <v>97.72</v>
      </c>
      <c r="AL16">
        <f>C16-25.43</f>
        <v>9.07</v>
      </c>
      <c r="AM16">
        <f>AL16*AB16</f>
        <v>36.28</v>
      </c>
    </row>
    <row r="17">
      <c r="A17" t="str">
        <v xml:space="preserve">particular </v>
      </c>
      <c r="B17" t="str">
        <v>1 L</v>
      </c>
      <c r="C17">
        <v>1</v>
      </c>
      <c r="E17">
        <f>2*12.5</f>
        <v>25</v>
      </c>
      <c r="F17">
        <f>1*13</f>
        <v>13</v>
      </c>
      <c r="G17">
        <f>12*12.5</f>
        <v>150</v>
      </c>
      <c r="H17">
        <f>4*14</f>
        <v>56</v>
      </c>
      <c r="I17">
        <f>13*2</f>
        <v>26</v>
      </c>
      <c r="K17">
        <f>9*10+12</f>
        <v>102</v>
      </c>
      <c r="M17">
        <f>3*13</f>
        <v>39</v>
      </c>
      <c r="P17">
        <f>1*12</f>
        <v>12</v>
      </c>
      <c r="Q17">
        <f>3*13.3</f>
        <v>39.900000000000006</v>
      </c>
      <c r="R17">
        <f>12+12</f>
        <v>24</v>
      </c>
      <c r="S17">
        <v>12</v>
      </c>
      <c r="T17">
        <f>1*13</f>
        <v>13</v>
      </c>
      <c r="U17">
        <f>2*10</f>
        <v>20</v>
      </c>
      <c r="V17">
        <f>12*6</f>
        <v>72</v>
      </c>
      <c r="W17">
        <f>12*12</f>
        <v>144</v>
      </c>
      <c r="X17">
        <f>10.75*12</f>
        <v>129</v>
      </c>
      <c r="Y17">
        <f>6*13</f>
        <v>78</v>
      </c>
      <c r="Z17">
        <f>1*13</f>
        <v>13</v>
      </c>
      <c r="AA17">
        <f>13*1+24*10</f>
        <v>253</v>
      </c>
      <c r="AB17">
        <f>3+12+4+2+3+4+3+1+2+1+2+6+1+1+6+12+25</f>
        <v>88</v>
      </c>
      <c r="AC17">
        <f>SUM(D17:AA17)</f>
        <v>1220.9</v>
      </c>
      <c r="AD17">
        <f>AB17*A1</f>
        <v>815.76</v>
      </c>
      <c r="AE17">
        <f>SUM(AC17:AC18)</f>
        <v>2670.9</v>
      </c>
      <c r="AF17">
        <f>AE17-AE17</f>
        <v>0</v>
      </c>
      <c r="AG17">
        <f>AE17-AF17</f>
        <v>2670.9</v>
      </c>
      <c r="AH17">
        <f>160+81</f>
        <v>241</v>
      </c>
      <c r="AI17">
        <f>AG17-AH17</f>
        <v>2429.9</v>
      </c>
      <c r="AM17">
        <f>AE17*0.42</f>
        <v>1121.778</v>
      </c>
    </row>
    <row r="18">
      <c r="B18" t="str">
        <v>3 L</v>
      </c>
      <c r="C18">
        <v>1</v>
      </c>
      <c r="D18">
        <f>1*35</f>
        <v>35</v>
      </c>
      <c r="F18">
        <f>4*40</f>
        <v>160</v>
      </c>
      <c r="H18">
        <f>2*40</f>
        <v>80</v>
      </c>
      <c r="I18">
        <f>35*3</f>
        <v>105</v>
      </c>
      <c r="K18">
        <f>4*37.5</f>
        <v>150</v>
      </c>
      <c r="N18">
        <f>4*35</f>
        <v>140</v>
      </c>
      <c r="O18">
        <f>1*35</f>
        <v>35</v>
      </c>
      <c r="T18">
        <f>2*30</f>
        <v>60</v>
      </c>
      <c r="U18">
        <f>1*30</f>
        <v>30</v>
      </c>
      <c r="W18">
        <f>12*30</f>
        <v>360</v>
      </c>
      <c r="X18">
        <f>4*30</f>
        <v>120</v>
      </c>
      <c r="Y18">
        <f>2*35</f>
        <v>70</v>
      </c>
      <c r="Z18">
        <f>1*35</f>
        <v>35</v>
      </c>
      <c r="AA18">
        <f>2*35</f>
        <v>70</v>
      </c>
      <c r="AB18">
        <f>5+2+3+4+4+2+1+3+1+2+4+2</f>
        <v>33</v>
      </c>
      <c r="AC18">
        <f>SUM(D18:AA18)</f>
        <v>1450</v>
      </c>
      <c r="AD18">
        <f>AB18*B1</f>
        <v>806.1899999999999</v>
      </c>
    </row>
    <row r="19">
      <c r="A19" t="str">
        <v>machawi chef</v>
      </c>
      <c r="B19" t="str">
        <v>1 L</v>
      </c>
      <c r="C19">
        <v>12.5</v>
      </c>
      <c r="I19">
        <f>1*12</f>
        <v>12</v>
      </c>
      <c r="AB19">
        <f>SUM(D19:I19)</f>
        <v>12</v>
      </c>
      <c r="AC19">
        <f>AB19*C19</f>
        <v>150</v>
      </c>
      <c r="AD19">
        <f>AB19*A1</f>
        <v>111.24</v>
      </c>
      <c r="AE19">
        <f>SUM(AC19:AC20)</f>
        <v>150</v>
      </c>
      <c r="AF19">
        <f>AE19-150</f>
        <v>0</v>
      </c>
      <c r="AG19">
        <f>AE19-AF19</f>
        <v>150</v>
      </c>
      <c r="AI19">
        <f>AG19</f>
        <v>150</v>
      </c>
      <c r="AL19">
        <f>C19-9.27</f>
        <v>3.2300000000000004</v>
      </c>
      <c r="AM19">
        <f>AL19*AB19</f>
        <v>38.760000000000005</v>
      </c>
    </row>
    <row r="20">
      <c r="B20" t="str">
        <v>3 L</v>
      </c>
      <c r="C20">
        <v>0</v>
      </c>
      <c r="AB20">
        <f>SUM(D20:I20)</f>
        <v>0</v>
      </c>
      <c r="AC20">
        <f>AB20*C20</f>
        <v>0</v>
      </c>
      <c r="AD20">
        <f>AB20*B1</f>
        <v>0</v>
      </c>
    </row>
    <row r="21">
      <c r="A21" t="str">
        <v>roi du noix</v>
      </c>
      <c r="B21" t="str">
        <v>1 L</v>
      </c>
      <c r="AB21">
        <f>SUM(D21:I21)</f>
        <v>0</v>
      </c>
      <c r="AC21">
        <f>AB21*C21</f>
        <v>0</v>
      </c>
      <c r="AD21">
        <f>AB21*A1</f>
        <v>0</v>
      </c>
      <c r="AE21">
        <f>SUM(AC21:AC22)</f>
        <v>140</v>
      </c>
      <c r="AF21">
        <f>AE21-140</f>
        <v>0</v>
      </c>
      <c r="AG21">
        <f>AE21-AF21</f>
        <v>140</v>
      </c>
      <c r="AH21">
        <f>AG21:AG22</f>
        <v>140</v>
      </c>
    </row>
    <row r="22">
      <c r="B22" t="str">
        <v>3 L</v>
      </c>
      <c r="C22">
        <v>35</v>
      </c>
      <c r="I22">
        <f>1*4</f>
        <v>4</v>
      </c>
      <c r="AB22">
        <f>SUM(D22:I22)</f>
        <v>4</v>
      </c>
      <c r="AC22">
        <f>AB22*C22</f>
        <v>140</v>
      </c>
      <c r="AD22">
        <f>AB22*B1</f>
        <v>97.72</v>
      </c>
      <c r="AL22">
        <f>C22-25.43</f>
        <v>9.57</v>
      </c>
      <c r="AM22">
        <f>AL22*AB22</f>
        <v>38.28</v>
      </c>
    </row>
    <row r="23">
      <c r="A23" t="str">
        <v>bakar jeon talon</v>
      </c>
      <c r="B23" t="str">
        <v>1 L</v>
      </c>
      <c r="C23">
        <v>12.5</v>
      </c>
      <c r="I23">
        <f>1*12</f>
        <v>12</v>
      </c>
      <c r="AB23">
        <f>SUM(D23:I23)</f>
        <v>12</v>
      </c>
      <c r="AC23">
        <f>AB23*C23</f>
        <v>150</v>
      </c>
      <c r="AD23">
        <f>AB23*A1</f>
        <v>111.24</v>
      </c>
      <c r="AE23">
        <f>SUM(AC23:AC24)</f>
        <v>150</v>
      </c>
      <c r="AF23">
        <f>AE23</f>
        <v>150</v>
      </c>
      <c r="AG23">
        <f>AE23-AF23</f>
        <v>0</v>
      </c>
      <c r="AL23">
        <f>C23-9.27</f>
        <v>3.2300000000000004</v>
      </c>
      <c r="AM23">
        <f>AL23*AB23</f>
        <v>38.760000000000005</v>
      </c>
    </row>
    <row r="24">
      <c r="B24" t="str">
        <v>3 L</v>
      </c>
      <c r="AB24">
        <f>SUM(D24:I24)</f>
        <v>0</v>
      </c>
      <c r="AC24">
        <f>AB24*C24</f>
        <v>0</v>
      </c>
      <c r="AD24">
        <f>AB24*B1</f>
        <v>0</v>
      </c>
    </row>
    <row r="25">
      <c r="A25" t="str">
        <v>tassili</v>
      </c>
      <c r="B25" t="str">
        <v>1 L</v>
      </c>
      <c r="C25">
        <v>12.2</v>
      </c>
      <c r="I25">
        <f>1*12</f>
        <v>12</v>
      </c>
      <c r="AB25">
        <f>SUM(D25:I25)</f>
        <v>12</v>
      </c>
      <c r="AC25">
        <f>AB25*C25</f>
        <v>146.39999999999998</v>
      </c>
      <c r="AD25">
        <f>AB25*A1</f>
        <v>111.24</v>
      </c>
      <c r="AE25">
        <f>SUM(AC25:AC26)</f>
        <v>146.39999999999998</v>
      </c>
      <c r="AF25">
        <f>AE25</f>
        <v>146.39999999999998</v>
      </c>
      <c r="AG25">
        <f>AE25-AF25</f>
        <v>0</v>
      </c>
      <c r="AL25">
        <f>C25-9.27</f>
        <v>2.9299999999999997</v>
      </c>
      <c r="AM25">
        <f>AL25*AB25</f>
        <v>35.16</v>
      </c>
    </row>
    <row r="26">
      <c r="B26" t="str">
        <v>3 L</v>
      </c>
      <c r="AB26">
        <f>SUM(D26:I26)</f>
        <v>0</v>
      </c>
      <c r="AC26">
        <f>AB26*C26</f>
        <v>0</v>
      </c>
      <c r="AD26">
        <f>AB26*B1</f>
        <v>0</v>
      </c>
    </row>
    <row r="27">
      <c r="A27" t="str">
        <v>Marche Olivier</v>
      </c>
      <c r="B27" t="str">
        <v>1 L</v>
      </c>
      <c r="C27">
        <v>12.3</v>
      </c>
      <c r="I27">
        <f>3*12</f>
        <v>36</v>
      </c>
      <c r="AB27">
        <f>SUM(D27:I27)</f>
        <v>36</v>
      </c>
      <c r="AC27">
        <f>AB27*C27</f>
        <v>442.8</v>
      </c>
      <c r="AD27">
        <f>AB27*A1</f>
        <v>333.71999999999997</v>
      </c>
      <c r="AE27">
        <f>SUM(AC27:AC28)</f>
        <v>854.4</v>
      </c>
      <c r="AF27">
        <f>AE27-AE27</f>
        <v>0</v>
      </c>
      <c r="AG27">
        <f>AE27-AF27</f>
        <v>854.4</v>
      </c>
      <c r="AL27">
        <f>C27-9.27</f>
        <v>3.030000000000001</v>
      </c>
      <c r="AM27">
        <f>AL27*AB27</f>
        <v>109.08000000000004</v>
      </c>
    </row>
    <row r="28">
      <c r="B28" t="str">
        <v>3 L</v>
      </c>
      <c r="C28">
        <v>34.3</v>
      </c>
      <c r="I28">
        <f>3*4</f>
        <v>12</v>
      </c>
      <c r="AB28">
        <f>SUM(D28:I28)</f>
        <v>12</v>
      </c>
      <c r="AC28">
        <f>AB28*C28</f>
        <v>411.59999999999997</v>
      </c>
      <c r="AD28">
        <f>AB28*B1</f>
        <v>293.15999999999997</v>
      </c>
      <c r="AL28">
        <f>C28-25.43</f>
        <v>8.869999999999997</v>
      </c>
      <c r="AM28">
        <f>AL28*AB28</f>
        <v>106.43999999999997</v>
      </c>
    </row>
    <row r="29">
      <c r="A29" t="str">
        <v>marche Oasis</v>
      </c>
      <c r="B29" t="str">
        <v>1 L</v>
      </c>
      <c r="C29">
        <v>12.5</v>
      </c>
      <c r="I29">
        <f>4*12</f>
        <v>48</v>
      </c>
      <c r="AB29">
        <f>SUM(D29:I29)</f>
        <v>48</v>
      </c>
      <c r="AC29">
        <f>AB29*C29</f>
        <v>600</v>
      </c>
      <c r="AD29">
        <f>AB29*A1</f>
        <v>444.96</v>
      </c>
      <c r="AE29">
        <f>SUM(AC29:AC30)</f>
        <v>740</v>
      </c>
      <c r="AF29">
        <f>AE29</f>
        <v>740</v>
      </c>
      <c r="AG29">
        <f>AE29-AF29</f>
        <v>0</v>
      </c>
      <c r="AL29">
        <f>C29-9.27</f>
        <v>3.2300000000000004</v>
      </c>
      <c r="AM29">
        <f>AL29*AB29</f>
        <v>155.04000000000002</v>
      </c>
    </row>
    <row r="30">
      <c r="B30" t="str">
        <v>3 L</v>
      </c>
      <c r="C30">
        <v>35</v>
      </c>
      <c r="I30">
        <f>1*4</f>
        <v>4</v>
      </c>
      <c r="AB30">
        <f>SUM(D30:I30)</f>
        <v>4</v>
      </c>
      <c r="AC30">
        <f>AB30*C30</f>
        <v>140</v>
      </c>
      <c r="AD30">
        <f>AB30*B1</f>
        <v>97.72</v>
      </c>
      <c r="AL30">
        <f>C30-25.43</f>
        <v>9.57</v>
      </c>
      <c r="AM30">
        <f>AL30*AB30</f>
        <v>38.28</v>
      </c>
    </row>
    <row r="31">
      <c r="A31" t="str">
        <v>marche Iman</v>
      </c>
      <c r="B31" t="str">
        <v>1 L</v>
      </c>
      <c r="C31">
        <v>12.5</v>
      </c>
      <c r="I31">
        <f>1*12</f>
        <v>12</v>
      </c>
      <c r="AB31">
        <f>SUM(D31:I31)</f>
        <v>12</v>
      </c>
      <c r="AC31">
        <f>AB31*C31</f>
        <v>150</v>
      </c>
      <c r="AD31">
        <f>AB31*A1</f>
        <v>111.24</v>
      </c>
      <c r="AE31">
        <f>SUM(AC31:AC32)</f>
        <v>150</v>
      </c>
      <c r="AF31">
        <f>AE31</f>
        <v>150</v>
      </c>
      <c r="AG31">
        <f>AE31-AF31</f>
        <v>0</v>
      </c>
      <c r="AL31">
        <f>C31-9.27</f>
        <v>3.2300000000000004</v>
      </c>
      <c r="AM31">
        <f>AL31*AB31</f>
        <v>38.760000000000005</v>
      </c>
    </row>
    <row r="32">
      <c r="B32" t="str">
        <v>3 L</v>
      </c>
      <c r="AB32">
        <f>SUM(D32:I32)</f>
        <v>0</v>
      </c>
      <c r="AC32">
        <f>AB32*C32</f>
        <v>0</v>
      </c>
      <c r="AD32">
        <f>AB32*B1</f>
        <v>0</v>
      </c>
      <c r="AM32">
        <f>AL32*AB32</f>
        <v>0</v>
      </c>
    </row>
    <row r="33">
      <c r="A33" t="str">
        <v>Marche Khammara boari</v>
      </c>
      <c r="B33" t="str">
        <v>1 L</v>
      </c>
      <c r="C33">
        <v>12.5</v>
      </c>
      <c r="J33">
        <v>12</v>
      </c>
      <c r="AB33">
        <f>SUM(D33:J33)</f>
        <v>12</v>
      </c>
      <c r="AC33">
        <f>AB33*C33</f>
        <v>150</v>
      </c>
      <c r="AD33">
        <f>AB33*A1</f>
        <v>111.24</v>
      </c>
      <c r="AE33">
        <f>SUM(AC33:AC34)</f>
        <v>150</v>
      </c>
      <c r="AF33">
        <f>AE33-150</f>
        <v>0</v>
      </c>
      <c r="AG33">
        <f>AE33-AF33</f>
        <v>150</v>
      </c>
      <c r="AI33">
        <f>AG33</f>
        <v>150</v>
      </c>
      <c r="AL33">
        <f>C33-9.27</f>
        <v>3.2300000000000004</v>
      </c>
      <c r="AM33">
        <f>AL33*AB33</f>
        <v>38.760000000000005</v>
      </c>
    </row>
    <row r="34">
      <c r="B34" t="str">
        <v>3 L</v>
      </c>
      <c r="AB34">
        <f>SUM(D34:J34)</f>
        <v>0</v>
      </c>
      <c r="AC34">
        <f>AB34*C34</f>
        <v>0</v>
      </c>
      <c r="AD34">
        <f>AB34*B1</f>
        <v>0</v>
      </c>
      <c r="AM34">
        <f>AL34*AB34</f>
        <v>0</v>
      </c>
    </row>
    <row r="35">
      <c r="A35" t="str">
        <v>casa di toto</v>
      </c>
      <c r="B35" t="str">
        <v>1 L</v>
      </c>
      <c r="C35">
        <v>12.3</v>
      </c>
      <c r="J35">
        <f>3*12</f>
        <v>36</v>
      </c>
      <c r="AB35">
        <f>SUM(D35:J35)</f>
        <v>36</v>
      </c>
      <c r="AC35">
        <f>AB35*C35</f>
        <v>442.8</v>
      </c>
      <c r="AD35">
        <f>AB35*A1</f>
        <v>333.71999999999997</v>
      </c>
      <c r="AE35">
        <f>SUM(AC35:AC36)</f>
        <v>442.8</v>
      </c>
      <c r="AF35">
        <f>AE35-442.8</f>
        <v>0</v>
      </c>
      <c r="AG35">
        <f>AE35-AF35</f>
        <v>442.8</v>
      </c>
      <c r="AH35">
        <f>AG35</f>
        <v>442.8</v>
      </c>
      <c r="AL35">
        <f>C35-9.27</f>
        <v>3.030000000000001</v>
      </c>
      <c r="AM35">
        <f>AL35*AB35</f>
        <v>109.08000000000004</v>
      </c>
    </row>
    <row r="36">
      <c r="B36" t="str">
        <v>3 L</v>
      </c>
      <c r="AB36">
        <f>SUM(D36:J36)</f>
        <v>0</v>
      </c>
      <c r="AC36">
        <f>AB36*C36</f>
        <v>0</v>
      </c>
      <c r="AD36">
        <f>AB36*B1</f>
        <v>0</v>
      </c>
      <c r="AM36">
        <f>AL36*AB36</f>
        <v>0</v>
      </c>
    </row>
    <row r="37">
      <c r="A37" t="str">
        <v>Marche Atlas</v>
      </c>
      <c r="B37" t="str">
        <v>1 L</v>
      </c>
      <c r="C37">
        <v>12.1</v>
      </c>
      <c r="J37">
        <f>5*12</f>
        <v>60</v>
      </c>
      <c r="AB37">
        <f>SUM(D37:J37)</f>
        <v>60</v>
      </c>
      <c r="AC37">
        <f>AB37*C37</f>
        <v>726</v>
      </c>
      <c r="AD37">
        <f>AB37*A1</f>
        <v>556.1999999999999</v>
      </c>
      <c r="AE37">
        <f>SUM(AC37:AC38)</f>
        <v>726</v>
      </c>
      <c r="AF37">
        <f>AE37</f>
        <v>726</v>
      </c>
      <c r="AG37">
        <f>AE37-AF37</f>
        <v>0</v>
      </c>
      <c r="AL37">
        <f>C37-9.27</f>
        <v>2.83</v>
      </c>
      <c r="AM37">
        <f>AL37*AB37</f>
        <v>169.8</v>
      </c>
    </row>
    <row r="38">
      <c r="B38" t="str">
        <v>3 L</v>
      </c>
      <c r="AB38">
        <f>SUM(D38:J38)</f>
        <v>0</v>
      </c>
      <c r="AC38">
        <f>AB38*C38</f>
        <v>0</v>
      </c>
      <c r="AD38">
        <f>AB38*B1</f>
        <v>0</v>
      </c>
      <c r="AM38">
        <f>AL38*AB38</f>
        <v>0</v>
      </c>
    </row>
    <row r="39">
      <c r="A39" t="str">
        <v>tradition Mtl nord</v>
      </c>
      <c r="B39" t="str">
        <v>1 L</v>
      </c>
      <c r="C39">
        <v>12.5</v>
      </c>
      <c r="J39">
        <f>1</f>
        <v>1</v>
      </c>
      <c r="AB39">
        <f>SUM(D39:J39)</f>
        <v>1</v>
      </c>
      <c r="AC39">
        <f>AB39*C39</f>
        <v>12.5</v>
      </c>
      <c r="AD39">
        <f>AB39*A1</f>
        <v>9.27</v>
      </c>
      <c r="AE39">
        <f>SUM(AC39:AC40)</f>
        <v>12.5</v>
      </c>
      <c r="AF39">
        <f>AE39-AE39:AE40</f>
        <v>0</v>
      </c>
      <c r="AG39">
        <f>AE39-AF39</f>
        <v>12.5</v>
      </c>
      <c r="AL39">
        <f>C39-9.27</f>
        <v>3.2300000000000004</v>
      </c>
      <c r="AM39">
        <f>AL39*AB39</f>
        <v>3.2300000000000004</v>
      </c>
    </row>
    <row r="40">
      <c r="B40" t="str">
        <v>3 L</v>
      </c>
      <c r="AB40">
        <f>SUM(D40:J40)</f>
        <v>0</v>
      </c>
      <c r="AC40">
        <f>AB40*C40</f>
        <v>0</v>
      </c>
      <c r="AD40">
        <f>AB40*B1</f>
        <v>0</v>
      </c>
      <c r="AM40">
        <f>AL40*AB40</f>
        <v>0</v>
      </c>
    </row>
    <row r="41">
      <c r="A41" t="str">
        <v>EuroMarche</v>
      </c>
      <c r="B41" t="str">
        <v>1 L</v>
      </c>
      <c r="C41">
        <v>12.5</v>
      </c>
      <c r="J41">
        <v>12</v>
      </c>
      <c r="AB41">
        <f>SUM(D41:J41)</f>
        <v>12</v>
      </c>
      <c r="AC41">
        <f>AB41*C41</f>
        <v>150</v>
      </c>
      <c r="AD41">
        <f>AB41*A1</f>
        <v>111.24</v>
      </c>
      <c r="AE41">
        <f>SUM(AC41:AC42)</f>
        <v>150</v>
      </c>
      <c r="AF41">
        <f>AE41-AE41:AE42</f>
        <v>0</v>
      </c>
      <c r="AG41">
        <f>AE41-AF41</f>
        <v>150</v>
      </c>
      <c r="AL41">
        <f>C41-9.27</f>
        <v>3.2300000000000004</v>
      </c>
      <c r="AM41">
        <f>AL41*AB41</f>
        <v>38.760000000000005</v>
      </c>
    </row>
    <row r="42">
      <c r="B42" t="str">
        <v>3 L</v>
      </c>
      <c r="AB42">
        <f>SUM(D42:J42)</f>
        <v>0</v>
      </c>
      <c r="AC42">
        <f>AB42*C42</f>
        <v>0</v>
      </c>
      <c r="AD42">
        <f>AB42*B1</f>
        <v>0</v>
      </c>
      <c r="AM42">
        <f>AL42*AB42</f>
        <v>0</v>
      </c>
    </row>
    <row r="43">
      <c r="A43" t="str">
        <v xml:space="preserve">Marche lavaniya </v>
      </c>
      <c r="B43" t="str">
        <v>1 L</v>
      </c>
      <c r="C43">
        <v>12.5</v>
      </c>
      <c r="L43">
        <v>12</v>
      </c>
      <c r="AB43">
        <f>SUM(D43:L43)</f>
        <v>12</v>
      </c>
      <c r="AC43">
        <f>AB43*C43</f>
        <v>150</v>
      </c>
      <c r="AD43">
        <f>AB43*A1</f>
        <v>111.24</v>
      </c>
      <c r="AE43">
        <f>SUM(AC43:AC44)</f>
        <v>150</v>
      </c>
      <c r="AF43">
        <f>AE43-150</f>
        <v>0</v>
      </c>
      <c r="AG43">
        <f>AE43-AF43</f>
        <v>150</v>
      </c>
      <c r="AI43">
        <f>AG43</f>
        <v>150</v>
      </c>
      <c r="AL43">
        <f>C43-9.27</f>
        <v>3.2300000000000004</v>
      </c>
      <c r="AM43">
        <f>AL43*AB43</f>
        <v>38.760000000000005</v>
      </c>
    </row>
    <row r="44">
      <c r="B44" t="str">
        <v>3 L</v>
      </c>
      <c r="AB44">
        <f>SUM(D44:L44)</f>
        <v>0</v>
      </c>
      <c r="AC44">
        <f>AB44*C44</f>
        <v>0</v>
      </c>
      <c r="AD44">
        <f>AB44*B1</f>
        <v>0</v>
      </c>
      <c r="AM44">
        <f>AL44*AB44</f>
        <v>0</v>
      </c>
    </row>
    <row r="45">
      <c r="A45" t="str">
        <v>Marche al Raji</v>
      </c>
      <c r="B45" t="str">
        <v>3 L</v>
      </c>
      <c r="C45">
        <v>12.25</v>
      </c>
      <c r="L45">
        <v>12</v>
      </c>
      <c r="AB45">
        <f>SUM(D45:L45)</f>
        <v>12</v>
      </c>
      <c r="AC45">
        <f>AB45*C45</f>
        <v>147</v>
      </c>
      <c r="AD45">
        <f>AB45*A1</f>
        <v>111.24</v>
      </c>
      <c r="AE45">
        <f>SUM(AC45:AC46)</f>
        <v>147</v>
      </c>
      <c r="AF45">
        <f>AE45</f>
        <v>147</v>
      </c>
      <c r="AG45">
        <f>AE45-AF45</f>
        <v>0</v>
      </c>
      <c r="AL45">
        <f>C45-9.27</f>
        <v>2.9800000000000004</v>
      </c>
      <c r="AM45">
        <f>AL45*AB45</f>
        <v>35.760000000000005</v>
      </c>
    </row>
    <row r="46">
      <c r="B46" t="str">
        <v>3 L</v>
      </c>
      <c r="AB46">
        <f>SUM(D46:L46)</f>
        <v>0</v>
      </c>
      <c r="AC46">
        <f>AB46*C46</f>
        <v>0</v>
      </c>
      <c r="AD46">
        <f>AB46*B1</f>
        <v>0</v>
      </c>
      <c r="AM46">
        <f>AL46*AB46</f>
        <v>0</v>
      </c>
    </row>
    <row r="47">
      <c r="A47" t="str">
        <v>Marche Bengal</v>
      </c>
      <c r="B47" t="str">
        <v>1 L</v>
      </c>
      <c r="C47">
        <v>12.5</v>
      </c>
      <c r="L47">
        <v>12</v>
      </c>
      <c r="AB47">
        <f>SUM(D47:L47)</f>
        <v>12</v>
      </c>
      <c r="AC47">
        <f>AB47*C47-10</f>
        <v>140</v>
      </c>
      <c r="AD47">
        <f>AB47*A1</f>
        <v>111.24</v>
      </c>
      <c r="AE47">
        <f>SUM(AC47:AC48)</f>
        <v>280</v>
      </c>
      <c r="AF47">
        <f>AE47-280</f>
        <v>0</v>
      </c>
      <c r="AG47">
        <f>AE47-AF47</f>
        <v>280</v>
      </c>
      <c r="AI47">
        <f>AG47</f>
        <v>280</v>
      </c>
      <c r="AL47">
        <f>C47-9.27</f>
        <v>3.2300000000000004</v>
      </c>
      <c r="AM47">
        <f>AL47*AB47</f>
        <v>38.760000000000005</v>
      </c>
    </row>
    <row r="48">
      <c r="B48" t="str">
        <v>3 L</v>
      </c>
      <c r="C48">
        <v>35</v>
      </c>
      <c r="L48">
        <v>4</v>
      </c>
      <c r="AB48">
        <f>SUM(D48:L48)</f>
        <v>4</v>
      </c>
      <c r="AC48">
        <f>AB48*C48</f>
        <v>140</v>
      </c>
      <c r="AD48">
        <f>AB48*B1</f>
        <v>97.72</v>
      </c>
      <c r="AL48">
        <f>C48-25.43</f>
        <v>9.57</v>
      </c>
      <c r="AM48">
        <f>AL48*AB48</f>
        <v>38.28</v>
      </c>
    </row>
    <row r="49">
      <c r="A49" t="str">
        <v>Marche Anfa</v>
      </c>
      <c r="B49" t="str">
        <v>1 L</v>
      </c>
      <c r="C49">
        <v>11.05</v>
      </c>
      <c r="AB49">
        <f>SUM(D49:M49)</f>
        <v>0</v>
      </c>
      <c r="AC49">
        <f>AB49*C49</f>
        <v>0</v>
      </c>
      <c r="AD49">
        <f>AB49*A1</f>
        <v>0</v>
      </c>
      <c r="AE49">
        <f>SUM(AC49:AC50)</f>
        <v>0</v>
      </c>
      <c r="AF49">
        <f>AE49</f>
        <v>0</v>
      </c>
      <c r="AG49">
        <f>AE49-AF49</f>
        <v>0</v>
      </c>
      <c r="AL49">
        <f>C49-9.27</f>
        <v>1.7800000000000011</v>
      </c>
      <c r="AM49">
        <f>AL49*AB49</f>
        <v>0</v>
      </c>
    </row>
    <row r="50">
      <c r="B50" t="str">
        <v>3 L</v>
      </c>
      <c r="AB50">
        <f>SUM(D50:M50)</f>
        <v>0</v>
      </c>
      <c r="AC50">
        <f>AB50*C50</f>
        <v>0</v>
      </c>
      <c r="AD50">
        <f>AB50*B1</f>
        <v>0</v>
      </c>
    </row>
    <row r="51">
      <c r="A51" t="str">
        <v>Marche Anatolia</v>
      </c>
      <c r="B51" t="str">
        <v>1 L</v>
      </c>
      <c r="C51">
        <v>11.22</v>
      </c>
      <c r="M51">
        <f>3*12</f>
        <v>36</v>
      </c>
      <c r="AB51">
        <f>SUM(D51:M51)</f>
        <v>36</v>
      </c>
      <c r="AC51">
        <f>AB51*C51</f>
        <v>403.92</v>
      </c>
      <c r="AD51">
        <f>AB51*A1</f>
        <v>333.71999999999997</v>
      </c>
      <c r="AE51">
        <f>SUM(AC51:AC52)</f>
        <v>403.92</v>
      </c>
      <c r="AF51">
        <f>AE51</f>
        <v>403.92</v>
      </c>
      <c r="AG51">
        <f>AE51-AF51</f>
        <v>0</v>
      </c>
      <c r="AL51">
        <f>C51-9.27</f>
        <v>1.950000000000001</v>
      </c>
      <c r="AM51">
        <f>AL51*AB51</f>
        <v>70.20000000000005</v>
      </c>
    </row>
    <row r="52">
      <c r="B52" t="str">
        <v>3 L</v>
      </c>
      <c r="AB52">
        <f>SUM(D52:M52)</f>
        <v>0</v>
      </c>
      <c r="AC52">
        <f>AB52*C52</f>
        <v>0</v>
      </c>
      <c r="AD52">
        <f>AB52*B1</f>
        <v>0</v>
      </c>
    </row>
    <row r="53">
      <c r="A53" t="str">
        <v>Marche Badr inc</v>
      </c>
      <c r="B53" t="str">
        <v>1 L</v>
      </c>
      <c r="C53">
        <v>12.3</v>
      </c>
      <c r="M53">
        <v>12</v>
      </c>
      <c r="AB53">
        <f>SUM(D53:M53)</f>
        <v>12</v>
      </c>
      <c r="AC53">
        <f>AB53*C53</f>
        <v>147.60000000000002</v>
      </c>
      <c r="AD53">
        <f>AB53*A1</f>
        <v>111.24</v>
      </c>
      <c r="AE53">
        <f>SUM(AC53:AC54)</f>
        <v>283.6</v>
      </c>
      <c r="AF53">
        <f>AE53</f>
        <v>283.6</v>
      </c>
      <c r="AG53">
        <f>AE53-AF53</f>
        <v>0</v>
      </c>
      <c r="AL53">
        <f>C53-9.27</f>
        <v>3.030000000000001</v>
      </c>
      <c r="AM53">
        <f>AL53*AB53</f>
        <v>36.360000000000014</v>
      </c>
    </row>
    <row r="54">
      <c r="B54" t="str">
        <v>3 L</v>
      </c>
      <c r="C54">
        <v>34</v>
      </c>
      <c r="M54">
        <v>4</v>
      </c>
      <c r="AB54">
        <f>SUM(D54:M54)</f>
        <v>4</v>
      </c>
      <c r="AC54">
        <f>AB54*C54</f>
        <v>136</v>
      </c>
      <c r="AD54">
        <f>AB54*B1</f>
        <v>97.72</v>
      </c>
      <c r="AL54">
        <f>C54-25.43</f>
        <v>8.57</v>
      </c>
      <c r="AM54">
        <f>AL54*AB54</f>
        <v>34.28</v>
      </c>
    </row>
    <row r="55">
      <c r="A55" t="str">
        <v>Mon Epicerie Mexicaine</v>
      </c>
      <c r="B55" t="str">
        <v>1 L</v>
      </c>
      <c r="C55">
        <v>12.5</v>
      </c>
      <c r="M55">
        <v>12</v>
      </c>
      <c r="AB55">
        <f>SUM(D55:M55)</f>
        <v>12</v>
      </c>
      <c r="AC55">
        <f>AB55*C55</f>
        <v>150</v>
      </c>
      <c r="AD55">
        <f>AB55*A1</f>
        <v>111.24</v>
      </c>
      <c r="AE55">
        <f>SUM(AC55:AC56)</f>
        <v>150</v>
      </c>
      <c r="AF55">
        <f>AE55-150</f>
        <v>0</v>
      </c>
      <c r="AG55">
        <f>AE55-AF55</f>
        <v>150</v>
      </c>
      <c r="AI55">
        <f>AG55</f>
        <v>150</v>
      </c>
      <c r="AL55">
        <f>C55-9.27</f>
        <v>3.2300000000000004</v>
      </c>
      <c r="AM55">
        <f>AL55*AB55</f>
        <v>38.760000000000005</v>
      </c>
    </row>
    <row r="56">
      <c r="B56" t="str">
        <v>3 L</v>
      </c>
      <c r="AB56">
        <f>SUM(D56:M56)</f>
        <v>0</v>
      </c>
      <c r="AC56">
        <f>AB56*C56</f>
        <v>0</v>
      </c>
      <c r="AD56">
        <f>AB56*B1</f>
        <v>0</v>
      </c>
    </row>
    <row r="57">
      <c r="A57" t="str">
        <v>Marche Rizwan</v>
      </c>
      <c r="B57" t="str">
        <v>1 L</v>
      </c>
      <c r="C57">
        <v>12.1</v>
      </c>
      <c r="M57">
        <f>2*12</f>
        <v>24</v>
      </c>
      <c r="AB57">
        <f>SUM(D57:M57)</f>
        <v>24</v>
      </c>
      <c r="AC57">
        <f>AB57*C57</f>
        <v>290.4</v>
      </c>
      <c r="AD57">
        <f>AB57*A1</f>
        <v>222.48</v>
      </c>
      <c r="AE57">
        <f>SUM(AC57:AC58)</f>
        <v>424.4</v>
      </c>
      <c r="AF57">
        <f>AE57</f>
        <v>424.4</v>
      </c>
      <c r="AG57">
        <f>AE57-AF57</f>
        <v>0</v>
      </c>
      <c r="AL57">
        <f>C57-9.27</f>
        <v>2.83</v>
      </c>
      <c r="AM57">
        <f>AL57*AB57</f>
        <v>67.92</v>
      </c>
    </row>
    <row r="58">
      <c r="B58" t="str">
        <v>3 L</v>
      </c>
      <c r="C58">
        <v>33.5</v>
      </c>
      <c r="M58">
        <v>4</v>
      </c>
      <c r="AB58">
        <f>SUM(D58:M58)</f>
        <v>4</v>
      </c>
      <c r="AC58">
        <f>AB58*C58</f>
        <v>134</v>
      </c>
      <c r="AD58">
        <f>AB58*B1</f>
        <v>97.72</v>
      </c>
      <c r="AL58">
        <f>C58-25.43</f>
        <v>8.07</v>
      </c>
      <c r="AM58">
        <f>AL58*AB58</f>
        <v>32.28</v>
      </c>
    </row>
    <row r="59">
      <c r="A59" t="str">
        <v>Marche Madni</v>
      </c>
      <c r="B59" t="str">
        <v>1 L</v>
      </c>
      <c r="C59">
        <v>12.5</v>
      </c>
      <c r="M59">
        <v>12</v>
      </c>
      <c r="AB59">
        <f>SUM(D59:M59)</f>
        <v>12</v>
      </c>
      <c r="AC59">
        <f>AB59*C59</f>
        <v>150</v>
      </c>
      <c r="AD59">
        <f>AB59*A1</f>
        <v>111.24</v>
      </c>
      <c r="AE59">
        <f>SUM(AC59:AC60)</f>
        <v>286</v>
      </c>
      <c r="AF59">
        <f>AE59</f>
        <v>286</v>
      </c>
      <c r="AG59">
        <f>AE59-AF59</f>
        <v>0</v>
      </c>
      <c r="AL59">
        <f>C59-9.27</f>
        <v>3.2300000000000004</v>
      </c>
      <c r="AM59">
        <f>AL59*AB59</f>
        <v>38.760000000000005</v>
      </c>
    </row>
    <row r="60">
      <c r="B60" t="str">
        <v>3 L</v>
      </c>
      <c r="C60">
        <v>34</v>
      </c>
      <c r="M60">
        <v>4</v>
      </c>
      <c r="AB60">
        <f>SUM(D60:M60)</f>
        <v>4</v>
      </c>
      <c r="AC60">
        <f>AB60*C60</f>
        <v>136</v>
      </c>
      <c r="AD60">
        <f>AB60*B1</f>
        <v>97.72</v>
      </c>
      <c r="AL60">
        <f>C60-25.43</f>
        <v>8.57</v>
      </c>
      <c r="AM60">
        <f>AL60*AB60</f>
        <v>34.28</v>
      </c>
    </row>
    <row r="61">
      <c r="A61" t="str">
        <v>Marche RS</v>
      </c>
      <c r="B61" t="str">
        <v>1 L</v>
      </c>
      <c r="C61">
        <v>12.5</v>
      </c>
      <c r="M61">
        <v>12</v>
      </c>
      <c r="AB61">
        <f>SUM(D61:M61)</f>
        <v>12</v>
      </c>
      <c r="AC61">
        <f>AB61*C61</f>
        <v>150</v>
      </c>
      <c r="AD61">
        <f>AB61*A1</f>
        <v>111.24</v>
      </c>
      <c r="AE61">
        <f>SUM(AC61:AC62)</f>
        <v>150</v>
      </c>
      <c r="AF61">
        <f>AE61-150</f>
        <v>0</v>
      </c>
      <c r="AG61">
        <f>AE61-AF61</f>
        <v>150</v>
      </c>
      <c r="AI61">
        <f>AG61</f>
        <v>150</v>
      </c>
      <c r="AL61">
        <f>C61-9.27</f>
        <v>3.2300000000000004</v>
      </c>
      <c r="AM61">
        <f>AL61*AB61</f>
        <v>38.760000000000005</v>
      </c>
    </row>
    <row r="62">
      <c r="B62" t="str">
        <v>3 L</v>
      </c>
      <c r="AB62">
        <f>SUM(D62:M62)</f>
        <v>0</v>
      </c>
      <c r="AC62">
        <f>AB62*C62</f>
        <v>0</v>
      </c>
      <c r="AD62">
        <f>AB62*B1</f>
        <v>0</v>
      </c>
      <c r="AM62">
        <f>AL62*AB62</f>
        <v>0</v>
      </c>
    </row>
    <row r="63">
      <c r="A63" t="str">
        <v>Marche Bamyan</v>
      </c>
      <c r="B63" t="str">
        <v>1 L</v>
      </c>
      <c r="C63">
        <v>12.3</v>
      </c>
      <c r="N63">
        <v>12</v>
      </c>
      <c r="AB63">
        <f>SUM(D63:N63)</f>
        <v>12</v>
      </c>
      <c r="AC63">
        <f>AB63*C63</f>
        <v>147.60000000000002</v>
      </c>
      <c r="AD63">
        <f>AB63*A1</f>
        <v>111.24</v>
      </c>
      <c r="AE63">
        <f>SUM(AC63:AC64)</f>
        <v>147.60000000000002</v>
      </c>
      <c r="AF63">
        <f>AE63</f>
        <v>147.60000000000002</v>
      </c>
      <c r="AG63">
        <f>AE63-AF63</f>
        <v>0</v>
      </c>
      <c r="AL63">
        <f>C63-9.27</f>
        <v>3.030000000000001</v>
      </c>
      <c r="AM63">
        <f>AL63*AB63</f>
        <v>36.360000000000014</v>
      </c>
    </row>
    <row r="64">
      <c r="B64" t="str">
        <v>3 L</v>
      </c>
      <c r="AB64">
        <f>SUM(D64:N64)</f>
        <v>0</v>
      </c>
      <c r="AC64">
        <f>AB64*C64</f>
        <v>0</v>
      </c>
      <c r="AD64">
        <f>AB64*B1</f>
        <v>0</v>
      </c>
    </row>
    <row r="65">
      <c r="A65" t="str">
        <v>Marche Hawai</v>
      </c>
      <c r="B65" t="str">
        <v>1 L</v>
      </c>
      <c r="C65">
        <v>12.3</v>
      </c>
      <c r="N65">
        <v>12</v>
      </c>
      <c r="AB65">
        <f>SUM(D65:N65)</f>
        <v>12</v>
      </c>
      <c r="AC65">
        <f>AB65*C65</f>
        <v>147.60000000000002</v>
      </c>
      <c r="AD65">
        <f>AB65*A1</f>
        <v>111.24</v>
      </c>
      <c r="AE65">
        <f>SUM(AC65:AC66)</f>
        <v>281.6</v>
      </c>
      <c r="AF65">
        <f>AE65</f>
        <v>281.6</v>
      </c>
      <c r="AG65">
        <f>AE65-AF65</f>
        <v>0</v>
      </c>
      <c r="AL65">
        <f>C65-9.27</f>
        <v>3.030000000000001</v>
      </c>
      <c r="AM65">
        <f>AL65*AB65</f>
        <v>36.360000000000014</v>
      </c>
    </row>
    <row r="66">
      <c r="B66" t="str">
        <v>3 L</v>
      </c>
      <c r="C66">
        <v>33.5</v>
      </c>
      <c r="N66">
        <v>4</v>
      </c>
      <c r="AB66">
        <f>SUM(D66:N66)</f>
        <v>4</v>
      </c>
      <c r="AC66">
        <f>AB66*C66</f>
        <v>134</v>
      </c>
      <c r="AD66">
        <f>AB66*B1</f>
        <v>97.72</v>
      </c>
      <c r="AL66">
        <f>C66-25.43</f>
        <v>8.07</v>
      </c>
      <c r="AM66">
        <f>AL66*AB66</f>
        <v>32.28</v>
      </c>
    </row>
    <row r="67">
      <c r="A67" t="str">
        <v>Marche Ardis(Walima Plus)</v>
      </c>
      <c r="B67" t="str">
        <v>1 L</v>
      </c>
      <c r="C67">
        <v>12.5</v>
      </c>
      <c r="N67">
        <f>4*12</f>
        <v>48</v>
      </c>
      <c r="AB67">
        <f>SUM(D67:N67)</f>
        <v>48</v>
      </c>
      <c r="AC67">
        <f>AB67*C67</f>
        <v>600</v>
      </c>
      <c r="AD67">
        <f>AB67*A1</f>
        <v>444.96</v>
      </c>
      <c r="AE67">
        <f>SUM(AC67:AC68)</f>
        <v>870</v>
      </c>
      <c r="AF67">
        <f>AE67</f>
        <v>870</v>
      </c>
      <c r="AG67">
        <f>AE67-AF67</f>
        <v>0</v>
      </c>
      <c r="AL67">
        <f>C67-9.27</f>
        <v>3.2300000000000004</v>
      </c>
      <c r="AM67">
        <f>AL67*AB67</f>
        <v>155.04000000000002</v>
      </c>
    </row>
    <row r="68">
      <c r="B68" t="str">
        <v>3 L</v>
      </c>
      <c r="C68">
        <v>33.75</v>
      </c>
      <c r="N68">
        <f>2*4</f>
        <v>8</v>
      </c>
      <c r="AB68">
        <f>SUM(D68:N68)</f>
        <v>8</v>
      </c>
      <c r="AC68">
        <f>AB68*C68</f>
        <v>270</v>
      </c>
      <c r="AD68">
        <f>AB68*B1</f>
        <v>195.44</v>
      </c>
      <c r="AL68">
        <f>C68-25.43</f>
        <v>8.32</v>
      </c>
      <c r="AM68">
        <f>AL68*AB68</f>
        <v>66.56</v>
      </c>
    </row>
    <row r="69">
      <c r="A69" t="str">
        <v>Tradition st andre</v>
      </c>
      <c r="B69" t="str">
        <v>1 L</v>
      </c>
      <c r="C69">
        <v>12.05</v>
      </c>
      <c r="N69">
        <f>10*12</f>
        <v>120</v>
      </c>
      <c r="AB69">
        <f>SUM(D69:N69)</f>
        <v>120</v>
      </c>
      <c r="AC69">
        <f>AB69*C69</f>
        <v>1446</v>
      </c>
      <c r="AD69">
        <f>AB69*A1</f>
        <v>1112.3999999999999</v>
      </c>
      <c r="AE69">
        <f>SUM(AC69:AC70)</f>
        <v>1446</v>
      </c>
      <c r="AF69">
        <f>AE69-AE69</f>
        <v>0</v>
      </c>
      <c r="AG69">
        <f>AE69-AF69</f>
        <v>1446</v>
      </c>
      <c r="AH69">
        <f>AG69:AG70</f>
        <v>1446</v>
      </c>
      <c r="AL69">
        <f>C69-9.27</f>
        <v>2.780000000000001</v>
      </c>
      <c r="AM69">
        <f>AL69*AB69</f>
        <v>333.60000000000014</v>
      </c>
    </row>
    <row r="70">
      <c r="B70" t="str">
        <v>3 L</v>
      </c>
      <c r="AB70">
        <f>SUM(D70:N70)</f>
        <v>0</v>
      </c>
      <c r="AC70">
        <f>AB70*C70</f>
        <v>0</v>
      </c>
      <c r="AD70">
        <f>AB70*B1</f>
        <v>0</v>
      </c>
    </row>
    <row r="71">
      <c r="A71" t="str">
        <v>Marche Elmizan</v>
      </c>
      <c r="B71" t="str">
        <v>1 L</v>
      </c>
      <c r="C71">
        <v>12.1</v>
      </c>
      <c r="N71">
        <v>12</v>
      </c>
      <c r="AB71">
        <f>SUM(D71:N71)</f>
        <v>12</v>
      </c>
      <c r="AC71">
        <f>AB71*C71</f>
        <v>145.2</v>
      </c>
      <c r="AD71">
        <f>AB71*A1</f>
        <v>111.24</v>
      </c>
      <c r="AE71">
        <f>SUM(AC71:AC72)</f>
        <v>145.2</v>
      </c>
      <c r="AF71">
        <f>AE71</f>
        <v>145.2</v>
      </c>
      <c r="AG71">
        <f>AE71-AF71</f>
        <v>0</v>
      </c>
      <c r="AL71">
        <f>C71-9.27</f>
        <v>2.83</v>
      </c>
      <c r="AM71">
        <f>AL71*AB71</f>
        <v>33.96</v>
      </c>
    </row>
    <row r="72">
      <c r="B72" t="str">
        <v>3 L</v>
      </c>
      <c r="AB72">
        <f>SUM(D72:N72)</f>
        <v>0</v>
      </c>
      <c r="AC72">
        <f>AB72*C72</f>
        <v>0</v>
      </c>
      <c r="AD72">
        <f>AB72*B1</f>
        <v>0</v>
      </c>
    </row>
    <row r="73">
      <c r="A73" t="str">
        <v>Marche Malo</v>
      </c>
      <c r="B73" t="str">
        <v>1 L</v>
      </c>
      <c r="C73">
        <v>12</v>
      </c>
      <c r="N73">
        <v>12</v>
      </c>
      <c r="AB73">
        <f>SUM(D73:N73)</f>
        <v>12</v>
      </c>
      <c r="AC73">
        <f>AB73*C73</f>
        <v>144</v>
      </c>
      <c r="AD73">
        <f>AB73*A1</f>
        <v>111.24</v>
      </c>
      <c r="AE73">
        <f>SUM(AC73:AC74)</f>
        <v>144</v>
      </c>
      <c r="AF73">
        <f>AE73-144</f>
        <v>0</v>
      </c>
      <c r="AG73">
        <f>AE73-AF73</f>
        <v>144</v>
      </c>
      <c r="AI73">
        <f>AG73</f>
        <v>144</v>
      </c>
      <c r="AL73">
        <f>C73-9.27</f>
        <v>2.7300000000000004</v>
      </c>
      <c r="AM73">
        <f>AL73*AB73</f>
        <v>32.760000000000005</v>
      </c>
    </row>
    <row r="74">
      <c r="B74" t="str">
        <v>3 L</v>
      </c>
      <c r="AB74">
        <f>SUM(D74:N74)</f>
        <v>0</v>
      </c>
      <c r="AC74">
        <f>AB74*C74</f>
        <v>0</v>
      </c>
      <c r="AD74">
        <f>AB74*B1</f>
        <v>0</v>
      </c>
    </row>
    <row r="75">
      <c r="A75" t="str">
        <v>intermarche PlumboPierrefond</v>
      </c>
      <c r="B75" t="str">
        <v>1 L</v>
      </c>
      <c r="C75">
        <v>12</v>
      </c>
      <c r="O75">
        <f>4*12</f>
        <v>48</v>
      </c>
      <c r="AB75">
        <f>SUM(D75:O75)</f>
        <v>48</v>
      </c>
      <c r="AC75">
        <f>AB75*C75</f>
        <v>576</v>
      </c>
      <c r="AD75">
        <f>AB75*A1</f>
        <v>444.96</v>
      </c>
      <c r="AE75">
        <f>SUM(AC75:AC76)</f>
        <v>576</v>
      </c>
      <c r="AF75">
        <f>AE75-AE75:AE76</f>
        <v>0</v>
      </c>
      <c r="AG75">
        <f>AE75-AF75</f>
        <v>576</v>
      </c>
      <c r="AH75">
        <f>AG75:AG76</f>
        <v>576</v>
      </c>
      <c r="AL75">
        <f>C75-9.27</f>
        <v>2.7300000000000004</v>
      </c>
      <c r="AM75">
        <f>AL75*AB75</f>
        <v>131.04000000000002</v>
      </c>
    </row>
    <row r="76">
      <c r="B76" t="str">
        <v>3 L</v>
      </c>
      <c r="AB76">
        <f>SUM(D76:O76)</f>
        <v>0</v>
      </c>
      <c r="AC76">
        <f>AB76*C76</f>
        <v>0</v>
      </c>
      <c r="AD76">
        <f>AB76*B1</f>
        <v>0</v>
      </c>
    </row>
    <row r="77">
      <c r="A77" t="str">
        <v>Fruit Navada</v>
      </c>
      <c r="B77" t="str">
        <v>1 L</v>
      </c>
      <c r="C77">
        <v>12</v>
      </c>
      <c r="O77">
        <v>12</v>
      </c>
      <c r="AB77">
        <f>SUM(D77:O77)</f>
        <v>12</v>
      </c>
      <c r="AC77">
        <f>AB77*C77</f>
        <v>144</v>
      </c>
      <c r="AD77">
        <f>AB77*A1</f>
        <v>111.24</v>
      </c>
      <c r="AE77">
        <f>SUM(AC77:AC78)</f>
        <v>144</v>
      </c>
      <c r="AF77">
        <f>AE77-AE77:AE78</f>
        <v>0</v>
      </c>
      <c r="AG77">
        <f>AE77-AF77</f>
        <v>144</v>
      </c>
      <c r="AL77">
        <f>C77-9.27</f>
        <v>2.7300000000000004</v>
      </c>
      <c r="AM77">
        <f>AL77*AB77</f>
        <v>32.760000000000005</v>
      </c>
    </row>
    <row r="78">
      <c r="B78" t="str">
        <v>3 L</v>
      </c>
      <c r="AB78">
        <f>SUM(D78:O78)</f>
        <v>0</v>
      </c>
      <c r="AC78">
        <f>AB78*C78</f>
        <v>0</v>
      </c>
      <c r="AD78">
        <f>AB78*B1</f>
        <v>0</v>
      </c>
    </row>
    <row r="79">
      <c r="A79" t="str">
        <v>Plumbo de la concorde</v>
      </c>
      <c r="B79" t="str">
        <v>1 L</v>
      </c>
      <c r="C79">
        <v>12.3</v>
      </c>
      <c r="O79">
        <v>12</v>
      </c>
      <c r="AB79">
        <f>SUM(D79:O79)</f>
        <v>12</v>
      </c>
      <c r="AC79">
        <f>AB79*C79</f>
        <v>147.60000000000002</v>
      </c>
      <c r="AD79">
        <f>AB79*A1</f>
        <v>111.24</v>
      </c>
      <c r="AE79">
        <f>SUM(AC79:AC80)</f>
        <v>147.60000000000002</v>
      </c>
      <c r="AF79">
        <f>AE79-AE79:AE80</f>
        <v>0</v>
      </c>
      <c r="AG79">
        <f>AE79-AF79</f>
        <v>147.60000000000002</v>
      </c>
      <c r="AH79">
        <f>AG79:AG80</f>
        <v>147.60000000000002</v>
      </c>
      <c r="AL79">
        <f>C79-9.27</f>
        <v>3.030000000000001</v>
      </c>
      <c r="AM79">
        <f>AL79*AB79</f>
        <v>36.360000000000014</v>
      </c>
    </row>
    <row r="80">
      <c r="B80" t="str">
        <v>3 L</v>
      </c>
      <c r="AB80">
        <f>SUM(D80:O80)</f>
        <v>0</v>
      </c>
      <c r="AC80">
        <f>AB80*C80</f>
        <v>0</v>
      </c>
      <c r="AD80">
        <f>AB80*B1</f>
        <v>0</v>
      </c>
    </row>
    <row r="81">
      <c r="A81" t="str">
        <v>Fruiterie Romica</v>
      </c>
      <c r="B81" t="str">
        <v>1 L</v>
      </c>
      <c r="C81">
        <v>12</v>
      </c>
      <c r="P81">
        <v>12</v>
      </c>
      <c r="AB81">
        <f>SUM(D81:P81)</f>
        <v>12</v>
      </c>
      <c r="AC81">
        <f>AB81*C81</f>
        <v>144</v>
      </c>
      <c r="AD81">
        <f>AB81*A1</f>
        <v>111.24</v>
      </c>
      <c r="AE81">
        <f>SUM(AC81:AC82)</f>
        <v>144</v>
      </c>
      <c r="AF81">
        <f>AE81-144</f>
        <v>0</v>
      </c>
      <c r="AG81">
        <f>AE81-AF81</f>
        <v>144</v>
      </c>
      <c r="AI81">
        <f>AG81</f>
        <v>144</v>
      </c>
      <c r="AL81">
        <f>C81-9.27</f>
        <v>2.7300000000000004</v>
      </c>
      <c r="AM81">
        <f>AL81*AB81</f>
        <v>32.760000000000005</v>
      </c>
    </row>
    <row r="82">
      <c r="B82" t="str">
        <v>3 L</v>
      </c>
      <c r="AB82">
        <f>SUM(D82:P82)</f>
        <v>0</v>
      </c>
      <c r="AC82">
        <f>AB82*C82</f>
        <v>0</v>
      </c>
      <c r="AD82">
        <f>AB82*B1</f>
        <v>0</v>
      </c>
    </row>
    <row r="83">
      <c r="A83" t="str">
        <v>Marche ADCO</v>
      </c>
      <c r="B83" t="str">
        <v>1 L</v>
      </c>
      <c r="C83">
        <v>12.5</v>
      </c>
      <c r="P83">
        <v>12</v>
      </c>
      <c r="AB83">
        <f>SUM(D83:P83)</f>
        <v>12</v>
      </c>
      <c r="AC83">
        <f>AB83*C83</f>
        <v>150</v>
      </c>
      <c r="AD83">
        <f>AB83*A1</f>
        <v>111.24</v>
      </c>
      <c r="AE83">
        <f>SUM(AC83:AC84)</f>
        <v>150</v>
      </c>
      <c r="AF83">
        <f>AE83-150</f>
        <v>0</v>
      </c>
      <c r="AG83">
        <f>AE83-AF83</f>
        <v>150</v>
      </c>
      <c r="AI83">
        <f>AG83</f>
        <v>150</v>
      </c>
      <c r="AL83">
        <f>C83-9.27</f>
        <v>3.2300000000000004</v>
      </c>
      <c r="AM83">
        <f>AL83*AB83</f>
        <v>38.760000000000005</v>
      </c>
    </row>
    <row r="84">
      <c r="B84" t="str">
        <v>3 L</v>
      </c>
      <c r="AB84">
        <f>SUM(D84:P84)</f>
        <v>0</v>
      </c>
      <c r="AC84">
        <f>AB84*C84</f>
        <v>0</v>
      </c>
      <c r="AD84">
        <f>AB84*B1</f>
        <v>0</v>
      </c>
    </row>
    <row r="85">
      <c r="A85" t="str">
        <v>Marche Bino</v>
      </c>
      <c r="B85" t="str">
        <v>1 L</v>
      </c>
      <c r="C85">
        <v>12.5</v>
      </c>
      <c r="P85">
        <v>12</v>
      </c>
      <c r="AB85">
        <f>SUM(D85:P85)</f>
        <v>12</v>
      </c>
      <c r="AC85">
        <f>AB85*C85</f>
        <v>150</v>
      </c>
      <c r="AD85">
        <f>AB85*A1</f>
        <v>111.24</v>
      </c>
      <c r="AE85">
        <f>SUM(AC85:AC86)</f>
        <v>150</v>
      </c>
      <c r="AF85">
        <f>AE85</f>
        <v>150</v>
      </c>
      <c r="AG85">
        <f>AE85-AF85</f>
        <v>0</v>
      </c>
      <c r="AL85">
        <f>C85-9.27</f>
        <v>3.2300000000000004</v>
      </c>
      <c r="AM85">
        <f>AL85*AB85</f>
        <v>38.760000000000005</v>
      </c>
    </row>
    <row r="86">
      <c r="B86" t="str">
        <v>3 L</v>
      </c>
      <c r="AB86">
        <f>SUM(D86:P86)</f>
        <v>0</v>
      </c>
      <c r="AC86">
        <f>AB86*C86</f>
        <v>0</v>
      </c>
      <c r="AD86">
        <f>AB86*B1</f>
        <v>0</v>
      </c>
    </row>
    <row r="87">
      <c r="A87" t="str">
        <v>Fruitta si</v>
      </c>
      <c r="B87" t="str">
        <v>1 L</v>
      </c>
      <c r="C87">
        <v>10.5</v>
      </c>
      <c r="Q87">
        <f>40*12</f>
        <v>480</v>
      </c>
      <c r="AB87">
        <f>SUM(D87:Q87)</f>
        <v>480</v>
      </c>
      <c r="AC87">
        <f>AB87*C87</f>
        <v>5040</v>
      </c>
      <c r="AD87">
        <f>AB87*A1</f>
        <v>4449.599999999999</v>
      </c>
      <c r="AE87">
        <f>SUM(AC87:AC88)</f>
        <v>5040</v>
      </c>
      <c r="AF87">
        <f>AE87-AE87:AE88</f>
        <v>0</v>
      </c>
      <c r="AG87">
        <f>AE87-AF87</f>
        <v>5040</v>
      </c>
      <c r="AL87">
        <f>C87-9.27</f>
        <v>1.2300000000000004</v>
      </c>
      <c r="AM87">
        <f>AL87*AB87</f>
        <v>590.4000000000002</v>
      </c>
    </row>
    <row r="88">
      <c r="B88" t="str">
        <v>3 L</v>
      </c>
      <c r="AB88">
        <f>SUM(D88:Q88)</f>
        <v>0</v>
      </c>
      <c r="AC88">
        <f>AB88*C88</f>
        <v>0</v>
      </c>
      <c r="AD88">
        <f>AB88*B1</f>
        <v>0</v>
      </c>
    </row>
    <row r="89">
      <c r="A89" t="str">
        <v>Marche Ikaze</v>
      </c>
      <c r="B89" t="str">
        <v>1 L</v>
      </c>
      <c r="C89">
        <v>12.5</v>
      </c>
      <c r="Q89">
        <v>12</v>
      </c>
      <c r="AB89">
        <f>SUM(D89:Q89)</f>
        <v>12</v>
      </c>
      <c r="AC89">
        <f>AB89*C89</f>
        <v>150</v>
      </c>
      <c r="AD89">
        <f>AB89*A1</f>
        <v>111.24</v>
      </c>
      <c r="AE89">
        <f>SUM(AC89:AC90)</f>
        <v>150</v>
      </c>
      <c r="AF89">
        <f>AE89</f>
        <v>150</v>
      </c>
      <c r="AG89">
        <f>AE89-AF89</f>
        <v>0</v>
      </c>
      <c r="AL89">
        <f>C89-9.27</f>
        <v>3.2300000000000004</v>
      </c>
      <c r="AM89">
        <f>AL89*AB89</f>
        <v>38.760000000000005</v>
      </c>
    </row>
    <row r="90">
      <c r="B90" t="str">
        <v>3 L</v>
      </c>
      <c r="AB90">
        <f>SUM(D90:Q90)</f>
        <v>0</v>
      </c>
      <c r="AC90">
        <f>AB90*C90</f>
        <v>0</v>
      </c>
      <c r="AD90">
        <f>AB90*B1</f>
        <v>0</v>
      </c>
    </row>
    <row r="91">
      <c r="A91" t="str">
        <v>Marche Gourayo</v>
      </c>
      <c r="B91" t="str">
        <v>1 L</v>
      </c>
      <c r="C91">
        <v>12.5</v>
      </c>
      <c r="Q91">
        <f>2*12</f>
        <v>24</v>
      </c>
      <c r="AB91">
        <f>SUM(D91:Q91)</f>
        <v>24</v>
      </c>
      <c r="AC91">
        <f>AB91*C91</f>
        <v>300</v>
      </c>
      <c r="AD91">
        <f>AB91*A1</f>
        <v>222.48</v>
      </c>
      <c r="AE91">
        <f>SUM(AC91:AC92)</f>
        <v>300</v>
      </c>
      <c r="AF91">
        <f>AE91</f>
        <v>300</v>
      </c>
      <c r="AG91">
        <f>AE91-AF91</f>
        <v>0</v>
      </c>
      <c r="AL91">
        <f>C91-9.27</f>
        <v>3.2300000000000004</v>
      </c>
      <c r="AM91">
        <f>AL91*AB91</f>
        <v>77.52000000000001</v>
      </c>
    </row>
    <row r="92">
      <c r="B92" t="str">
        <v>3 L</v>
      </c>
      <c r="AB92">
        <f>SUM(D92:Q92)</f>
        <v>0</v>
      </c>
      <c r="AC92">
        <f>AB92*C92</f>
        <v>0</v>
      </c>
      <c r="AD92">
        <f>AB92*B1</f>
        <v>0</v>
      </c>
    </row>
    <row r="93">
      <c r="A93" t="str">
        <v>Marche EHI</v>
      </c>
      <c r="B93" t="str">
        <v>1 L</v>
      </c>
      <c r="C93">
        <v>12.5</v>
      </c>
      <c r="Q93">
        <f>1*12</f>
        <v>12</v>
      </c>
      <c r="AB93">
        <f>SUM(D93:Q93)</f>
        <v>12</v>
      </c>
      <c r="AC93">
        <f>AB93*C93</f>
        <v>150</v>
      </c>
      <c r="AD93">
        <f>AB93*A1</f>
        <v>111.24</v>
      </c>
      <c r="AE93">
        <f>SUM(AC93:AC94)</f>
        <v>150</v>
      </c>
      <c r="AF93">
        <f>AE93-AE93:AE94</f>
        <v>0</v>
      </c>
      <c r="AG93">
        <f>AE93-AF93</f>
        <v>150</v>
      </c>
      <c r="AL93">
        <f>C93-9.27</f>
        <v>3.2300000000000004</v>
      </c>
      <c r="AM93">
        <f>AL93*AB93</f>
        <v>38.760000000000005</v>
      </c>
    </row>
    <row r="94">
      <c r="B94" t="str">
        <v>3 L</v>
      </c>
      <c r="AB94">
        <f>SUM(D94:Q94)</f>
        <v>0</v>
      </c>
      <c r="AC94">
        <f>AB94*C94</f>
        <v>0</v>
      </c>
      <c r="AD94">
        <f>AB94*B1</f>
        <v>0</v>
      </c>
    </row>
    <row r="95">
      <c r="A95" t="str">
        <v>Marche Soumam</v>
      </c>
      <c r="B95" t="str">
        <v>1 L</v>
      </c>
      <c r="C95">
        <v>12.5</v>
      </c>
      <c r="Q95">
        <v>12</v>
      </c>
      <c r="AB95">
        <f>SUM(D95:Q95)</f>
        <v>12</v>
      </c>
      <c r="AC95">
        <f>AB95*C95</f>
        <v>150</v>
      </c>
      <c r="AD95">
        <f>AB95*A1</f>
        <v>111.24</v>
      </c>
      <c r="AE95">
        <f>SUM(AC95:AC96)</f>
        <v>150</v>
      </c>
      <c r="AF95">
        <f>AE95</f>
        <v>150</v>
      </c>
      <c r="AG95">
        <f>AE95-AF95</f>
        <v>0</v>
      </c>
      <c r="AL95">
        <f>C95-9.27</f>
        <v>3.2300000000000004</v>
      </c>
      <c r="AM95">
        <f>AL95*AB95</f>
        <v>38.760000000000005</v>
      </c>
    </row>
    <row r="96">
      <c r="B96" t="str">
        <v>3 L</v>
      </c>
      <c r="AB96">
        <f>SUM(D96:Q96)</f>
        <v>0</v>
      </c>
      <c r="AC96">
        <f>AB96*C96</f>
        <v>0</v>
      </c>
      <c r="AD96">
        <f>AB96*B1</f>
        <v>0</v>
      </c>
    </row>
    <row r="97">
      <c r="A97" t="str">
        <v>Marche Bon Plan</v>
      </c>
      <c r="B97" t="str">
        <v>1 L</v>
      </c>
      <c r="C97">
        <v>12.5</v>
      </c>
      <c r="Q97">
        <f>2*12</f>
        <v>24</v>
      </c>
      <c r="AB97">
        <f>SUM(D97:Q97)</f>
        <v>24</v>
      </c>
      <c r="AC97">
        <f>AB97*C97</f>
        <v>300</v>
      </c>
      <c r="AD97">
        <f>AB97*A1</f>
        <v>222.48</v>
      </c>
      <c r="AE97">
        <f>SUM(AC97:AC98)</f>
        <v>300</v>
      </c>
      <c r="AF97">
        <f>AE97-300</f>
        <v>0</v>
      </c>
      <c r="AG97">
        <f>AE97-AF97</f>
        <v>300</v>
      </c>
      <c r="AI97">
        <f>AG97:AG98</f>
        <v>300</v>
      </c>
      <c r="AL97">
        <f>C97-9.27</f>
        <v>3.2300000000000004</v>
      </c>
      <c r="AM97">
        <f>AL97*AB97</f>
        <v>77.52000000000001</v>
      </c>
    </row>
    <row r="98">
      <c r="B98" t="str">
        <v>3 L</v>
      </c>
      <c r="AB98">
        <f>SUM(D98:Y98)</f>
        <v>0</v>
      </c>
      <c r="AC98">
        <f>AB98*C98</f>
        <v>0</v>
      </c>
      <c r="AD98">
        <f>AB98*B1</f>
        <v>0</v>
      </c>
    </row>
    <row r="99">
      <c r="A99" t="str">
        <v>boulangerie le fournil ancestral 32</v>
      </c>
      <c r="B99" t="str">
        <v>1 L</v>
      </c>
      <c r="AB99">
        <f>SUM(D99:Y99)</f>
        <v>0</v>
      </c>
      <c r="AC99">
        <f>AB99*C99</f>
        <v>0</v>
      </c>
      <c r="AD99">
        <f>AB99*A1</f>
        <v>0</v>
      </c>
      <c r="AE99">
        <f>SUM(AC99:AC100)</f>
        <v>320</v>
      </c>
      <c r="AF99">
        <f>AE99-AE99:AE100</f>
        <v>0</v>
      </c>
      <c r="AG99">
        <f>AE99-AF99</f>
        <v>320</v>
      </c>
      <c r="AI99">
        <f>AG99:AG100</f>
        <v>320</v>
      </c>
    </row>
    <row r="100">
      <c r="B100" t="str">
        <v>3 L</v>
      </c>
      <c r="C100">
        <v>32</v>
      </c>
      <c r="R100">
        <v>10</v>
      </c>
      <c r="AB100">
        <f>SUM(D100:Y100)</f>
        <v>10</v>
      </c>
      <c r="AC100">
        <f>AB100*C100</f>
        <v>320</v>
      </c>
      <c r="AD100">
        <f>AB100*B1</f>
        <v>244.3</v>
      </c>
      <c r="AL100">
        <f>C100-25.43</f>
        <v>6.57</v>
      </c>
      <c r="AM100">
        <f>AL100*AB100</f>
        <v>65.7</v>
      </c>
    </row>
    <row r="101">
      <c r="A101" t="str">
        <v>Lagoria Belanger inc</v>
      </c>
      <c r="B101" t="str">
        <v>1 L</v>
      </c>
      <c r="C101">
        <v>10.66</v>
      </c>
      <c r="Y101">
        <v>600</v>
      </c>
      <c r="AB101">
        <f>SUM(D101:Y101)</f>
        <v>600</v>
      </c>
      <c r="AC101">
        <f>AB101*C101</f>
        <v>6396</v>
      </c>
      <c r="AD101">
        <f>AB101*A1</f>
        <v>5562</v>
      </c>
      <c r="AE101">
        <f>SUM(AC101:AC102)</f>
        <v>6513</v>
      </c>
      <c r="AF101">
        <f>AE101</f>
        <v>6513</v>
      </c>
      <c r="AG101">
        <f>AE101-AF101</f>
        <v>0</v>
      </c>
      <c r="AL101">
        <f>C101-9.27</f>
        <v>1.3900000000000006</v>
      </c>
      <c r="AM101">
        <f>AL101*AB101</f>
        <v>834.0000000000003</v>
      </c>
    </row>
    <row r="102">
      <c r="B102" t="str">
        <v>3 L</v>
      </c>
      <c r="C102">
        <v>29.25</v>
      </c>
      <c r="Y102">
        <v>4</v>
      </c>
      <c r="AB102">
        <f>SUM(D102:Y102)</f>
        <v>4</v>
      </c>
      <c r="AC102">
        <f>AB102*C102</f>
        <v>117</v>
      </c>
      <c r="AD102">
        <f>AB102*B1</f>
        <v>97.72</v>
      </c>
      <c r="AL102">
        <f>C102-25.43</f>
        <v>3.8200000000000003</v>
      </c>
      <c r="AM102">
        <f>AL102*AB102</f>
        <v>15.280000000000001</v>
      </c>
    </row>
    <row r="103">
      <c r="A103" t="str">
        <v>branche d'olive verdun</v>
      </c>
      <c r="B103" t="str">
        <v>1 L</v>
      </c>
      <c r="C103">
        <v>11</v>
      </c>
      <c r="Y103">
        <v>60</v>
      </c>
      <c r="AB103">
        <f>SUM(D103:Y103)</f>
        <v>60</v>
      </c>
      <c r="AC103">
        <f>AB103*C103</f>
        <v>660</v>
      </c>
      <c r="AD103">
        <f>AB103*A1</f>
        <v>556.1999999999999</v>
      </c>
      <c r="AE103">
        <f>SUM(AC103:AC104)</f>
        <v>1260</v>
      </c>
      <c r="AF103">
        <f>AE103-AE103:AE104</f>
        <v>0</v>
      </c>
      <c r="AG103">
        <f>AE103-AF103</f>
        <v>1260</v>
      </c>
      <c r="AH103">
        <f>AG103:AG104</f>
        <v>1260</v>
      </c>
      <c r="AL103">
        <f>C103-9.27</f>
        <v>1.7300000000000004</v>
      </c>
      <c r="AM103">
        <f>AL103*AB103</f>
        <v>103.80000000000003</v>
      </c>
    </row>
    <row r="104">
      <c r="B104" t="str">
        <v>3 L</v>
      </c>
      <c r="C104">
        <v>30</v>
      </c>
      <c r="Y104">
        <v>20</v>
      </c>
      <c r="AB104">
        <f>SUM(D104:Y104)</f>
        <v>20</v>
      </c>
      <c r="AC104">
        <f>AB104*C104</f>
        <v>600</v>
      </c>
      <c r="AD104">
        <f>AB104*B1</f>
        <v>488.6</v>
      </c>
      <c r="AL104">
        <f>C104-25.43</f>
        <v>4.57</v>
      </c>
      <c r="AM104">
        <f>AL104*AB104</f>
        <v>91.4</v>
      </c>
    </row>
    <row r="105">
      <c r="A105" t="str">
        <v>marche vie en vert</v>
      </c>
      <c r="B105" t="str">
        <v>1 L</v>
      </c>
      <c r="C105">
        <v>10.66</v>
      </c>
      <c r="X105">
        <v>840</v>
      </c>
      <c r="AB105">
        <f>SUM(D105:Y105)</f>
        <v>840</v>
      </c>
      <c r="AC105">
        <f>AB105*C105</f>
        <v>8954.4</v>
      </c>
      <c r="AD105">
        <f>AB105*A1</f>
        <v>7786.799999999999</v>
      </c>
      <c r="AE105">
        <f>SUM(AC105:AC106)</f>
        <v>8954.4</v>
      </c>
      <c r="AF105">
        <f>AE105</f>
        <v>8954.4</v>
      </c>
      <c r="AG105">
        <f>AE105-AF105</f>
        <v>0</v>
      </c>
      <c r="AL105">
        <f>C105-9.27</f>
        <v>1.3900000000000006</v>
      </c>
      <c r="AM105">
        <f>AL105*AB105</f>
        <v>1167.6000000000004</v>
      </c>
    </row>
    <row r="106">
      <c r="B106" t="str">
        <v>3 L</v>
      </c>
      <c r="AB106">
        <f>SUM(D106:Y106)</f>
        <v>0</v>
      </c>
      <c r="AC106">
        <f>AB106*C106</f>
        <v>0</v>
      </c>
      <c r="AD106">
        <f>AB106*B1</f>
        <v>0</v>
      </c>
    </row>
    <row r="107">
      <c r="A107" t="str">
        <v>Kim phat Brossard</v>
      </c>
      <c r="B107" t="str">
        <v>1 L</v>
      </c>
      <c r="C107">
        <v>10.66</v>
      </c>
      <c r="S107">
        <v>240</v>
      </c>
      <c r="AB107">
        <f>SUM(D107:Y107)</f>
        <v>240</v>
      </c>
      <c r="AC107">
        <f>AB107*C107</f>
        <v>2558.4</v>
      </c>
      <c r="AD107">
        <f>AB107*A1</f>
        <v>2224.7999999999997</v>
      </c>
      <c r="AE107">
        <f>SUM(AC107:AC108)</f>
        <v>2558.4</v>
      </c>
      <c r="AF107">
        <f>AE107-AE107:AE108</f>
        <v>0</v>
      </c>
      <c r="AG107">
        <f>AE107-AF107</f>
        <v>2558.4</v>
      </c>
      <c r="AL107">
        <f>C107-9.27</f>
        <v>1.3900000000000006</v>
      </c>
      <c r="AM107">
        <f>AL107*AB107</f>
        <v>333.60000000000014</v>
      </c>
    </row>
    <row r="108">
      <c r="B108" t="str">
        <v>3 L</v>
      </c>
      <c r="AB108">
        <f>SUM(D108:Y108)</f>
        <v>0</v>
      </c>
      <c r="AC108">
        <f>AB108*C108</f>
        <v>0</v>
      </c>
      <c r="AD108">
        <f>AB108*B1</f>
        <v>0</v>
      </c>
    </row>
    <row r="109">
      <c r="A109" t="str">
        <v xml:space="preserve">Kim phat jarry </v>
      </c>
      <c r="B109" t="str">
        <v>1 L</v>
      </c>
      <c r="C109">
        <v>10.66</v>
      </c>
      <c r="S109">
        <v>408</v>
      </c>
      <c r="AB109">
        <f>SUM(D109:Y109)</f>
        <v>408</v>
      </c>
      <c r="AC109">
        <f>AB109*C109</f>
        <v>4349.28</v>
      </c>
      <c r="AD109">
        <f>AB109*A1</f>
        <v>3782.16</v>
      </c>
      <c r="AE109">
        <f>SUM(AC109:AC110)</f>
        <v>4349.28</v>
      </c>
      <c r="AF109">
        <f>AE109-AE109:AE110</f>
        <v>0</v>
      </c>
      <c r="AG109">
        <f>AE109-AF109</f>
        <v>4349.28</v>
      </c>
      <c r="AH109">
        <f>AG109:AG110</f>
        <v>4349.28</v>
      </c>
      <c r="AL109">
        <f>C109-9.27</f>
        <v>1.3900000000000006</v>
      </c>
      <c r="AM109">
        <f>AL109*AB109</f>
        <v>567.1200000000002</v>
      </c>
    </row>
    <row r="110">
      <c r="B110" t="str">
        <v>3 L</v>
      </c>
      <c r="AB110">
        <f>SUM(D110:Y110)</f>
        <v>0</v>
      </c>
      <c r="AC110">
        <f>AB110*C110</f>
        <v>0</v>
      </c>
      <c r="AD110">
        <f>AB110*B1</f>
        <v>0</v>
      </c>
    </row>
    <row r="111">
      <c r="A111" t="str">
        <v>Kim phat goyer</v>
      </c>
      <c r="B111" t="str">
        <v>1 L</v>
      </c>
      <c r="C111">
        <v>10.66</v>
      </c>
      <c r="S111">
        <v>120</v>
      </c>
      <c r="AB111">
        <f>SUM(D111:Y111)</f>
        <v>120</v>
      </c>
      <c r="AC111">
        <f>AB111*C111</f>
        <v>1279.2</v>
      </c>
      <c r="AD111">
        <f>AB111*A1</f>
        <v>1112.3999999999999</v>
      </c>
      <c r="AE111">
        <f>SUM(AC111:AC112)</f>
        <v>1279.2</v>
      </c>
      <c r="AF111">
        <f>AE111-AE111:AE112</f>
        <v>0</v>
      </c>
      <c r="AG111">
        <f>AE111-AF111</f>
        <v>1279.2</v>
      </c>
      <c r="AH111">
        <f>AG111:AG112</f>
        <v>1279.2</v>
      </c>
      <c r="AL111">
        <f>C111-9.27</f>
        <v>1.3900000000000006</v>
      </c>
      <c r="AM111">
        <f>AL111*AB111</f>
        <v>166.80000000000007</v>
      </c>
    </row>
    <row r="112">
      <c r="B112" t="str">
        <v>3 L</v>
      </c>
      <c r="AB112">
        <f>SUM(D112:Y112)</f>
        <v>0</v>
      </c>
      <c r="AC112">
        <f>AB112*C112</f>
        <v>0</v>
      </c>
      <c r="AD112">
        <f>AB112*B1</f>
        <v>0</v>
      </c>
    </row>
    <row r="113">
      <c r="A113" t="str">
        <v>Kim phat st-Laurent</v>
      </c>
      <c r="B113" t="str">
        <v>1 L</v>
      </c>
      <c r="C113">
        <v>10.66</v>
      </c>
      <c r="S113">
        <v>240</v>
      </c>
      <c r="AB113">
        <f>SUM(D113:Y113)</f>
        <v>240</v>
      </c>
      <c r="AC113">
        <f>AB113*C113</f>
        <v>2558.4</v>
      </c>
      <c r="AD113">
        <f>AB113*A1</f>
        <v>2224.7999999999997</v>
      </c>
      <c r="AE113">
        <f>SUM(AC113:AC114)</f>
        <v>2558.4</v>
      </c>
      <c r="AF113">
        <f>AE113-AE113:AE114</f>
        <v>0</v>
      </c>
      <c r="AG113">
        <f>AE113-AF113</f>
        <v>2558.4</v>
      </c>
      <c r="AH113">
        <f>AG113:AG114</f>
        <v>2558.4</v>
      </c>
      <c r="AL113">
        <f>C113-9.27</f>
        <v>1.3900000000000006</v>
      </c>
      <c r="AM113">
        <f>AL113*AB113</f>
        <v>333.60000000000014</v>
      </c>
    </row>
    <row r="114">
      <c r="B114" t="str">
        <v>3 L</v>
      </c>
      <c r="AB114">
        <f>SUM(D114:Y114)</f>
        <v>0</v>
      </c>
      <c r="AC114">
        <f>AB114*C114</f>
        <v>0</v>
      </c>
      <c r="AD114">
        <f>AB114*B1</f>
        <v>0</v>
      </c>
    </row>
    <row r="115">
      <c r="A115" t="str">
        <v>branche d'olive notre dame</v>
      </c>
      <c r="B115" t="str">
        <v>1 L</v>
      </c>
      <c r="C115">
        <v>12.5</v>
      </c>
      <c r="V115">
        <v>24</v>
      </c>
      <c r="AB115">
        <f>SUM(D115:Y115)</f>
        <v>24</v>
      </c>
      <c r="AC115">
        <f>AB115*C115</f>
        <v>300</v>
      </c>
      <c r="AD115">
        <f>AB115*A1</f>
        <v>222.48</v>
      </c>
      <c r="AE115">
        <f>SUM(AC115:AC116)</f>
        <v>436</v>
      </c>
      <c r="AF115">
        <f>AE115</f>
        <v>436</v>
      </c>
      <c r="AG115">
        <f>AE115-AF115</f>
        <v>0</v>
      </c>
      <c r="AL115">
        <f>C115-9.27</f>
        <v>3.2300000000000004</v>
      </c>
      <c r="AM115">
        <f>AL115*AB115</f>
        <v>77.52000000000001</v>
      </c>
    </row>
    <row r="116">
      <c r="B116" t="str">
        <v>3 L</v>
      </c>
      <c r="C116">
        <v>34</v>
      </c>
      <c r="V116">
        <v>4</v>
      </c>
      <c r="AB116">
        <f>SUM(D116:Y116)</f>
        <v>4</v>
      </c>
      <c r="AC116">
        <f>AB116*C116</f>
        <v>136</v>
      </c>
      <c r="AD116">
        <f>AB116*B1</f>
        <v>97.72</v>
      </c>
      <c r="AL116">
        <f>C116-25.43</f>
        <v>8.57</v>
      </c>
      <c r="AM116">
        <f>AL116*AB116</f>
        <v>34.28</v>
      </c>
    </row>
    <row r="117">
      <c r="A117" t="str">
        <v>branche olive O nature</v>
      </c>
      <c r="B117" t="str">
        <v>1 L</v>
      </c>
      <c r="C117">
        <v>11</v>
      </c>
      <c r="Y117">
        <v>24</v>
      </c>
      <c r="AB117">
        <f>SUM(D117:Y117)</f>
        <v>24</v>
      </c>
      <c r="AC117">
        <f>AB117*C117</f>
        <v>264</v>
      </c>
      <c r="AD117">
        <f>AB117*A1</f>
        <v>222.48</v>
      </c>
      <c r="AE117">
        <f>SUM(AC117:AC118)</f>
        <v>504</v>
      </c>
      <c r="AF117">
        <f>AE117-AE117:AE118</f>
        <v>0</v>
      </c>
      <c r="AG117">
        <f>AE117-AF117</f>
        <v>504</v>
      </c>
      <c r="AL117">
        <f>C117-9.27</f>
        <v>1.7300000000000004</v>
      </c>
      <c r="AM117">
        <f>AL117*AB117</f>
        <v>41.52000000000001</v>
      </c>
    </row>
    <row r="118">
      <c r="B118" t="str">
        <v>3 L</v>
      </c>
      <c r="C118">
        <v>30</v>
      </c>
      <c r="Y118">
        <v>8</v>
      </c>
      <c r="AB118">
        <f>SUM(D118:Y118)</f>
        <v>8</v>
      </c>
      <c r="AC118">
        <f>AB118*C118</f>
        <v>240</v>
      </c>
      <c r="AD118">
        <f>AB118*B1</f>
        <v>195.44</v>
      </c>
      <c r="AL118">
        <f>C118-25.43</f>
        <v>4.57</v>
      </c>
      <c r="AM118">
        <f>AL118*AB118</f>
        <v>36.56</v>
      </c>
    </row>
    <row r="119">
      <c r="A119" t="str">
        <v>marche cavaillaro</v>
      </c>
      <c r="B119" t="str">
        <v>1 L</v>
      </c>
      <c r="C119">
        <v>12.25</v>
      </c>
      <c r="Q119">
        <v>12</v>
      </c>
      <c r="AB119">
        <f>SUM(D119:Y119)</f>
        <v>12</v>
      </c>
      <c r="AC119">
        <f>AB119*C119</f>
        <v>147</v>
      </c>
      <c r="AD119">
        <f>AB119*A1</f>
        <v>111.24</v>
      </c>
      <c r="AE119">
        <f>SUM(AC119:AC120)</f>
        <v>147</v>
      </c>
      <c r="AF119">
        <f>AE119-AE119:AE120</f>
        <v>0</v>
      </c>
      <c r="AG119">
        <f>AE119-AF119</f>
        <v>147</v>
      </c>
      <c r="AI119">
        <f>AG119:AG120</f>
        <v>147</v>
      </c>
      <c r="AL119">
        <f>C119-9.27</f>
        <v>2.9800000000000004</v>
      </c>
      <c r="AM119">
        <f>AL119*AB119</f>
        <v>35.760000000000005</v>
      </c>
    </row>
    <row r="120">
      <c r="B120" t="str">
        <v>3 L</v>
      </c>
      <c r="AB120">
        <f>SUM(D120:Y120)</f>
        <v>0</v>
      </c>
      <c r="AC120">
        <f>AB120*C120</f>
        <v>0</v>
      </c>
      <c r="AD120">
        <f>AB120*B1</f>
        <v>0</v>
      </c>
    </row>
    <row r="121">
      <c r="A121" t="str">
        <v>Sheng tai</v>
      </c>
      <c r="B121" t="str">
        <v>1 L</v>
      </c>
      <c r="C121">
        <v>12</v>
      </c>
      <c r="Q121">
        <v>12</v>
      </c>
      <c r="AB121">
        <f>SUM(D121:Y121)</f>
        <v>12</v>
      </c>
      <c r="AC121">
        <f>AB121*C121</f>
        <v>144</v>
      </c>
      <c r="AD121">
        <f>AB121*A1</f>
        <v>111.24</v>
      </c>
      <c r="AE121">
        <f>SUM(AC121:AC122)</f>
        <v>144</v>
      </c>
      <c r="AF121">
        <f>AE121</f>
        <v>144</v>
      </c>
      <c r="AG121">
        <f>AE121-AF121</f>
        <v>0</v>
      </c>
      <c r="AL121">
        <f>C121-9.27</f>
        <v>2.7300000000000004</v>
      </c>
      <c r="AM121">
        <f>AL121*AB121</f>
        <v>32.760000000000005</v>
      </c>
    </row>
    <row r="122">
      <c r="B122" t="str">
        <v>3 L</v>
      </c>
      <c r="AB122">
        <f>SUM(D122:Y122)</f>
        <v>0</v>
      </c>
      <c r="AC122">
        <f>AB122*C122</f>
        <v>0</v>
      </c>
      <c r="AD122">
        <f>AB122*B1</f>
        <v>0</v>
      </c>
    </row>
    <row r="123">
      <c r="A123" t="str">
        <v>Habibi fruits</v>
      </c>
      <c r="B123" t="str">
        <v>1 L</v>
      </c>
      <c r="C123">
        <v>11</v>
      </c>
      <c r="R123">
        <v>24</v>
      </c>
      <c r="AB123">
        <f>SUM(D123:Y123)</f>
        <v>24</v>
      </c>
      <c r="AC123">
        <f>AB123*C123</f>
        <v>264</v>
      </c>
      <c r="AD123">
        <f>AB123*A1</f>
        <v>222.48</v>
      </c>
      <c r="AE123">
        <f>SUM(AC123:AC124)</f>
        <v>264</v>
      </c>
      <c r="AF123">
        <f>AE123</f>
        <v>264</v>
      </c>
      <c r="AG123">
        <f>AE123-AF123</f>
        <v>0</v>
      </c>
      <c r="AL123">
        <f>C123-9.27</f>
        <v>1.7300000000000004</v>
      </c>
      <c r="AM123">
        <f>AL123*AB123</f>
        <v>41.52000000000001</v>
      </c>
    </row>
    <row r="124">
      <c r="B124" t="str">
        <v>3 L</v>
      </c>
      <c r="AB124">
        <f>SUM(D124:Y124)</f>
        <v>0</v>
      </c>
      <c r="AC124">
        <f>AB124*C124</f>
        <v>0</v>
      </c>
      <c r="AD124">
        <f>AB124*B1</f>
        <v>0</v>
      </c>
    </row>
    <row r="125">
      <c r="A125" t="str">
        <v>fruiterie au petits ognons</v>
      </c>
      <c r="B125" t="str">
        <v>1 L</v>
      </c>
      <c r="C125">
        <v>12.5</v>
      </c>
      <c r="R125">
        <v>12</v>
      </c>
      <c r="AB125">
        <f>SUM(D125:Y125)</f>
        <v>12</v>
      </c>
      <c r="AC125">
        <f>AB125*C125</f>
        <v>150</v>
      </c>
      <c r="AD125">
        <f>AB125*A1</f>
        <v>111.24</v>
      </c>
      <c r="AE125">
        <f>SUM(AC125:AC126)</f>
        <v>150</v>
      </c>
      <c r="AF125">
        <f>AE125</f>
        <v>150</v>
      </c>
      <c r="AG125">
        <f>AE125-AF125</f>
        <v>0</v>
      </c>
      <c r="AL125">
        <f>C125-9.27</f>
        <v>3.2300000000000004</v>
      </c>
      <c r="AM125">
        <f>AL125*AB125</f>
        <v>38.760000000000005</v>
      </c>
    </row>
    <row r="126">
      <c r="B126" t="str">
        <v>3 L</v>
      </c>
      <c r="AB126">
        <f>SUM(D126:Y126)</f>
        <v>0</v>
      </c>
      <c r="AC126">
        <f>AB126*C126</f>
        <v>0</v>
      </c>
      <c r="AD126">
        <f>AB126*B1</f>
        <v>0</v>
      </c>
    </row>
    <row r="127">
      <c r="A127" t="str">
        <v>marche Ile des saveur</v>
      </c>
      <c r="B127" t="str">
        <v>1 L</v>
      </c>
      <c r="C127">
        <v>12</v>
      </c>
      <c r="R127">
        <v>3</v>
      </c>
      <c r="AB127">
        <f>SUM(D127:Y127)</f>
        <v>3</v>
      </c>
      <c r="AC127">
        <f>AB127*C127</f>
        <v>36</v>
      </c>
      <c r="AD127">
        <f>AB127*A1</f>
        <v>27.81</v>
      </c>
      <c r="AE127">
        <f>SUM(AC127:AC128)</f>
        <v>36</v>
      </c>
      <c r="AF127">
        <f>AE127-AE127:AE128</f>
        <v>0</v>
      </c>
      <c r="AG127">
        <f>AE127-AF127</f>
        <v>36</v>
      </c>
      <c r="AI127">
        <f>AG127:AG128</f>
        <v>36</v>
      </c>
      <c r="AL127">
        <f>C127-9.27</f>
        <v>2.7300000000000004</v>
      </c>
      <c r="AM127">
        <f>AL127*AB127</f>
        <v>8.190000000000001</v>
      </c>
    </row>
    <row r="128">
      <c r="B128" t="str">
        <v>3 L</v>
      </c>
      <c r="AB128">
        <f>SUM(D128:Y128)</f>
        <v>0</v>
      </c>
      <c r="AC128">
        <f>AB128*C128</f>
        <v>0</v>
      </c>
      <c r="AD128">
        <f>AB128*B1</f>
        <v>0</v>
      </c>
    </row>
    <row r="129">
      <c r="A129" t="str">
        <v>Amira st-laurent</v>
      </c>
      <c r="B129" t="str">
        <v>1 L</v>
      </c>
      <c r="C129">
        <v>11</v>
      </c>
      <c r="Y129">
        <v>21</v>
      </c>
      <c r="AB129">
        <f>SUM(D129:Y129)</f>
        <v>21</v>
      </c>
      <c r="AC129">
        <f>AB129*C129</f>
        <v>231</v>
      </c>
      <c r="AD129">
        <f>AB129*A1</f>
        <v>194.67</v>
      </c>
      <c r="AE129">
        <f>SUM(AC129:AC130)</f>
        <v>231</v>
      </c>
      <c r="AF129">
        <f>AE129-AE129:AE130</f>
        <v>0</v>
      </c>
      <c r="AG129">
        <f>AE129-AF129</f>
        <v>231</v>
      </c>
      <c r="AH129">
        <f>AG129:AG130</f>
        <v>231</v>
      </c>
      <c r="AL129">
        <f>C129-9.27</f>
        <v>1.7300000000000004</v>
      </c>
      <c r="AM129">
        <f>AL129*AB129</f>
        <v>36.33000000000001</v>
      </c>
    </row>
    <row r="130">
      <c r="B130" t="str">
        <v>3 L</v>
      </c>
      <c r="AB130">
        <f>SUM(D130:Y130)</f>
        <v>0</v>
      </c>
      <c r="AC130">
        <f>AB130*C130</f>
        <v>0</v>
      </c>
      <c r="AD130">
        <f>AB130*B1</f>
        <v>0</v>
      </c>
    </row>
    <row r="131">
      <c r="A131" t="str">
        <v>boulangerie mira</v>
      </c>
      <c r="B131" t="str">
        <v>1 L</v>
      </c>
      <c r="C131">
        <v>12</v>
      </c>
      <c r="S131">
        <v>12</v>
      </c>
      <c r="Z131">
        <v>12</v>
      </c>
      <c r="AB131">
        <f>SUM(D131:Z131)</f>
        <v>24</v>
      </c>
      <c r="AC131">
        <f>AB131*C131</f>
        <v>288</v>
      </c>
      <c r="AD131">
        <f>AB131*A1</f>
        <v>222.48</v>
      </c>
      <c r="AE131">
        <f>SUM(AC131:AC132)</f>
        <v>288</v>
      </c>
      <c r="AF131">
        <f>AE131-144</f>
        <v>144</v>
      </c>
      <c r="AG131">
        <f>AE131-144</f>
        <v>144</v>
      </c>
      <c r="AI131">
        <f>AG131</f>
        <v>144</v>
      </c>
    </row>
    <row r="132">
      <c r="B132" t="str">
        <v>3 L</v>
      </c>
      <c r="AB132">
        <f>SUM(D132:Y132)</f>
        <v>0</v>
      </c>
      <c r="AC132">
        <f>AB132*C132</f>
        <v>0</v>
      </c>
      <c r="AD132">
        <f>AB132*B1</f>
        <v>0</v>
      </c>
    </row>
    <row r="133">
      <c r="B133" t="str">
        <v>1 L</v>
      </c>
      <c r="AB133">
        <f>SUM(D133:Y133)</f>
        <v>0</v>
      </c>
      <c r="AC133">
        <f>AB133*C133</f>
        <v>0</v>
      </c>
      <c r="AD133">
        <f>AB133*A1</f>
        <v>0</v>
      </c>
      <c r="AE133">
        <f>SUM(AC133:AC134)</f>
        <v>0</v>
      </c>
      <c r="AF133">
        <f>AE133</f>
        <v>0</v>
      </c>
      <c r="AG133">
        <f>AE133-AF133</f>
        <v>0</v>
      </c>
    </row>
    <row r="134">
      <c r="B134" t="str">
        <v>3 L</v>
      </c>
      <c r="AB134">
        <f>SUM(D134:Y134)</f>
        <v>0</v>
      </c>
      <c r="AC134">
        <f>AB134*C134</f>
        <v>0</v>
      </c>
      <c r="AD134">
        <f>AB134*B1</f>
        <v>0</v>
      </c>
    </row>
    <row r="135">
      <c r="B135" t="str">
        <v>1 L</v>
      </c>
      <c r="AB135">
        <f>SUM(D135:Y135)</f>
        <v>0</v>
      </c>
      <c r="AC135">
        <f>AB135*C135</f>
        <v>0</v>
      </c>
      <c r="AD135">
        <f>AB135*A1</f>
        <v>0</v>
      </c>
      <c r="AE135">
        <f>SUM(AC135:AC136)</f>
        <v>0</v>
      </c>
      <c r="AF135">
        <f>AE135</f>
        <v>0</v>
      </c>
      <c r="AG135">
        <f>AE135-AF135</f>
        <v>0</v>
      </c>
    </row>
    <row r="136">
      <c r="B136" t="str">
        <v>3 L</v>
      </c>
      <c r="AB136">
        <f>SUM(D136:Y136)</f>
        <v>0</v>
      </c>
      <c r="AC136">
        <f>AB136*C136</f>
        <v>0</v>
      </c>
      <c r="AD136">
        <f>AB136*B1</f>
        <v>0</v>
      </c>
    </row>
    <row r="137">
      <c r="B137" t="str">
        <v>1 L</v>
      </c>
      <c r="AB137">
        <f>SUM(D137:Y137)</f>
        <v>0</v>
      </c>
      <c r="AC137">
        <f>AB137*C137</f>
        <v>0</v>
      </c>
      <c r="AD137">
        <f>AB137*A1</f>
        <v>0</v>
      </c>
      <c r="AE137">
        <f>SUM(AC137:AC138)</f>
        <v>0</v>
      </c>
      <c r="AF137">
        <f>AE137</f>
        <v>0</v>
      </c>
      <c r="AG137">
        <f>AE137-AF137</f>
        <v>0</v>
      </c>
    </row>
    <row r="138">
      <c r="B138" t="str">
        <v>3 L</v>
      </c>
      <c r="AB138">
        <f>SUM(D138:Y138)</f>
        <v>0</v>
      </c>
      <c r="AC138">
        <f>AB138*C138</f>
        <v>0</v>
      </c>
      <c r="AD138">
        <f>AB138*B1</f>
        <v>0</v>
      </c>
    </row>
    <row r="139">
      <c r="B139" t="str">
        <v>1 L</v>
      </c>
      <c r="AE139">
        <f>SUM(AC139:AC140)</f>
        <v>0</v>
      </c>
      <c r="AF139">
        <f>AE139</f>
        <v>0</v>
      </c>
      <c r="AG139">
        <f>AE139-AF139</f>
        <v>0</v>
      </c>
    </row>
    <row r="140">
      <c r="B140" t="str">
        <v>3 L</v>
      </c>
    </row>
  </sheetData>
  <mergeCells count="463">
    <mergeCell ref="A101:A102"/>
    <mergeCell ref="AH131:AH132"/>
    <mergeCell ref="AI131:AI132"/>
    <mergeCell ref="AH133:AH134"/>
    <mergeCell ref="AI133:AI134"/>
    <mergeCell ref="AH135:AH136"/>
    <mergeCell ref="AI135:AI136"/>
    <mergeCell ref="AF131:AF132"/>
    <mergeCell ref="AG131:AG132"/>
    <mergeCell ref="AE133:AE134"/>
    <mergeCell ref="AF133:AF134"/>
    <mergeCell ref="AG133:AG134"/>
    <mergeCell ref="AF135:AF136"/>
    <mergeCell ref="AG135:AG136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135:A136"/>
    <mergeCell ref="A137:A138"/>
    <mergeCell ref="A139:A140"/>
    <mergeCell ref="A117:A118"/>
    <mergeCell ref="A119:A120"/>
    <mergeCell ref="A121:A122"/>
    <mergeCell ref="A123:A124"/>
    <mergeCell ref="A125:A126"/>
    <mergeCell ref="A127:A128"/>
    <mergeCell ref="A129:A130"/>
    <mergeCell ref="A103:A104"/>
    <mergeCell ref="A105:A106"/>
    <mergeCell ref="A107:A108"/>
    <mergeCell ref="A109:A110"/>
    <mergeCell ref="A111:A112"/>
    <mergeCell ref="A113:A114"/>
    <mergeCell ref="A115:A116"/>
    <mergeCell ref="A131:A132"/>
    <mergeCell ref="A133:A134"/>
    <mergeCell ref="AF35:AF36"/>
    <mergeCell ref="AG35:AG36"/>
    <mergeCell ref="AH35:AH36"/>
    <mergeCell ref="AI35:AI36"/>
    <mergeCell ref="AK35:AK36"/>
    <mergeCell ref="AE35:AE36"/>
    <mergeCell ref="AE37:AE38"/>
    <mergeCell ref="AF37:AF38"/>
    <mergeCell ref="AG37:AG38"/>
    <mergeCell ref="AH37:AH38"/>
    <mergeCell ref="AI37:AI38"/>
    <mergeCell ref="AK37:AK38"/>
    <mergeCell ref="AE31:AE32"/>
    <mergeCell ref="AF31:AF32"/>
    <mergeCell ref="AG31:AG32"/>
    <mergeCell ref="AH31:AH32"/>
    <mergeCell ref="AI31:AI32"/>
    <mergeCell ref="AK31:AK32"/>
    <mergeCell ref="AE33:AE34"/>
    <mergeCell ref="AK33:AK34"/>
    <mergeCell ref="AF33:AF34"/>
    <mergeCell ref="AG33:AG34"/>
    <mergeCell ref="AF15:AF16"/>
    <mergeCell ref="AG15:AG16"/>
    <mergeCell ref="AH15:AH16"/>
    <mergeCell ref="AI15:AI16"/>
    <mergeCell ref="AF17:AF18"/>
    <mergeCell ref="AG17:AG18"/>
    <mergeCell ref="AH17:AH18"/>
    <mergeCell ref="AH33:AH34"/>
    <mergeCell ref="AI33:AI34"/>
    <mergeCell ref="AG13:AG14"/>
    <mergeCell ref="AH13:AH14"/>
    <mergeCell ref="AK11:AK12"/>
    <mergeCell ref="AK13:AK14"/>
    <mergeCell ref="AK15:AK16"/>
    <mergeCell ref="AK17:AK18"/>
    <mergeCell ref="AK19:AK20"/>
    <mergeCell ref="AI17:AI18"/>
    <mergeCell ref="AM17:AM18"/>
    <mergeCell ref="AG19:AG20"/>
    <mergeCell ref="AH19:AH20"/>
    <mergeCell ref="AI19:AI20"/>
    <mergeCell ref="AH7:AH8"/>
    <mergeCell ref="AI7:AI8"/>
    <mergeCell ref="AK7:AK8"/>
    <mergeCell ref="AK9:AK10"/>
    <mergeCell ref="A3:A4"/>
    <mergeCell ref="AF3:AF4"/>
    <mergeCell ref="AG3:AG4"/>
    <mergeCell ref="AH3:AH4"/>
    <mergeCell ref="AI3:AI4"/>
    <mergeCell ref="AK3:AK4"/>
    <mergeCell ref="AK5:AK6"/>
    <mergeCell ref="A5:A6"/>
    <mergeCell ref="A7:A8"/>
    <mergeCell ref="A9:A10"/>
    <mergeCell ref="AE129:AE130"/>
    <mergeCell ref="AF129:AF130"/>
    <mergeCell ref="AG129:AG130"/>
    <mergeCell ref="AH129:AH130"/>
    <mergeCell ref="AI129:AI130"/>
    <mergeCell ref="AE131:AE132"/>
    <mergeCell ref="AF139:AF140"/>
    <mergeCell ref="AG139:AG140"/>
    <mergeCell ref="AF5:AF6"/>
    <mergeCell ref="AG5:AG6"/>
    <mergeCell ref="AF7:AF8"/>
    <mergeCell ref="AG7:AG8"/>
    <mergeCell ref="AG9:AG10"/>
    <mergeCell ref="AH9:AH10"/>
    <mergeCell ref="AI9:AI10"/>
    <mergeCell ref="AF9:AF10"/>
    <mergeCell ref="AF11:AF12"/>
    <mergeCell ref="AG11:AG12"/>
    <mergeCell ref="AH11:AH12"/>
    <mergeCell ref="AI11:AI12"/>
    <mergeCell ref="AF13:AF14"/>
    <mergeCell ref="AI13:AI14"/>
    <mergeCell ref="AH5:AH6"/>
    <mergeCell ref="AI5:AI6"/>
    <mergeCell ref="AH123:AH124"/>
    <mergeCell ref="AI123:AI124"/>
    <mergeCell ref="AH125:AH126"/>
    <mergeCell ref="AI125:AI126"/>
    <mergeCell ref="AH127:AH128"/>
    <mergeCell ref="AI127:AI128"/>
    <mergeCell ref="AE119:AE120"/>
    <mergeCell ref="AE121:AE122"/>
    <mergeCell ref="AF121:AF122"/>
    <mergeCell ref="AG121:AG122"/>
    <mergeCell ref="AH121:AH122"/>
    <mergeCell ref="AI121:AI122"/>
    <mergeCell ref="AE123:AE124"/>
    <mergeCell ref="AF123:AF124"/>
    <mergeCell ref="AG123:AG124"/>
    <mergeCell ref="AE125:AE126"/>
    <mergeCell ref="AF125:AF126"/>
    <mergeCell ref="AG125:AG126"/>
    <mergeCell ref="AF127:AF128"/>
    <mergeCell ref="AG127:AG128"/>
    <mergeCell ref="AE127:AE128"/>
    <mergeCell ref="AG119:AG120"/>
    <mergeCell ref="AH119:AH120"/>
    <mergeCell ref="AE117:AE118"/>
    <mergeCell ref="AF117:AF118"/>
    <mergeCell ref="AG117:AG118"/>
    <mergeCell ref="AH117:AH118"/>
    <mergeCell ref="AI117:AI118"/>
    <mergeCell ref="AF119:AF120"/>
    <mergeCell ref="AI119:AI120"/>
    <mergeCell ref="AH139:AH140"/>
    <mergeCell ref="AI139:AI140"/>
    <mergeCell ref="AE135:AE136"/>
    <mergeCell ref="AE137:AE138"/>
    <mergeCell ref="AF137:AF138"/>
    <mergeCell ref="AG137:AG138"/>
    <mergeCell ref="AH137:AH138"/>
    <mergeCell ref="AI137:AI138"/>
    <mergeCell ref="AE139:AE140"/>
    <mergeCell ref="AE59:AE60"/>
    <mergeCell ref="AF59:AF60"/>
    <mergeCell ref="AG59:AG60"/>
    <mergeCell ref="AH59:AH60"/>
    <mergeCell ref="AI59:AI60"/>
    <mergeCell ref="AK59:AK60"/>
    <mergeCell ref="AF53:AF54"/>
    <mergeCell ref="AG53:AG54"/>
    <mergeCell ref="AE55:AE56"/>
    <mergeCell ref="AF55:AF56"/>
    <mergeCell ref="AG55:AG56"/>
    <mergeCell ref="AE57:AE58"/>
    <mergeCell ref="AF57:AF58"/>
    <mergeCell ref="AH51:AH52"/>
    <mergeCell ref="AI51:AI52"/>
    <mergeCell ref="AK51:AK52"/>
    <mergeCell ref="AE53:AE54"/>
    <mergeCell ref="AK53:AK54"/>
    <mergeCell ref="AG57:AG58"/>
    <mergeCell ref="AH57:AH58"/>
    <mergeCell ref="AI57:AI58"/>
    <mergeCell ref="AK57:AK58"/>
    <mergeCell ref="AF115:AF116"/>
    <mergeCell ref="AG115:AG116"/>
    <mergeCell ref="AH41:AH42"/>
    <mergeCell ref="AI41:AI42"/>
    <mergeCell ref="AE39:AE40"/>
    <mergeCell ref="AF39:AF40"/>
    <mergeCell ref="AG39:AG40"/>
    <mergeCell ref="AH39:AH40"/>
    <mergeCell ref="AI39:AI40"/>
    <mergeCell ref="AE41:AE42"/>
    <mergeCell ref="AH49:AH50"/>
    <mergeCell ref="AI49:AI50"/>
    <mergeCell ref="AE47:AE48"/>
    <mergeCell ref="AF47:AF48"/>
    <mergeCell ref="AG47:AG48"/>
    <mergeCell ref="AH47:AH48"/>
    <mergeCell ref="AI47:AI48"/>
    <mergeCell ref="AE49:AE50"/>
    <mergeCell ref="AH53:AH54"/>
    <mergeCell ref="AI53:AI54"/>
    <mergeCell ref="AH55:AH56"/>
    <mergeCell ref="AI55:AI56"/>
    <mergeCell ref="AE51:AE52"/>
    <mergeCell ref="AF51:AF52"/>
    <mergeCell ref="AF103:AF104"/>
    <mergeCell ref="AG103:AG104"/>
    <mergeCell ref="AH107:AH108"/>
    <mergeCell ref="AI107:AI108"/>
    <mergeCell ref="AH109:AH110"/>
    <mergeCell ref="AI109:AI110"/>
    <mergeCell ref="AH111:AH112"/>
    <mergeCell ref="AI111:AI112"/>
    <mergeCell ref="AE103:AE104"/>
    <mergeCell ref="AE105:AE106"/>
    <mergeCell ref="AF105:AF106"/>
    <mergeCell ref="AG105:AG106"/>
    <mergeCell ref="AH105:AH106"/>
    <mergeCell ref="AI105:AI106"/>
    <mergeCell ref="AE107:AE108"/>
    <mergeCell ref="AF107:AF108"/>
    <mergeCell ref="AG107:AG108"/>
    <mergeCell ref="AE109:AE110"/>
    <mergeCell ref="AF109:AF110"/>
    <mergeCell ref="AG109:AG110"/>
    <mergeCell ref="AF111:AF112"/>
    <mergeCell ref="AG111:AG112"/>
    <mergeCell ref="AF97:AF98"/>
    <mergeCell ref="AG97:AG98"/>
    <mergeCell ref="AH97:AH98"/>
    <mergeCell ref="AI97:AI98"/>
    <mergeCell ref="AK97:AK98"/>
    <mergeCell ref="AE99:AE100"/>
    <mergeCell ref="AF99:AF100"/>
    <mergeCell ref="AG99:AG100"/>
    <mergeCell ref="AE101:AE102"/>
    <mergeCell ref="AF101:AF102"/>
    <mergeCell ref="AG101:AG102"/>
    <mergeCell ref="AE89:AE90"/>
    <mergeCell ref="AF89:AF90"/>
    <mergeCell ref="AG89:AG90"/>
    <mergeCell ref="AH89:AH90"/>
    <mergeCell ref="AI89:AI90"/>
    <mergeCell ref="AK89:AK90"/>
    <mergeCell ref="AE91:AE92"/>
    <mergeCell ref="AK91:AK92"/>
    <mergeCell ref="AH115:AH116"/>
    <mergeCell ref="AI115:AI116"/>
    <mergeCell ref="AE111:AE112"/>
    <mergeCell ref="AE113:AE114"/>
    <mergeCell ref="AF113:AF114"/>
    <mergeCell ref="AG113:AG114"/>
    <mergeCell ref="AH113:AH114"/>
    <mergeCell ref="AI113:AI114"/>
    <mergeCell ref="AE115:AE116"/>
    <mergeCell ref="AH99:AH100"/>
    <mergeCell ref="AI99:AI100"/>
    <mergeCell ref="AH101:AH102"/>
    <mergeCell ref="AI101:AI102"/>
    <mergeCell ref="AH103:AH104"/>
    <mergeCell ref="AI103:AI104"/>
    <mergeCell ref="AE97:AE98"/>
    <mergeCell ref="AG85:AG86"/>
    <mergeCell ref="AH85:AH86"/>
    <mergeCell ref="AI85:AI86"/>
    <mergeCell ref="AK85:AK86"/>
    <mergeCell ref="AE87:AE88"/>
    <mergeCell ref="AF87:AF88"/>
    <mergeCell ref="AG87:AG88"/>
    <mergeCell ref="AH87:AH88"/>
    <mergeCell ref="AI87:AI88"/>
    <mergeCell ref="AK87:AK88"/>
    <mergeCell ref="AE85:AE86"/>
    <mergeCell ref="AF85:AF86"/>
    <mergeCell ref="AH81:AH82"/>
    <mergeCell ref="AI81:AI82"/>
    <mergeCell ref="AH83:AH84"/>
    <mergeCell ref="AI83:AI84"/>
    <mergeCell ref="AK83:AK84"/>
    <mergeCell ref="AE79:AE80"/>
    <mergeCell ref="AF79:AF80"/>
    <mergeCell ref="AG79:AG80"/>
    <mergeCell ref="AH79:AH80"/>
    <mergeCell ref="AI79:AI80"/>
    <mergeCell ref="AK79:AK80"/>
    <mergeCell ref="AE81:AE82"/>
    <mergeCell ref="AK81:AK82"/>
    <mergeCell ref="AF81:AF82"/>
    <mergeCell ref="AG81:AG82"/>
    <mergeCell ref="AE83:AE84"/>
    <mergeCell ref="AF83:AF84"/>
    <mergeCell ref="AG83:AG84"/>
    <mergeCell ref="AG95:AG96"/>
    <mergeCell ref="AH95:AH96"/>
    <mergeCell ref="AI95:AI96"/>
    <mergeCell ref="AK95:AK96"/>
    <mergeCell ref="AF91:AF92"/>
    <mergeCell ref="AG91:AG92"/>
    <mergeCell ref="AE93:AE94"/>
    <mergeCell ref="AF93:AF94"/>
    <mergeCell ref="AG93:AG94"/>
    <mergeCell ref="AE95:AE96"/>
    <mergeCell ref="AF95:AF96"/>
    <mergeCell ref="AH91:AH92"/>
    <mergeCell ref="AI91:AI92"/>
    <mergeCell ref="AH93:AH94"/>
    <mergeCell ref="AI93:AI94"/>
    <mergeCell ref="AK93:AK94"/>
    <mergeCell ref="AE61:AE62"/>
    <mergeCell ref="AF61:AF62"/>
    <mergeCell ref="AG61:AG62"/>
    <mergeCell ref="AH61:AH62"/>
    <mergeCell ref="AI61:AI62"/>
    <mergeCell ref="AK61:AK62"/>
    <mergeCell ref="AE63:AE64"/>
    <mergeCell ref="AK63:AK64"/>
    <mergeCell ref="AG67:AG68"/>
    <mergeCell ref="AH67:AH68"/>
    <mergeCell ref="AI67:AI68"/>
    <mergeCell ref="AK67:AK68"/>
    <mergeCell ref="AF63:AF64"/>
    <mergeCell ref="AG63:AG64"/>
    <mergeCell ref="AE65:AE66"/>
    <mergeCell ref="AF65:AF66"/>
    <mergeCell ref="AG65:AG66"/>
    <mergeCell ref="AE67:AE68"/>
    <mergeCell ref="AF67:AF68"/>
    <mergeCell ref="AE75:AE76"/>
    <mergeCell ref="AF75:AF76"/>
    <mergeCell ref="AG75:AG76"/>
    <mergeCell ref="AE77:AE78"/>
    <mergeCell ref="AF77:AF78"/>
    <mergeCell ref="AH63:AH64"/>
    <mergeCell ref="AI63:AI64"/>
    <mergeCell ref="AH65:AH66"/>
    <mergeCell ref="AI65:AI66"/>
    <mergeCell ref="AE69:AE70"/>
    <mergeCell ref="AF69:AF70"/>
    <mergeCell ref="AG69:AG70"/>
    <mergeCell ref="AH69:AH70"/>
    <mergeCell ref="AI69:AI70"/>
    <mergeCell ref="AH73:AH74"/>
    <mergeCell ref="AI73:AI74"/>
    <mergeCell ref="AH75:AH76"/>
    <mergeCell ref="AI75:AI76"/>
    <mergeCell ref="AE71:AE72"/>
    <mergeCell ref="AF71:AF72"/>
    <mergeCell ref="AG71:AG72"/>
    <mergeCell ref="AH71:AH72"/>
    <mergeCell ref="AI71:AI72"/>
    <mergeCell ref="AE73:AE74"/>
    <mergeCell ref="AF29:AF30"/>
    <mergeCell ref="AG29:AG30"/>
    <mergeCell ref="AH29:AH30"/>
    <mergeCell ref="AI29:AI30"/>
    <mergeCell ref="AK29:AK30"/>
    <mergeCell ref="AF49:AF50"/>
    <mergeCell ref="AG49:AG50"/>
    <mergeCell ref="AK49:AK50"/>
    <mergeCell ref="AG77:AG78"/>
    <mergeCell ref="AH77:AH78"/>
    <mergeCell ref="AI77:AI78"/>
    <mergeCell ref="AK77:AK78"/>
    <mergeCell ref="AF73:AF74"/>
    <mergeCell ref="AG73:AG74"/>
    <mergeCell ref="AK65:AK66"/>
    <mergeCell ref="AK69:AK70"/>
    <mergeCell ref="AK75:AK76"/>
    <mergeCell ref="AK71:AK72"/>
    <mergeCell ref="AK73:AK74"/>
    <mergeCell ref="AK39:AK40"/>
    <mergeCell ref="AK41:AK42"/>
    <mergeCell ref="AK47:AK48"/>
    <mergeCell ref="AK55:AK56"/>
    <mergeCell ref="AG51:AG52"/>
    <mergeCell ref="AE3:AE4"/>
    <mergeCell ref="AE5:AE6"/>
    <mergeCell ref="AE7:AE8"/>
    <mergeCell ref="AE9:AE10"/>
    <mergeCell ref="AE11:AE12"/>
    <mergeCell ref="AE13:AE14"/>
    <mergeCell ref="AE15:AE16"/>
    <mergeCell ref="AE27:AE28"/>
    <mergeCell ref="AE29:AE30"/>
    <mergeCell ref="AF27:AF28"/>
    <mergeCell ref="AG27:AG28"/>
    <mergeCell ref="AH27:AH28"/>
    <mergeCell ref="AI27:AI28"/>
    <mergeCell ref="AK27:AK28"/>
    <mergeCell ref="AE23:AE24"/>
    <mergeCell ref="AE25:AE26"/>
    <mergeCell ref="AF25:AF26"/>
    <mergeCell ref="AG25:AG26"/>
    <mergeCell ref="AH25:AH26"/>
    <mergeCell ref="AI25:AI26"/>
    <mergeCell ref="AK25:AK26"/>
    <mergeCell ref="AF21:AF22"/>
    <mergeCell ref="AF23:AF24"/>
    <mergeCell ref="AG23:AG24"/>
    <mergeCell ref="AH23:AH24"/>
    <mergeCell ref="AI23:AI24"/>
    <mergeCell ref="AK23:AK24"/>
    <mergeCell ref="AE17:AE18"/>
    <mergeCell ref="AE19:AE20"/>
    <mergeCell ref="AE21:AE22"/>
    <mergeCell ref="AG21:AG22"/>
    <mergeCell ref="AH21:AH22"/>
    <mergeCell ref="AI21:AI22"/>
    <mergeCell ref="AK21:AK22"/>
    <mergeCell ref="AF19:AF20"/>
    <mergeCell ref="AF41:AF42"/>
    <mergeCell ref="AG41:AG42"/>
    <mergeCell ref="AF43:AF44"/>
    <mergeCell ref="AG43:AG44"/>
    <mergeCell ref="AH43:AH44"/>
    <mergeCell ref="AI43:AI44"/>
    <mergeCell ref="AK43:AK44"/>
    <mergeCell ref="AE43:AE44"/>
    <mergeCell ref="AE45:AE46"/>
    <mergeCell ref="AF45:AF46"/>
    <mergeCell ref="AG45:AG46"/>
    <mergeCell ref="AH45:AH46"/>
    <mergeCell ref="AI45:AI46"/>
    <mergeCell ref="AK45:AK46"/>
  </mergeCells>
  <pageMargins left="0" right="0" top="0" bottom="0" header="0" footer="0"/>
  <ignoredErrors>
    <ignoredError numberStoredAsText="1" sqref="A1:AO14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 rightToLeft="0"/>
  </sheetViews>
  <sheetData>
    <row r="1">
      <c r="A1" t="str">
        <v>invoiceNumber</v>
      </c>
      <c r="B1" t="str">
        <v>invoiceDate</v>
      </c>
      <c r="C1" t="str">
        <v>customerNumber</v>
      </c>
      <c r="D1" t="str">
        <v>delaiTerms</v>
      </c>
      <c r="E1" t="str">
        <v>item</v>
      </c>
      <c r="F1" t="str">
        <v>QtyBox</v>
      </c>
      <c r="G1" t="str">
        <v>QtyUnit</v>
      </c>
      <c r="H1" t="str">
        <v>unitPrice</v>
      </c>
      <c r="I1" t="str">
        <v>totalPrice</v>
      </c>
      <c r="J1" t="str">
        <v>extendedPrice</v>
      </c>
      <c r="K1" t="str">
        <v>taxTps</v>
      </c>
      <c r="L1" t="str">
        <v>taxTvq</v>
      </c>
      <c r="M1" t="str">
        <v>discount</v>
      </c>
      <c r="N1" t="str">
        <v>discountDisc</v>
      </c>
      <c r="O1" t="str">
        <v>Payment</v>
      </c>
      <c r="P1" t="str">
        <v>vender</v>
      </c>
      <c r="Q1" t="str">
        <v>orderNumber</v>
      </c>
    </row>
    <row r="2">
      <c r="A2">
        <v>10014</v>
      </c>
      <c r="B2" t="str">
        <v>Aug 19 - 25</v>
      </c>
      <c r="C2">
        <v>1</v>
      </c>
      <c r="D2">
        <v>21</v>
      </c>
      <c r="E2" t="str">
        <v>Evoo3L</v>
      </c>
      <c r="F2">
        <v>6</v>
      </c>
      <c r="G2">
        <v>24</v>
      </c>
      <c r="H2">
        <v>29.75</v>
      </c>
      <c r="I2">
        <v>714</v>
      </c>
      <c r="J2">
        <v>714</v>
      </c>
      <c r="O2" t="str">
        <v>y</v>
      </c>
    </row>
    <row r="3">
      <c r="A3">
        <v>10020</v>
      </c>
      <c r="B3" t="str">
        <v>Aug 27 - 25</v>
      </c>
      <c r="C3">
        <v>2</v>
      </c>
      <c r="D3">
        <v>1</v>
      </c>
      <c r="E3" t="str">
        <v>Evoo3L</v>
      </c>
      <c r="F3">
        <v>5</v>
      </c>
      <c r="G3">
        <v>20</v>
      </c>
      <c r="H3">
        <v>30</v>
      </c>
      <c r="I3">
        <v>600</v>
      </c>
      <c r="J3">
        <v>996</v>
      </c>
      <c r="O3" t="str">
        <v>y</v>
      </c>
    </row>
    <row r="4">
      <c r="A4">
        <v>10020</v>
      </c>
      <c r="B4" t="str">
        <v>Aug 27 - 25</v>
      </c>
      <c r="C4">
        <v>2</v>
      </c>
      <c r="D4">
        <v>1</v>
      </c>
      <c r="E4" t="str">
        <v>Evoo1L</v>
      </c>
      <c r="F4">
        <v>3</v>
      </c>
      <c r="G4">
        <v>36</v>
      </c>
      <c r="H4">
        <v>11</v>
      </c>
      <c r="I4">
        <v>396</v>
      </c>
      <c r="J4">
        <v>996</v>
      </c>
      <c r="O4" t="str">
        <v>y</v>
      </c>
    </row>
    <row r="5">
      <c r="A5">
        <v>10022</v>
      </c>
      <c r="B5" t="str">
        <v>Aug 26 - 25</v>
      </c>
      <c r="C5">
        <v>3</v>
      </c>
      <c r="D5">
        <v>30</v>
      </c>
      <c r="E5" t="str">
        <v>Evoo1L</v>
      </c>
      <c r="F5">
        <v>10</v>
      </c>
      <c r="G5">
        <v>120</v>
      </c>
      <c r="H5">
        <v>10.75</v>
      </c>
      <c r="I5">
        <v>1290</v>
      </c>
      <c r="J5">
        <v>1885</v>
      </c>
      <c r="O5" t="str">
        <v>n</v>
      </c>
    </row>
    <row r="6">
      <c r="A6">
        <v>10022</v>
      </c>
      <c r="B6" t="str">
        <v>Aug 26 - 25</v>
      </c>
      <c r="C6">
        <v>3</v>
      </c>
      <c r="D6">
        <v>30</v>
      </c>
      <c r="E6" t="str">
        <v>Evoo3L</v>
      </c>
      <c r="F6">
        <v>5</v>
      </c>
      <c r="G6">
        <v>20</v>
      </c>
      <c r="H6">
        <v>29.75</v>
      </c>
      <c r="I6">
        <v>595</v>
      </c>
      <c r="J6">
        <v>1885</v>
      </c>
      <c r="O6" t="str">
        <v>n</v>
      </c>
    </row>
    <row r="7">
      <c r="A7">
        <v>10023</v>
      </c>
      <c r="B7" t="str">
        <v>Aug 26 - 25</v>
      </c>
      <c r="C7">
        <v>4</v>
      </c>
      <c r="D7">
        <v>30</v>
      </c>
      <c r="E7" t="str">
        <v>Evoo1L</v>
      </c>
      <c r="F7">
        <v>2</v>
      </c>
      <c r="G7">
        <v>24</v>
      </c>
      <c r="H7">
        <v>11</v>
      </c>
      <c r="I7">
        <v>264</v>
      </c>
      <c r="J7">
        <v>264</v>
      </c>
      <c r="O7" t="str">
        <v>n</v>
      </c>
    </row>
    <row r="8">
      <c r="A8">
        <v>10024</v>
      </c>
      <c r="B8" t="str">
        <v>Aug 26 - 25</v>
      </c>
      <c r="C8">
        <v>5</v>
      </c>
      <c r="D8">
        <v>21</v>
      </c>
      <c r="E8" t="str">
        <v>Evoo1L</v>
      </c>
      <c r="F8">
        <v>4</v>
      </c>
      <c r="G8">
        <v>48</v>
      </c>
      <c r="H8">
        <v>10.75</v>
      </c>
      <c r="I8">
        <v>516</v>
      </c>
      <c r="J8">
        <v>516</v>
      </c>
      <c r="O8" t="str">
        <v>n</v>
      </c>
    </row>
    <row r="9">
      <c r="A9">
        <v>10025</v>
      </c>
      <c r="B9" t="str">
        <v>Sep 5 - 25</v>
      </c>
      <c r="C9">
        <v>6</v>
      </c>
      <c r="D9">
        <v>35</v>
      </c>
      <c r="E9" t="str">
        <v>Evoo3L</v>
      </c>
      <c r="F9">
        <v>5</v>
      </c>
      <c r="G9">
        <v>20</v>
      </c>
      <c r="H9">
        <v>29.25</v>
      </c>
      <c r="I9">
        <v>585</v>
      </c>
      <c r="J9">
        <v>1359</v>
      </c>
      <c r="O9" t="str">
        <v>n</v>
      </c>
    </row>
    <row r="10">
      <c r="A10">
        <v>10025</v>
      </c>
      <c r="B10" t="str">
        <v>Sep 5 - 25</v>
      </c>
      <c r="C10">
        <v>6</v>
      </c>
      <c r="D10">
        <v>35</v>
      </c>
      <c r="E10" t="str">
        <v>Evoo1L</v>
      </c>
      <c r="F10">
        <v>6</v>
      </c>
      <c r="G10">
        <v>72</v>
      </c>
      <c r="H10">
        <v>10.75</v>
      </c>
      <c r="I10">
        <v>774</v>
      </c>
      <c r="J10">
        <v>1359</v>
      </c>
      <c r="O10" t="str">
        <v>n</v>
      </c>
    </row>
    <row r="11">
      <c r="A11">
        <v>10018</v>
      </c>
      <c r="B11" t="str">
        <v>Aug 27 - 25</v>
      </c>
      <c r="C11">
        <v>7</v>
      </c>
      <c r="D11">
        <v>60</v>
      </c>
      <c r="E11" t="str">
        <v>Evoo1L</v>
      </c>
      <c r="F11">
        <v>10</v>
      </c>
      <c r="G11">
        <v>120</v>
      </c>
      <c r="H11">
        <v>11.5</v>
      </c>
      <c r="I11">
        <v>1380</v>
      </c>
      <c r="J11">
        <v>1380</v>
      </c>
      <c r="O11" t="str">
        <v>n</v>
      </c>
    </row>
    <row r="12">
      <c r="A12">
        <v>10015</v>
      </c>
      <c r="B12" t="str">
        <v>Aug 20 - 25</v>
      </c>
      <c r="C12">
        <v>8</v>
      </c>
      <c r="D12">
        <v>30</v>
      </c>
      <c r="E12" t="str">
        <v>Evoo1L</v>
      </c>
      <c r="F12">
        <v>10</v>
      </c>
      <c r="G12">
        <v>120</v>
      </c>
      <c r="H12">
        <v>12.49</v>
      </c>
      <c r="I12">
        <v>1498.8</v>
      </c>
      <c r="J12">
        <v>1490</v>
      </c>
      <c r="N12">
        <v>8.8</v>
      </c>
      <c r="O12" t="str">
        <v>n</v>
      </c>
      <c r="P12" t="str">
        <v>Mourad</v>
      </c>
    </row>
    <row r="13">
      <c r="A13">
        <v>37707</v>
      </c>
      <c r="B13" t="str">
        <v>Sep 1 - 25</v>
      </c>
      <c r="C13">
        <v>9</v>
      </c>
      <c r="D13">
        <v>30</v>
      </c>
      <c r="E13" t="str">
        <v>Evoo1L</v>
      </c>
      <c r="F13">
        <v>2</v>
      </c>
      <c r="G13">
        <v>24</v>
      </c>
      <c r="H13">
        <v>12</v>
      </c>
      <c r="I13">
        <v>288</v>
      </c>
      <c r="J13">
        <v>416</v>
      </c>
      <c r="O13" t="str">
        <v>n</v>
      </c>
    </row>
    <row r="14">
      <c r="A14">
        <v>37707</v>
      </c>
      <c r="B14" t="str">
        <v>Sep 1 - 25</v>
      </c>
      <c r="C14">
        <v>9</v>
      </c>
      <c r="D14">
        <v>30</v>
      </c>
      <c r="E14" t="str">
        <v>Evoo3L</v>
      </c>
      <c r="F14">
        <v>1</v>
      </c>
      <c r="G14">
        <v>4</v>
      </c>
      <c r="H14">
        <v>32</v>
      </c>
      <c r="I14">
        <v>128</v>
      </c>
      <c r="J14">
        <v>416</v>
      </c>
      <c r="O14" t="str">
        <v>n</v>
      </c>
    </row>
    <row r="15">
      <c r="A15">
        <v>37708</v>
      </c>
      <c r="B15" t="str">
        <v>Sep 6 - 25</v>
      </c>
      <c r="C15">
        <v>10</v>
      </c>
      <c r="D15">
        <v>1</v>
      </c>
      <c r="E15" t="str">
        <v>Evoo1L</v>
      </c>
      <c r="F15">
        <v>1</v>
      </c>
      <c r="G15">
        <v>12</v>
      </c>
      <c r="H15">
        <v>10.75</v>
      </c>
      <c r="I15">
        <v>129</v>
      </c>
      <c r="J15">
        <v>129</v>
      </c>
      <c r="O15" t="str">
        <v>y</v>
      </c>
    </row>
    <row r="16">
      <c r="A16">
        <v>37709</v>
      </c>
      <c r="B16" t="str">
        <v>Sep 6 - 25</v>
      </c>
      <c r="C16">
        <v>11</v>
      </c>
      <c r="E16" t="str">
        <v>Evoo1L</v>
      </c>
      <c r="F16">
        <v>5</v>
      </c>
      <c r="G16">
        <v>60</v>
      </c>
      <c r="H16">
        <v>10.75</v>
      </c>
      <c r="I16">
        <v>645</v>
      </c>
      <c r="J16">
        <v>645</v>
      </c>
      <c r="O16" t="str">
        <v>n</v>
      </c>
    </row>
    <row r="17">
      <c r="A17">
        <v>10027</v>
      </c>
      <c r="B17" t="str">
        <v>Sep 13 - 25</v>
      </c>
      <c r="C17">
        <v>12</v>
      </c>
      <c r="D17">
        <v>20</v>
      </c>
      <c r="E17" t="str">
        <v>Evoo1L</v>
      </c>
      <c r="F17">
        <v>10</v>
      </c>
      <c r="G17">
        <v>120</v>
      </c>
      <c r="H17">
        <v>10.75</v>
      </c>
      <c r="I17">
        <v>1290</v>
      </c>
      <c r="J17">
        <v>1290</v>
      </c>
      <c r="O17" t="str">
        <v>n</v>
      </c>
    </row>
    <row r="18">
      <c r="A18">
        <v>11111</v>
      </c>
      <c r="B18" t="str">
        <v>Sep 13 - 25</v>
      </c>
      <c r="C18">
        <v>12</v>
      </c>
      <c r="D18">
        <v>10</v>
      </c>
      <c r="E18" t="str">
        <v>Evoo1L</v>
      </c>
      <c r="F18">
        <v>10.75</v>
      </c>
      <c r="G18">
        <v>1290</v>
      </c>
      <c r="H18">
        <v>1290</v>
      </c>
      <c r="I18">
        <v>13867.5</v>
      </c>
      <c r="J18">
        <v>13867.5</v>
      </c>
      <c r="K18">
        <v>0</v>
      </c>
      <c r="L18">
        <v>14</v>
      </c>
      <c r="M18">
        <v>15</v>
      </c>
      <c r="N18">
        <v>16</v>
      </c>
      <c r="O18">
        <v>17</v>
      </c>
      <c r="P18">
        <v>20</v>
      </c>
      <c r="Q18" t="str">
        <v>Evoo1L</v>
      </c>
    </row>
    <row r="19">
      <c r="A19">
        <v>10025</v>
      </c>
      <c r="B19" t="str">
        <v>2025-09-19</v>
      </c>
      <c r="C19">
        <v>6</v>
      </c>
      <c r="D19">
        <v>35</v>
      </c>
      <c r="E19" t="str">
        <v>Evoo3L</v>
      </c>
      <c r="F19">
        <v>5</v>
      </c>
      <c r="G19">
        <v>20</v>
      </c>
      <c r="H19">
        <v>29.25</v>
      </c>
      <c r="I19">
        <v>1488</v>
      </c>
      <c r="J19">
        <v>1359</v>
      </c>
      <c r="K19">
        <v>0</v>
      </c>
    </row>
    <row r="20">
      <c r="A20" t="str">
        <v>2222222</v>
      </c>
      <c r="B20" t="str">
        <v>2025-09-19</v>
      </c>
      <c r="C20">
        <v>12</v>
      </c>
      <c r="D20">
        <v>10</v>
      </c>
      <c r="E20" t="str">
        <v>Evoo1L</v>
      </c>
      <c r="F20">
        <v>10.75</v>
      </c>
      <c r="G20">
        <v>1290</v>
      </c>
      <c r="H20">
        <v>1290</v>
      </c>
      <c r="I20">
        <v>1664229</v>
      </c>
      <c r="J20">
        <v>13867.5</v>
      </c>
      <c r="K20">
        <v>0</v>
      </c>
    </row>
    <row r="21">
      <c r="A21">
        <v>10022</v>
      </c>
      <c r="B21" t="str">
        <v>Aug 26 - 25</v>
      </c>
      <c r="C21">
        <v>3</v>
      </c>
      <c r="D21">
        <v>30</v>
      </c>
      <c r="E21" t="str">
        <v>Evoo1L</v>
      </c>
      <c r="F21">
        <v>10</v>
      </c>
      <c r="G21">
        <v>120</v>
      </c>
      <c r="H21">
        <v>10.75</v>
      </c>
      <c r="I21">
        <v>2014</v>
      </c>
      <c r="J21">
        <v>1885</v>
      </c>
      <c r="K21">
        <v>0</v>
      </c>
    </row>
    <row r="22">
      <c r="A22">
        <v>10022</v>
      </c>
      <c r="B22" t="str">
        <v>Aug 26 - 25</v>
      </c>
      <c r="C22">
        <v>3</v>
      </c>
      <c r="D22">
        <v>30</v>
      </c>
      <c r="E22" t="str">
        <v>Evoo1L</v>
      </c>
      <c r="F22">
        <v>10</v>
      </c>
      <c r="G22">
        <v>120</v>
      </c>
      <c r="H22">
        <v>10.75</v>
      </c>
      <c r="I22">
        <v>1290</v>
      </c>
      <c r="J22">
        <v>1885</v>
      </c>
      <c r="K22">
        <v>0</v>
      </c>
    </row>
    <row r="23">
      <c r="A23" t="str">
        <v>33333</v>
      </c>
      <c r="B23" t="str">
        <v>2025-09-19</v>
      </c>
      <c r="C23">
        <v>12</v>
      </c>
      <c r="D23">
        <v>10</v>
      </c>
      <c r="E23" t="str">
        <v>Evoo1L</v>
      </c>
      <c r="F23">
        <v>10.75</v>
      </c>
      <c r="G23">
        <v>1290</v>
      </c>
      <c r="H23">
        <v>1290</v>
      </c>
      <c r="I23">
        <v>16770</v>
      </c>
      <c r="J23">
        <v>13867.5</v>
      </c>
      <c r="K23">
        <v>0</v>
      </c>
    </row>
    <row r="24">
      <c r="A24" t="str">
        <v>33333</v>
      </c>
      <c r="B24" t="str">
        <v>2025-09-19</v>
      </c>
      <c r="C24">
        <v>12</v>
      </c>
      <c r="D24">
        <v>10</v>
      </c>
      <c r="E24" t="str">
        <v>Evoo1L</v>
      </c>
      <c r="F24">
        <v>10.75</v>
      </c>
      <c r="G24">
        <v>1290</v>
      </c>
      <c r="H24">
        <v>1290</v>
      </c>
      <c r="I24">
        <v>369</v>
      </c>
      <c r="J24">
        <v>13867.5</v>
      </c>
      <c r="K24">
        <v>0</v>
      </c>
    </row>
    <row r="25">
      <c r="A25" t="str">
        <v>33333</v>
      </c>
      <c r="B25" t="str">
        <v>2025-09-19</v>
      </c>
      <c r="C25">
        <v>12</v>
      </c>
      <c r="D25">
        <v>10</v>
      </c>
      <c r="E25" t="str">
        <v>Evoo1L</v>
      </c>
      <c r="F25">
        <v>10.75</v>
      </c>
      <c r="G25">
        <v>1290</v>
      </c>
      <c r="H25">
        <v>1290</v>
      </c>
      <c r="I25">
        <v>627</v>
      </c>
      <c r="J25">
        <v>13867.5</v>
      </c>
      <c r="K25">
        <v>0</v>
      </c>
    </row>
    <row r="26">
      <c r="A26" t="str">
        <v>4444444</v>
      </c>
      <c r="B26" t="str">
        <v>2025-09-24</v>
      </c>
      <c r="C26">
        <v>1</v>
      </c>
      <c r="D26" t="str">
        <v>1</v>
      </c>
      <c r="E26" t="str">
        <v>Barhoumi Khaled</v>
      </c>
      <c r="F26">
        <v>1</v>
      </c>
      <c r="G26">
        <v>2</v>
      </c>
      <c r="H26">
        <v>10.75</v>
      </c>
      <c r="I26">
        <v>129</v>
      </c>
      <c r="J26">
        <v>299</v>
      </c>
      <c r="K26">
        <v>0</v>
      </c>
    </row>
  </sheetData>
  <ignoredErrors>
    <ignoredError numberStoredAsText="1" sqref="A1:Q26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O13"/>
  <sheetViews>
    <sheetView workbookViewId="0" rightToLeft="0"/>
  </sheetViews>
  <sheetData>
    <row r="1">
      <c r="A1" t="str">
        <v>customerNumber</v>
      </c>
      <c r="B1" t="str">
        <v>soldTo</v>
      </c>
      <c r="C1" t="str">
        <v>shipTo</v>
      </c>
      <c r="D1" t="str">
        <v>adresse</v>
      </c>
      <c r="E1" t="str">
        <v>city</v>
      </c>
      <c r="F1" t="str">
        <v>postalCode</v>
      </c>
      <c r="G1" t="str">
        <v>province</v>
      </c>
      <c r="H1" t="str">
        <v>country</v>
      </c>
      <c r="I1" t="str">
        <v>1st contact</v>
      </c>
      <c r="J1" t="str">
        <v>desc 1st contact</v>
      </c>
      <c r="K1" t="str">
        <v>2nd Contact</v>
      </c>
      <c r="L1" t="str">
        <v>desc 2nd contact</v>
      </c>
      <c r="M1" t="str">
        <v>Phone number 1st</v>
      </c>
      <c r="N1" t="str">
        <v>Phone number 2nd</v>
      </c>
      <c r="O1" t="str">
        <v>email</v>
      </c>
    </row>
    <row r="2">
      <c r="A2">
        <v>1</v>
      </c>
      <c r="B2" t="str">
        <v>Sous les Oliviers</v>
      </c>
      <c r="C2" t="str">
        <f>B2</f>
        <v>Sous les Oliviers</v>
      </c>
      <c r="D2" t="str">
        <v>3669 Bd de la Cité-des-Jeunes</v>
      </c>
      <c r="E2" t="str">
        <v>Vaudreuil-Dorion</v>
      </c>
      <c r="F2" t="str">
        <v>J7T 2B4</v>
      </c>
      <c r="G2" t="str">
        <v>QC</v>
      </c>
      <c r="H2" t="str">
        <v>canada</v>
      </c>
    </row>
    <row r="3">
      <c r="A3">
        <v>2</v>
      </c>
      <c r="B3" t="str">
        <v>ô nature - 9400-1831 QC INC</v>
      </c>
      <c r="C3" t="str">
        <f>B3</f>
        <v>ô nature - 9400-1831 QC INC</v>
      </c>
      <c r="D3" t="str">
        <v>1376, av mont-royal Est</v>
      </c>
      <c r="E3" t="str">
        <v>montreal</v>
      </c>
      <c r="F3" t="str">
        <v>H2J 1Y7</v>
      </c>
      <c r="G3" t="str">
        <v>QC</v>
      </c>
      <c r="H3" t="str">
        <v>canada</v>
      </c>
    </row>
    <row r="4">
      <c r="A4">
        <v>3</v>
      </c>
      <c r="B4" t="str">
        <v>Marché Label Terre</v>
      </c>
      <c r="C4" t="str">
        <v>Marché Label Terre</v>
      </c>
      <c r="D4" t="str">
        <v>385 Soumande St,</v>
      </c>
      <c r="E4" t="str">
        <v>Québec City</v>
      </c>
      <c r="F4" t="str">
        <v>G1M 2X6</v>
      </c>
      <c r="G4" t="str">
        <v>QC</v>
      </c>
      <c r="H4" t="str">
        <v>canada</v>
      </c>
      <c r="I4" t="str">
        <v>Ali</v>
      </c>
      <c r="J4" t="str">
        <v>one of the owners</v>
      </c>
      <c r="M4">
        <v>4185548535</v>
      </c>
      <c r="O4" t="str">
        <v>info@marchelabelterre.com</v>
      </c>
    </row>
    <row r="5">
      <c r="A5">
        <v>4</v>
      </c>
      <c r="B5" t="str">
        <v>Boucherie Assalam - Epicerie Halal</v>
      </c>
      <c r="C5" t="str">
        <f>B5</f>
        <v>Boucherie Assalam - Epicerie Halal</v>
      </c>
      <c r="D5" t="str">
        <v>3173 Ch Ste-Foy,</v>
      </c>
      <c r="E5" t="str">
        <v>Québec City</v>
      </c>
      <c r="F5" t="str">
        <v>G1X 1R3</v>
      </c>
      <c r="G5" t="str">
        <v>QC</v>
      </c>
      <c r="H5" t="str">
        <v>canada</v>
      </c>
      <c r="I5" t="str">
        <v>Mohamed</v>
      </c>
      <c r="O5" t="str">
        <v>beassalam3173adm@gmail.com</v>
      </c>
    </row>
    <row r="6">
      <c r="A6">
        <v>5</v>
      </c>
      <c r="B6" t="str">
        <v>Marché Tradition Courtemanche Baril</v>
      </c>
      <c r="C6" t="str">
        <v>Marché Tradition Courtemanche Baril</v>
      </c>
      <c r="D6" t="str">
        <v>272 Rue Saint-Joseph E</v>
      </c>
      <c r="E6" t="str">
        <v>Québec City</v>
      </c>
      <c r="F6" t="str">
        <v>G1K 3A9</v>
      </c>
      <c r="G6" t="str">
        <v>QC</v>
      </c>
      <c r="H6" t="str">
        <v>canada</v>
      </c>
      <c r="O6" t="str">
        <v>comptabilite@courtemanchebaril.com</v>
      </c>
    </row>
    <row r="7">
      <c r="A7">
        <v>6</v>
      </c>
      <c r="B7" t="str">
        <v>Marché ANFA</v>
      </c>
      <c r="C7" t="str">
        <f>B7</f>
        <v>Marché ANFA</v>
      </c>
      <c r="D7" t="str">
        <v>8896 Boul Langelier,</v>
      </c>
      <c r="E7" t="str">
        <v>Saint-Léonard</v>
      </c>
      <c r="F7" t="str">
        <v>H1P 3C8</v>
      </c>
      <c r="G7" t="str">
        <v>QC</v>
      </c>
      <c r="H7" t="str">
        <v>canada</v>
      </c>
      <c r="I7" t="str">
        <v>Aziz</v>
      </c>
      <c r="J7" t="str">
        <v>Owner</v>
      </c>
      <c r="K7" t="str">
        <v>Mehdi</v>
      </c>
      <c r="L7" t="str">
        <v>Manager</v>
      </c>
      <c r="M7">
        <v>5147186657</v>
      </c>
      <c r="O7" t="str">
        <v>groupeanfainternational@anfa.ca</v>
      </c>
    </row>
    <row r="8">
      <c r="A8">
        <v>7</v>
      </c>
      <c r="B8" t="str">
        <v>marche Atlas</v>
      </c>
      <c r="C8" t="str">
        <f>B8</f>
        <v>marche Atlas</v>
      </c>
      <c r="D8" t="str">
        <v>4265 Rue Jean-Talon E,</v>
      </c>
      <c r="E8" t="str">
        <v>Saint-Léonard,</v>
      </c>
      <c r="F8" t="str">
        <v>H1S 1J9</v>
      </c>
      <c r="G8" t="str">
        <v>QC</v>
      </c>
      <c r="H8" t="str">
        <v>canada</v>
      </c>
      <c r="I8" t="str">
        <v>Vatchy</v>
      </c>
      <c r="J8" t="str">
        <v>Manager</v>
      </c>
      <c r="K8" t="str">
        <v>Bilal</v>
      </c>
      <c r="L8" t="str">
        <v>Owner</v>
      </c>
      <c r="M8">
        <v>5149536163</v>
      </c>
      <c r="N8">
        <v>5149633397</v>
      </c>
      <c r="O8" t="str">
        <v>atlasbkr@gmail.com</v>
      </c>
    </row>
    <row r="9">
      <c r="A9">
        <v>8</v>
      </c>
      <c r="B9" t="str">
        <v>9185-5973 Quebec inc</v>
      </c>
      <c r="C9" t="str">
        <v>Metro Bigras</v>
      </c>
      <c r="D9" t="str">
        <v>2008 rue gauthier</v>
      </c>
      <c r="E9" t="str">
        <v>Montreal</v>
      </c>
      <c r="F9" t="str">
        <v>H2K 1A7</v>
      </c>
      <c r="G9" t="str">
        <v>QC</v>
      </c>
      <c r="H9" t="str">
        <v>canada</v>
      </c>
      <c r="I9" t="str">
        <v>Julien</v>
      </c>
      <c r="J9" t="str">
        <v>directeur</v>
      </c>
      <c r="M9">
        <v>5148360831</v>
      </c>
    </row>
    <row r="10">
      <c r="A10">
        <v>9</v>
      </c>
      <c r="B10" t="str">
        <v>Boulangerie Mira</v>
      </c>
      <c r="C10" t="str">
        <v>Boulangerie Mira</v>
      </c>
      <c r="D10" t="str">
        <v xml:space="preserve">941 Bd de la Cité-des-Jeunes, </v>
      </c>
      <c r="E10" t="str">
        <v xml:space="preserve">Vaudreuil-Dorion, </v>
      </c>
      <c r="F10" t="str">
        <v>J7V 8P2</v>
      </c>
      <c r="G10" t="str">
        <v xml:space="preserve">QC </v>
      </c>
      <c r="H10" t="str">
        <v>canada</v>
      </c>
    </row>
    <row r="11">
      <c r="A11">
        <v>10</v>
      </c>
      <c r="B11" t="str">
        <v>Meli-Melo Market</v>
      </c>
      <c r="C11" t="str">
        <v>Meli-Melo Market</v>
      </c>
      <c r="D11" t="str">
        <v xml:space="preserve">640 Rue Jarry E, </v>
      </c>
      <c r="E11" t="str">
        <v xml:space="preserve">Montréal, </v>
      </c>
      <c r="F11" t="str">
        <v>H2P 1V7</v>
      </c>
      <c r="G11" t="str">
        <v xml:space="preserve">QC </v>
      </c>
      <c r="O11" t="str">
        <v>M-melimelo@hotmail.com</v>
      </c>
    </row>
    <row r="12">
      <c r="A12">
        <v>11</v>
      </c>
      <c r="B12" t="str">
        <v>Supermarché Mile-End</v>
      </c>
      <c r="C12" t="str">
        <f>B12</f>
        <v>Supermarché Mile-End</v>
      </c>
      <c r="D12" t="str">
        <v xml:space="preserve">5600 Park Ave, </v>
      </c>
      <c r="E12" t="str">
        <v xml:space="preserve">Montreal, </v>
      </c>
      <c r="F12" t="str">
        <v>H2V 4H1</v>
      </c>
      <c r="G12" t="str">
        <v>QC</v>
      </c>
    </row>
    <row r="13">
      <c r="A13">
        <v>12</v>
      </c>
      <c r="B13" t="str">
        <v>L'intermarché St-Vallier</v>
      </c>
      <c r="C13" t="str">
        <v>L'intermarché St-Vallier</v>
      </c>
      <c r="D13" t="str">
        <v>435 Rue Saint-Vallier O,</v>
      </c>
      <c r="E13" t="str">
        <v>Québec City</v>
      </c>
      <c r="F13" t="str">
        <v>G1K 1K9</v>
      </c>
      <c r="G13" t="str">
        <v>QC</v>
      </c>
      <c r="H13" t="str">
        <v>canada</v>
      </c>
      <c r="I13" t="str">
        <v>Philippe Fontaine</v>
      </c>
      <c r="J13" t="str">
        <v>Owner</v>
      </c>
      <c r="M13">
        <v>4189970825</v>
      </c>
      <c r="N13">
        <f>4185234592</f>
        <v>4185234592</v>
      </c>
      <c r="O13" t="str">
        <v>intermarche8175@bellnet.ca</v>
      </c>
    </row>
  </sheetData>
  <pageMargins left="0" right="0" top="0" bottom="0" header="0" footer="0"/>
  <ignoredErrors>
    <ignoredError numberStoredAsText="1" sqref="A1:O1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G29"/>
  <sheetViews>
    <sheetView workbookViewId="0" rightToLeft="0"/>
  </sheetViews>
  <sheetData>
    <row r="1">
      <c r="A1" t="str">
        <v>needs to be done</v>
      </c>
      <c r="B1" t="str">
        <v>name</v>
      </c>
      <c r="C1" t="str">
        <v xml:space="preserve">responsible </v>
      </c>
      <c r="D1" t="str">
        <v>notes</v>
      </c>
      <c r="E1" t="str">
        <v>email</v>
      </c>
      <c r="F1" t="str">
        <v xml:space="preserve">phone </v>
      </c>
      <c r="G1" t="str">
        <v xml:space="preserve">adresse </v>
      </c>
    </row>
    <row r="2">
      <c r="B2" t="str">
        <v>IGA barcelo</v>
      </c>
      <c r="E2" t="str">
        <v>iga08060montreal@sobeys.com</v>
      </c>
    </row>
    <row r="3">
      <c r="B3" t="str">
        <v>intermarché lagoria</v>
      </c>
      <c r="C3" t="str">
        <v xml:space="preserve">Franko - boss Marco - manager </v>
      </c>
      <c r="D3" t="str">
        <v xml:space="preserve">Head office is in RDP the they have 5 stores - labeling </v>
      </c>
    </row>
    <row r="4">
      <c r="B4" t="str">
        <v>plumbo - ricardo</v>
      </c>
      <c r="G4" t="str">
        <v>laval</v>
      </c>
    </row>
    <row r="5">
      <c r="B5" t="str">
        <v>fraichment bon</v>
      </c>
      <c r="C5" t="str">
        <v>Francois qual- boss</v>
      </c>
      <c r="D5" t="str">
        <v>present the product and offer labeling</v>
      </c>
      <c r="G5" t="str">
        <v>2901 Rue Masson, Montréal, QC H1Y 1X5</v>
      </c>
    </row>
    <row r="6">
      <c r="B6" t="str">
        <v xml:space="preserve">PA </v>
      </c>
      <c r="C6" t="str">
        <v>Spiro - director</v>
      </c>
      <c r="F6">
        <v>5148163789</v>
      </c>
    </row>
    <row r="7">
      <c r="B7" t="str">
        <v>vie en vert</v>
      </c>
      <c r="C7" t="str">
        <v>Ahmad</v>
      </c>
      <c r="D7" t="str">
        <v xml:space="preserve">has 3 stores </v>
      </c>
      <c r="G7" t="str">
        <v>laval</v>
      </c>
    </row>
    <row r="8">
      <c r="B8" t="str">
        <v xml:space="preserve">tradition </v>
      </c>
      <c r="C8" t="str">
        <v xml:space="preserve">Mark </v>
      </c>
      <c r="D8" t="str">
        <v xml:space="preserve">product + labeling </v>
      </c>
      <c r="G8" t="str">
        <v xml:space="preserve">Rosemont </v>
      </c>
    </row>
    <row r="9">
      <c r="B9" t="str">
        <v xml:space="preserve">tradition Chartrand </v>
      </c>
      <c r="E9" t="str">
        <v>qtra00703s@sobeys.com</v>
      </c>
    </row>
    <row r="10">
      <c r="B10" t="str">
        <v>bonanza</v>
      </c>
      <c r="C10" t="str">
        <v>frank</v>
      </c>
      <c r="D10" t="str">
        <v>follow up fin Aout 1 litre 10.66, 3l 29.75</v>
      </c>
    </row>
    <row r="11">
      <c r="A11" t="str">
        <v>email and visit</v>
      </c>
      <c r="B11" t="str">
        <v>centre du viande lasenza</v>
      </c>
      <c r="C11" t="str">
        <v>fekret</v>
      </c>
      <c r="D11" t="str">
        <v>apres une semaine soit 16 juillet</v>
      </c>
      <c r="E11" t="str">
        <v>Domenico@iasenza:com, Fikret@iasenza:com</v>
      </c>
    </row>
    <row r="12">
      <c r="B12" t="str">
        <v>intermarche cote vertu</v>
      </c>
      <c r="D12" t="str">
        <v>1er juillet</v>
      </c>
    </row>
    <row r="14">
      <c r="A14" t="str">
        <v>visit</v>
      </c>
      <c r="B14" t="str">
        <v>Intermarche RDP</v>
      </c>
      <c r="C14" t="str">
        <v>Franko</v>
      </c>
    </row>
    <row r="15">
      <c r="A15" t="str">
        <v>email</v>
      </c>
      <c r="B15" t="str">
        <v>mayrand</v>
      </c>
      <c r="D15" t="str">
        <v xml:space="preserve">head office - 3 stores </v>
      </c>
      <c r="G15" t="str">
        <v xml:space="preserve">Anjo </v>
      </c>
    </row>
    <row r="16">
      <c r="B16" t="str">
        <v xml:space="preserve">Adonis </v>
      </c>
      <c r="D16" t="str">
        <v>HO</v>
      </c>
      <c r="G16" t="str">
        <v>laval</v>
      </c>
    </row>
    <row r="17">
      <c r="B17" t="str">
        <v xml:space="preserve">provigo </v>
      </c>
      <c r="D17" t="str">
        <v>go to that address or ask about head office in Provigo sbaihi</v>
      </c>
      <c r="G17" t="str">
        <v>400 Sainte Croix Ave, Saint-Laurent, QC H4N 3K4</v>
      </c>
    </row>
    <row r="19">
      <c r="B19" t="str">
        <v>fruiterie forcier 12 jarry</v>
      </c>
      <c r="C19" t="str">
        <v>sami</v>
      </c>
      <c r="E19" t="str">
        <v>dans deux semaines 25 juillet</v>
      </c>
    </row>
    <row r="21">
      <c r="B21" t="str">
        <v>marche richilieu</v>
      </c>
      <c r="D21" t="str">
        <v>debut septembre un mercredi</v>
      </c>
      <c r="G21" t="str">
        <v>rue saint denis</v>
      </c>
    </row>
    <row r="23">
      <c r="A23" t="str">
        <v>appel bureau numero sure le web</v>
      </c>
      <c r="B23" t="str">
        <v>Fruiterie 440</v>
      </c>
    </row>
    <row r="24">
      <c r="B24" t="str">
        <v>marche ariya</v>
      </c>
      <c r="D24" t="str">
        <v xml:space="preserve">mois du septembre </v>
      </c>
    </row>
    <row r="25">
      <c r="A25" t="str">
        <v xml:space="preserve">visit or call on Thursday </v>
      </c>
      <c r="B25" t="str">
        <v>United Fish &amp; Meat</v>
      </c>
      <c r="G25" t="str">
        <v>6575 Bd des Grandes-Prairies, Saint-Léonard, QC H1P 3G8</v>
      </c>
    </row>
    <row r="26">
      <c r="A26" t="str">
        <v>talk to Marco</v>
      </c>
      <c r="B26" t="str">
        <v>intermarché RDP</v>
      </c>
    </row>
    <row r="27">
      <c r="A27" t="str">
        <v>karmin</v>
      </c>
      <c r="B27" t="str">
        <v>kitchen 73</v>
      </c>
    </row>
    <row r="28">
      <c r="A28" t="str">
        <v>Hassan and nader</v>
      </c>
      <c r="B28" t="str">
        <v xml:space="preserve">Sami fruit </v>
      </c>
    </row>
    <row r="29">
      <c r="B29" t="str">
        <v>vie en vert</v>
      </c>
      <c r="F29">
        <v>5148620404</v>
      </c>
    </row>
  </sheetData>
  <pageMargins left="0" right="0" top="0" bottom="0" header="0" footer="0"/>
  <ignoredErrors>
    <ignoredError numberStoredAsText="1" sqref="A1:G29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9"/>
  <sheetViews>
    <sheetView workbookViewId="0" rightToLeft="0"/>
  </sheetViews>
  <sheetData>
    <row r="1">
      <c r="B1" t="str">
        <v xml:space="preserve">1 litre </v>
      </c>
      <c r="C1" t="str">
        <v xml:space="preserve">3 litre </v>
      </c>
      <c r="D1" t="str">
        <v xml:space="preserve">adresse </v>
      </c>
    </row>
    <row r="2">
      <c r="A2" t="str">
        <v>nouri</v>
      </c>
      <c r="B2">
        <v>1</v>
      </c>
      <c r="C2">
        <v>1</v>
      </c>
    </row>
    <row r="3">
      <c r="A3" t="str">
        <v>afghani</v>
      </c>
      <c r="B3">
        <v>1</v>
      </c>
      <c r="C3">
        <v>1</v>
      </c>
    </row>
    <row r="4">
      <c r="A4" t="str">
        <v>bakar</v>
      </c>
      <c r="B4">
        <v>4</v>
      </c>
      <c r="C4">
        <v>2</v>
      </c>
    </row>
    <row r="5">
      <c r="A5" t="str">
        <v>tounsi</v>
      </c>
      <c r="B5">
        <v>1</v>
      </c>
      <c r="C5">
        <v>1</v>
      </c>
    </row>
    <row r="6">
      <c r="A6" t="str">
        <v>a la tunisienne</v>
      </c>
      <c r="B6">
        <v>1</v>
      </c>
      <c r="C6">
        <v>1</v>
      </c>
    </row>
    <row r="7">
      <c r="A7" t="str">
        <v>aicha new</v>
      </c>
      <c r="B7">
        <v>1</v>
      </c>
      <c r="C7">
        <v>1</v>
      </c>
    </row>
    <row r="8">
      <c r="A8" t="str">
        <v xml:space="preserve">espresso bar </v>
      </c>
      <c r="B8">
        <v>1</v>
      </c>
    </row>
    <row r="10">
      <c r="A10" t="str">
        <v>roi des noix</v>
      </c>
      <c r="C10">
        <v>1</v>
      </c>
      <c r="D10" t="str">
        <v>9050 Charles de la tour</v>
      </c>
    </row>
    <row r="11">
      <c r="A11" t="str">
        <v>bakar Jean talon</v>
      </c>
      <c r="B11">
        <v>1</v>
      </c>
    </row>
    <row r="12">
      <c r="A12" t="str">
        <v>bjanb bakar JT makhaar barri</v>
      </c>
      <c r="B12">
        <v>1</v>
      </c>
    </row>
    <row r="13">
      <c r="A13" t="str">
        <v>al chef boucherie et grillade</v>
      </c>
      <c r="B13">
        <v>1</v>
      </c>
    </row>
    <row r="14">
      <c r="A14" t="str">
        <v>euromarche Montreal nord</v>
      </c>
      <c r="B14">
        <v>1</v>
      </c>
    </row>
    <row r="16">
      <c r="A16" t="str">
        <v>atlas</v>
      </c>
      <c r="B16">
        <v>5</v>
      </c>
    </row>
    <row r="17">
      <c r="A17" t="str">
        <v>Olivier rkik</v>
      </c>
      <c r="B17">
        <v>3</v>
      </c>
      <c r="C17">
        <v>3</v>
      </c>
    </row>
    <row r="18">
      <c r="A18" t="str">
        <v>marche oasis tareq</v>
      </c>
      <c r="B18">
        <v>4</v>
      </c>
      <c r="C18">
        <v>1</v>
      </c>
    </row>
    <row r="19">
      <c r="A19" t="str">
        <v>tassili</v>
      </c>
      <c r="B19">
        <v>1</v>
      </c>
    </row>
    <row r="20">
      <c r="A20" t="str">
        <v>marché tradition</v>
      </c>
      <c r="B20">
        <v>4</v>
      </c>
      <c r="D20" t="str">
        <v>4805 Rue de Charleroi, Montréal-Nord, QC H1H 1V5</v>
      </c>
    </row>
    <row r="21">
      <c r="A21" t="str">
        <v>marche iman laurentien</v>
      </c>
      <c r="B21">
        <v>1</v>
      </c>
    </row>
    <row r="22">
      <c r="A22" t="str">
        <v>casa di toto lundi 16 June</v>
      </c>
      <c r="B22">
        <v>3</v>
      </c>
    </row>
    <row r="23">
      <c r="A23" t="str">
        <v xml:space="preserve">marche Bengal </v>
      </c>
      <c r="B23">
        <v>1</v>
      </c>
      <c r="C23">
        <v>1</v>
      </c>
    </row>
    <row r="25">
      <c r="A25" t="str">
        <v>Mexican store near anatolya 12.5</v>
      </c>
      <c r="B25">
        <v>1</v>
      </c>
    </row>
    <row r="26">
      <c r="A26" t="str">
        <v>tradition st andre 12.05</v>
      </c>
      <c r="B26">
        <v>10</v>
      </c>
      <c r="D26" t="str">
        <v>3795 St Andre St, Montreal, Quebec H2L 3V6</v>
      </c>
    </row>
    <row r="27">
      <c r="A27" t="str">
        <v>elmizan 12.1</v>
      </c>
      <c r="B27">
        <v>1</v>
      </c>
    </row>
    <row r="28">
      <c r="A28" t="str">
        <v>madni 12.5   / 34</v>
      </c>
      <c r="B28">
        <v>1</v>
      </c>
      <c r="C28">
        <v>1</v>
      </c>
    </row>
    <row r="29">
      <c r="A29" t="str">
        <v>rizwan 12.1 / 33.5</v>
      </c>
      <c r="B29">
        <v>2</v>
      </c>
      <c r="C29">
        <v>1</v>
      </c>
    </row>
    <row r="30">
      <c r="A30" t="str">
        <v>Marche anfa 11.05</v>
      </c>
      <c r="B30">
        <v>6</v>
      </c>
    </row>
    <row r="31">
      <c r="A31" t="str">
        <v>Marche hawai</v>
      </c>
      <c r="B31">
        <v>1</v>
      </c>
      <c r="C31">
        <v>1</v>
      </c>
    </row>
    <row r="32">
      <c r="A32" t="str">
        <v xml:space="preserve">Marche bamyan </v>
      </c>
      <c r="B32">
        <v>1</v>
      </c>
    </row>
    <row r="33">
      <c r="A33" t="str">
        <v>intermarché plumbo</v>
      </c>
      <c r="B33">
        <v>1</v>
      </c>
      <c r="D33" t="str">
        <v>3595 Blvd. de la Concorde E, Laval, QC H7E 2E1</v>
      </c>
    </row>
    <row r="34">
      <c r="A34" t="str">
        <v>Marché Thai-Hour on 26 june</v>
      </c>
      <c r="B34">
        <v>1</v>
      </c>
      <c r="D34" t="str">
        <v>7130 Saint Denis St, Montreal, Quebec H2S 2S4</v>
      </c>
    </row>
    <row r="35">
      <c r="A35" t="str">
        <v>walima plus le 26 juin</v>
      </c>
      <c r="B35">
        <v>4</v>
      </c>
      <c r="C35">
        <v>2</v>
      </c>
      <c r="D35" t="str">
        <v xml:space="preserve">Saint Leonard </v>
      </c>
    </row>
    <row r="36">
      <c r="A36" t="str">
        <v>Marche Kabul</v>
      </c>
      <c r="B36">
        <v>1</v>
      </c>
      <c r="C36">
        <v>1</v>
      </c>
    </row>
    <row r="37">
      <c r="A37" t="str">
        <v xml:space="preserve">Marche tradition </v>
      </c>
      <c r="B37">
        <v>0.5</v>
      </c>
      <c r="D37" t="str">
        <v>1200 Rue Beaubien E, Montréal, QC H2S 1T7</v>
      </c>
    </row>
    <row r="38">
      <c r="A38" t="str">
        <v>Marche anatolia 11.22</v>
      </c>
      <c r="B38">
        <v>3</v>
      </c>
    </row>
    <row r="39">
      <c r="A39" t="str">
        <v>Marche badr</v>
      </c>
      <c r="B39">
        <v>1</v>
      </c>
      <c r="C39">
        <v>1</v>
      </c>
    </row>
    <row r="40" xml:space="preserve">
      <c r="A40" t="str">
        <v>epicerie rs 12.5</v>
      </c>
      <c r="B40">
        <v>1</v>
      </c>
      <c r="D40" t="str" xml:space="preserve">
        <v xml:space="preserve">15400 Boul. de Pierrefonds, Pierrefonds - Roxboro, QC H9H 4K3_x000d_
_x000d_
</v>
      </c>
    </row>
    <row r="42">
      <c r="A42" t="str">
        <v>Fruit Nevada 12</v>
      </c>
      <c r="B42">
        <v>1</v>
      </c>
      <c r="D42" t="str">
        <v>15771 Pierrefonds Blvd., Pierrefonds-Roxboro, Quebec H9H 3X6</v>
      </c>
    </row>
    <row r="43">
      <c r="A43" t="str">
        <v>intermarché plumbo hamido 12</v>
      </c>
      <c r="B43">
        <v>4</v>
      </c>
      <c r="D43" t="str">
        <v>4957 Boul. Saint-Jean, Pierrefonds, QC H9H 2A9</v>
      </c>
    </row>
    <row r="44">
      <c r="A44" t="str">
        <v>5147816824 Tally</v>
      </c>
      <c r="C44">
        <v>1</v>
      </c>
      <c r="D44" t="str">
        <v>3800 st Martin west</v>
      </c>
    </row>
    <row r="46">
      <c r="A46" t="str">
        <v>marche malo hochelaga 12</v>
      </c>
      <c r="B46">
        <v>1</v>
      </c>
    </row>
    <row r="48">
      <c r="A48" t="str">
        <v xml:space="preserve">voisin du sugar Boba tea au perles reviens apres 1 mois 24 July </v>
      </c>
    </row>
    <row r="49">
      <c r="A49" t="str">
        <v>lachine boulangerie et marche picada 34 il va nous appeler ou bien follow up</v>
      </c>
    </row>
    <row r="50">
      <c r="A50" t="str">
        <v xml:space="preserve">marche chauhan arje3 end of July </v>
      </c>
    </row>
    <row r="53">
      <c r="A53" t="str">
        <v>Marche bon plan 12.5</v>
      </c>
      <c r="B53">
        <v>2</v>
      </c>
      <c r="D53" t="str">
        <v>3760 Rue Villeray, Montréal, QC H2A 1G4</v>
      </c>
    </row>
    <row r="54">
      <c r="A54" t="str">
        <v>Marche soummam 12.5</v>
      </c>
      <c r="B54">
        <v>1</v>
      </c>
      <c r="D54" t="str">
        <v>1848 Rue Jean-Talon E, Montréal, QC H2E 1T5</v>
      </c>
    </row>
    <row r="55">
      <c r="A55" t="str">
        <v>marche ehi 12.5</v>
      </c>
      <c r="B55">
        <v>1</v>
      </c>
    </row>
    <row r="56">
      <c r="A56" t="str">
        <v>boucherie Couraya 12.5</v>
      </c>
      <c r="B56">
        <v>2</v>
      </c>
    </row>
    <row r="57">
      <c r="A57" t="str">
        <v>marche Ikaze 12.5</v>
      </c>
      <c r="B57">
        <v>1</v>
      </c>
    </row>
    <row r="58">
      <c r="A58" t="str">
        <v>frutta si</v>
      </c>
      <c r="B58">
        <v>40</v>
      </c>
    </row>
    <row r="60">
      <c r="A60" t="str">
        <v>marche frais verdun 12.5 zak</v>
      </c>
    </row>
    <row r="61">
      <c r="A61" t="str">
        <v>fruiterie la cuiette 12.5</v>
      </c>
      <c r="B61">
        <v>3</v>
      </c>
      <c r="D61" t="str">
        <v>4701 Rue de Verdun, Montréal, QC H4G 1M9</v>
      </c>
    </row>
    <row r="62">
      <c r="A62" t="str">
        <v>Amira 11</v>
      </c>
      <c r="B62">
        <v>4</v>
      </c>
    </row>
    <row r="63">
      <c r="A63" t="str">
        <v>shang tai</v>
      </c>
      <c r="B63">
        <v>1</v>
      </c>
    </row>
    <row r="64">
      <c r="A64" t="str">
        <v>sabor latino</v>
      </c>
      <c r="B64">
        <v>1</v>
      </c>
      <c r="C64">
        <v>1</v>
      </c>
    </row>
    <row r="65">
      <c r="A65" t="str">
        <v>boulangerie le fournil ancestral 32</v>
      </c>
      <c r="C65">
        <v>2.5</v>
      </c>
    </row>
    <row r="66">
      <c r="A66" t="str">
        <v>fruiterie 12.5</v>
      </c>
      <c r="B66">
        <v>1</v>
      </c>
      <c r="D66" t="str">
        <v>6683 Rue de Marseille, Montréal, QC H1N 1M2</v>
      </c>
    </row>
    <row r="67">
      <c r="A67" t="str">
        <v>Épicerie Point de Rosée</v>
      </c>
      <c r="B67">
        <v>1</v>
      </c>
      <c r="D67" t="str">
        <v>4288 Rue Beaubien E, Montréal, QC H1T 3L6</v>
      </c>
    </row>
    <row r="68">
      <c r="A68" t="str">
        <v>cavaillaro 12.25</v>
      </c>
      <c r="B68">
        <v>1</v>
      </c>
    </row>
    <row r="71">
      <c r="A71" t="str">
        <v>fruiterie habibi 11</v>
      </c>
      <c r="B71">
        <v>2</v>
      </c>
    </row>
    <row r="72">
      <c r="A72" t="str">
        <v>intermarche palumbo concorde</v>
      </c>
      <c r="B72">
        <v>1</v>
      </c>
    </row>
    <row r="73">
      <c r="A73" t="str">
        <v>fruiterie natura beaubien zouz dbabes yjarreb bihom</v>
      </c>
    </row>
    <row r="75">
      <c r="D75" t="str">
        <v xml:space="preserve">Saint Laurent </v>
      </c>
    </row>
    <row r="76">
      <c r="A76" t="str">
        <v>sayed marche nilou 12 paid cash</v>
      </c>
      <c r="B76">
        <v>1</v>
      </c>
    </row>
    <row r="77">
      <c r="A77" t="str">
        <v>marche el nahrawi</v>
      </c>
      <c r="B77">
        <v>1</v>
      </c>
    </row>
    <row r="78">
      <c r="A78" t="str">
        <v>marche malika 12.5</v>
      </c>
      <c r="B78">
        <v>1</v>
      </c>
    </row>
    <row r="80">
      <c r="A80" t="str">
        <v>kim phat</v>
      </c>
      <c r="B80">
        <v>84</v>
      </c>
    </row>
    <row r="83">
      <c r="A83" t="str">
        <v>walima</v>
      </c>
      <c r="B83">
        <v>42</v>
      </c>
      <c r="C83">
        <v>2</v>
      </c>
    </row>
    <row r="85">
      <c r="A85" t="str">
        <v>Boulangerie Mira 12 paid cash</v>
      </c>
      <c r="B85">
        <v>1</v>
      </c>
      <c r="D85" t="str">
        <v>https://maps.app.goo.gl/FmnPrgJPvQGXW5tg9?g_st=ac</v>
      </c>
    </row>
    <row r="87">
      <c r="A87" t="str">
        <v xml:space="preserve">12.5 boucherie notre dame Patrice </v>
      </c>
      <c r="B87">
        <v>1</v>
      </c>
    </row>
    <row r="88">
      <c r="A88" t="str">
        <v>branche olive 12.5 et 34</v>
      </c>
      <c r="B88">
        <v>2</v>
      </c>
      <c r="C88">
        <v>1</v>
      </c>
    </row>
    <row r="91">
      <c r="A91" t="str">
        <v>3amar branche olive 11 et 30</v>
      </c>
      <c r="B91">
        <v>5</v>
      </c>
      <c r="C91">
        <v>5</v>
      </c>
    </row>
    <row r="92">
      <c r="A92" t="str">
        <v>o nature 11 et 30</v>
      </c>
      <c r="B92">
        <v>2</v>
      </c>
      <c r="C92">
        <v>2</v>
      </c>
    </row>
    <row r="94">
      <c r="A94" t="str">
        <v>vie en vert</v>
      </c>
      <c r="B94">
        <v>70</v>
      </c>
    </row>
    <row r="95">
      <c r="A95" t="str">
        <v xml:space="preserve">lagoria </v>
      </c>
      <c r="B95">
        <v>50</v>
      </c>
    </row>
    <row r="96">
      <c r="B96">
        <v>40</v>
      </c>
      <c r="C96">
        <v>40</v>
      </c>
    </row>
    <row r="99">
      <c r="A99" t="str">
        <v>Boulangerie Mira 12</v>
      </c>
      <c r="B99">
        <v>1</v>
      </c>
      <c r="D99" t="str">
        <v>https://maps.app.goo.gl/FmnPrgJPvQGXW5tg9?g_st=ac</v>
      </c>
    </row>
    <row r="101">
      <c r="A101" t="str">
        <v>sous les olivers 13/ 8</v>
      </c>
      <c r="C101">
        <v>6</v>
      </c>
    </row>
    <row r="103">
      <c r="A103" t="str">
        <v>sous les oliviers 18/08</v>
      </c>
      <c r="C103">
        <v>6</v>
      </c>
    </row>
    <row r="105">
      <c r="A105" t="str">
        <v>metro gauthier</v>
      </c>
      <c r="B105">
        <v>10</v>
      </c>
    </row>
    <row r="107">
      <c r="A107" t="str">
        <v>la belle terre</v>
      </c>
      <c r="B107">
        <v>10</v>
      </c>
      <c r="C107">
        <v>5</v>
      </c>
    </row>
    <row r="108">
      <c r="A108" t="str">
        <v>assalam</v>
      </c>
      <c r="B108">
        <v>2</v>
      </c>
    </row>
    <row r="109">
      <c r="A109" t="str">
        <v>marche tradition qc</v>
      </c>
      <c r="B109">
        <v>4</v>
      </c>
    </row>
  </sheetData>
  <hyperlinks>
    <hyperlink ref="D85" r:id="rId1"/>
    <hyperlink ref="D99" r:id="rId2"/>
  </hyperlinks>
  <pageMargins left="0" right="0" top="0" bottom="0" header="0" footer="0"/>
  <ignoredErrors>
    <ignoredError numberStoredAsText="1" sqref="A1:D10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I122"/>
  <sheetViews>
    <sheetView workbookViewId="0" rightToLeft="0"/>
  </sheetViews>
  <sheetData>
    <row r="1">
      <c r="A1" t="str">
        <v>date</v>
      </c>
      <c r="B1" t="str">
        <v>store</v>
      </c>
      <c r="C1" t="str">
        <v>salesman</v>
      </c>
      <c r="D1" t="str">
        <v>distributers</v>
      </c>
      <c r="E1" t="str">
        <v>particular</v>
      </c>
      <c r="F1" t="str">
        <v>EVOO 1 L</v>
      </c>
      <c r="G1" t="str">
        <v>EVOO 3 L</v>
      </c>
      <c r="H1" t="str">
        <v>description</v>
      </c>
      <c r="I1" t="str">
        <v>who pay</v>
      </c>
    </row>
    <row r="2">
      <c r="F2">
        <f>SUM(F3:F116)*12</f>
        <v>912</v>
      </c>
    </row>
    <row r="3">
      <c r="A3">
        <v>45805</v>
      </c>
      <c r="E3" t="str">
        <v>samir</v>
      </c>
      <c r="F3">
        <v>1</v>
      </c>
      <c r="H3" t="str">
        <v>khalil donne a samir</v>
      </c>
      <c r="I3" t="str">
        <v>khalil</v>
      </c>
    </row>
    <row r="4">
      <c r="A4">
        <v>45806</v>
      </c>
      <c r="D4" t="str">
        <v>Mark transport</v>
      </c>
      <c r="F4">
        <v>1</v>
      </c>
      <c r="I4" t="str">
        <v>TuniOlive</v>
      </c>
    </row>
    <row r="5">
      <c r="A5">
        <v>45806</v>
      </c>
      <c r="E5" t="str">
        <v>mark driver</v>
      </c>
      <c r="F5">
        <v>1</v>
      </c>
      <c r="I5" t="str">
        <v>khalil</v>
      </c>
    </row>
    <row r="6">
      <c r="A6">
        <v>45807</v>
      </c>
    </row>
    <row r="7">
      <c r="A7">
        <v>45808</v>
      </c>
      <c r="E7" t="str">
        <v>volvo</v>
      </c>
      <c r="F7">
        <v>1</v>
      </c>
      <c r="H7" t="str">
        <v>Khaled volvo</v>
      </c>
      <c r="I7" t="str">
        <v>khaled</v>
      </c>
    </row>
    <row r="8">
      <c r="A8">
        <v>45808</v>
      </c>
      <c r="E8" t="str">
        <v>taghrib</v>
      </c>
      <c r="F8">
        <v>1</v>
      </c>
      <c r="H8" t="str">
        <v>Khalil</v>
      </c>
      <c r="I8" t="str">
        <v>khalil</v>
      </c>
    </row>
    <row r="9">
      <c r="A9">
        <v>45809</v>
      </c>
      <c r="B9" t="str">
        <v>samia</v>
      </c>
      <c r="F9">
        <v>1</v>
      </c>
      <c r="I9" t="str">
        <v xml:space="preserve">TuniOlive </v>
      </c>
    </row>
    <row r="10">
      <c r="A10">
        <v>45810</v>
      </c>
    </row>
    <row r="11">
      <c r="A11">
        <v>45811</v>
      </c>
      <c r="B11" t="str">
        <v>Marche dataa</v>
      </c>
      <c r="F11">
        <v>1</v>
      </c>
      <c r="I11" t="str">
        <v xml:space="preserve">TuniOlive </v>
      </c>
    </row>
    <row r="12">
      <c r="A12">
        <v>45812</v>
      </c>
    </row>
    <row r="13">
      <c r="A13">
        <v>45813</v>
      </c>
      <c r="B13" t="str">
        <v xml:space="preserve">Casablanca </v>
      </c>
      <c r="F13">
        <v>1</v>
      </c>
      <c r="I13" t="str">
        <v xml:space="preserve">TuniOlive </v>
      </c>
    </row>
    <row r="14">
      <c r="A14">
        <v>45813</v>
      </c>
      <c r="E14" t="str">
        <v>houcem bakar</v>
      </c>
      <c r="F14">
        <v>1</v>
      </c>
      <c r="H14" t="str">
        <v>khalil</v>
      </c>
      <c r="I14" t="str">
        <v xml:space="preserve">khalil </v>
      </c>
    </row>
    <row r="15">
      <c r="A15">
        <v>45813</v>
      </c>
      <c r="B15" t="str">
        <v>marche a tunis</v>
      </c>
      <c r="E15" t="str">
        <v>hama tounsi</v>
      </c>
      <c r="F15">
        <v>1</v>
      </c>
      <c r="I15" t="str">
        <v>TuniOlive</v>
      </c>
    </row>
    <row r="16">
      <c r="A16">
        <v>45814</v>
      </c>
      <c r="D16" t="str">
        <v>Othman bouattour</v>
      </c>
      <c r="F16">
        <v>2</v>
      </c>
      <c r="I16" t="str">
        <v>TuniOlive</v>
      </c>
    </row>
    <row r="17">
      <c r="A17">
        <v>45815</v>
      </c>
      <c r="E17" t="str">
        <v>jar</v>
      </c>
      <c r="F17">
        <v>1</v>
      </c>
      <c r="H17" t="str">
        <v>Khaled e jara 3tatna makina gazon</v>
      </c>
      <c r="I17" t="str">
        <v xml:space="preserve">Khaled </v>
      </c>
    </row>
    <row r="18">
      <c r="A18">
        <v>45815</v>
      </c>
      <c r="B18" t="str">
        <v>bakar</v>
      </c>
      <c r="F18">
        <v>1</v>
      </c>
      <c r="H18" t="str">
        <v>comptable te3 bakar</v>
      </c>
      <c r="I18" t="str">
        <v xml:space="preserve">TuniOlive </v>
      </c>
    </row>
    <row r="19">
      <c r="A19">
        <v>45815</v>
      </c>
      <c r="B19" t="str">
        <v>intermarché lagoria</v>
      </c>
      <c r="F19">
        <v>1</v>
      </c>
      <c r="I19" t="str">
        <v xml:space="preserve">TuniOlive </v>
      </c>
    </row>
    <row r="20">
      <c r="A20">
        <v>45815</v>
      </c>
      <c r="B20" t="str">
        <v>espresso bar</v>
      </c>
      <c r="F20">
        <v>1</v>
      </c>
      <c r="I20" t="str">
        <v xml:space="preserve">TuniOlive </v>
      </c>
    </row>
    <row r="21">
      <c r="A21">
        <v>45815</v>
      </c>
      <c r="B21" t="str">
        <v>IGA</v>
      </c>
      <c r="F21">
        <v>1</v>
      </c>
      <c r="I21" t="str">
        <v xml:space="preserve">TuniOlive </v>
      </c>
    </row>
    <row r="22">
      <c r="A22">
        <v>45816</v>
      </c>
      <c r="B22" t="str">
        <v>Iranian taxi</v>
      </c>
      <c r="F22">
        <v>1</v>
      </c>
      <c r="I22" t="str">
        <v xml:space="preserve">Khaled </v>
      </c>
    </row>
    <row r="23">
      <c r="A23">
        <v>45817</v>
      </c>
      <c r="B23" t="str">
        <v>entrepot</v>
      </c>
      <c r="F23">
        <v>1</v>
      </c>
      <c r="I23" t="str">
        <v>TuniOlive</v>
      </c>
    </row>
    <row r="24">
      <c r="A24">
        <v>45818</v>
      </c>
      <c r="E24" t="str">
        <v xml:space="preserve">hanadi epilys </v>
      </c>
      <c r="F24">
        <v>1</v>
      </c>
      <c r="I24" t="str">
        <v xml:space="preserve">TuniOlive </v>
      </c>
    </row>
    <row r="25">
      <c r="A25">
        <v>45818</v>
      </c>
      <c r="E25" t="str">
        <v>vinsin euromarche</v>
      </c>
      <c r="F25">
        <v>1</v>
      </c>
      <c r="I25" t="str">
        <v xml:space="preserve">TuniOlive </v>
      </c>
    </row>
    <row r="26">
      <c r="A26">
        <v>45818</v>
      </c>
      <c r="B26" t="str">
        <v>pizza casa di toto</v>
      </c>
      <c r="F26">
        <v>1</v>
      </c>
      <c r="I26" t="str">
        <v xml:space="preserve">TuniOlive </v>
      </c>
    </row>
    <row r="27">
      <c r="A27">
        <v>45819</v>
      </c>
    </row>
    <row r="28">
      <c r="A28">
        <v>45820</v>
      </c>
      <c r="B28" t="str">
        <v>tassili Jean talon</v>
      </c>
      <c r="F28">
        <v>1</v>
      </c>
      <c r="I28" t="str">
        <v xml:space="preserve">TuniOlive </v>
      </c>
    </row>
    <row r="29">
      <c r="A29">
        <v>45820</v>
      </c>
      <c r="B29" t="str">
        <v>March olivier</v>
      </c>
      <c r="F29">
        <v>1</v>
      </c>
      <c r="I29" t="str">
        <v xml:space="preserve">TuniOlive </v>
      </c>
    </row>
    <row r="30">
      <c r="A30">
        <v>45821</v>
      </c>
      <c r="B30" t="str">
        <v>vaché bkr</v>
      </c>
      <c r="F30">
        <v>1</v>
      </c>
      <c r="I30" t="str">
        <v xml:space="preserve">TuniOlive </v>
      </c>
    </row>
    <row r="31">
      <c r="A31">
        <v>45822</v>
      </c>
      <c r="B31" t="str">
        <v>Marche tradition fadi</v>
      </c>
      <c r="F31">
        <v>1</v>
      </c>
      <c r="I31" t="str">
        <v xml:space="preserve">TuniOlive </v>
      </c>
    </row>
    <row r="32">
      <c r="A32">
        <v>45822</v>
      </c>
      <c r="B32" t="str">
        <v>tareq helles</v>
      </c>
      <c r="F32">
        <v>1</v>
      </c>
      <c r="I32" t="str">
        <v xml:space="preserve">TuniOlive </v>
      </c>
    </row>
    <row r="33">
      <c r="A33">
        <v>45822</v>
      </c>
      <c r="B33" t="str">
        <v>costca jar</v>
      </c>
      <c r="F33">
        <v>1</v>
      </c>
      <c r="I33" t="str">
        <v>khaled</v>
      </c>
    </row>
    <row r="34">
      <c r="A34">
        <v>45822</v>
      </c>
      <c r="B34" t="str">
        <v>machawi alchef</v>
      </c>
      <c r="F34">
        <v>1</v>
      </c>
      <c r="I34" t="str">
        <v xml:space="preserve">TuniOlive </v>
      </c>
    </row>
    <row r="35">
      <c r="A35">
        <v>45823</v>
      </c>
      <c r="B35" t="str">
        <v>walima plus</v>
      </c>
      <c r="F35">
        <v>1</v>
      </c>
      <c r="I35" t="str">
        <v xml:space="preserve">TuniOlive </v>
      </c>
    </row>
    <row r="36">
      <c r="A36">
        <v>45824</v>
      </c>
      <c r="B36" t="str">
        <v>kabul</v>
      </c>
      <c r="F36">
        <v>1</v>
      </c>
      <c r="I36" t="str">
        <v xml:space="preserve">TuniOlive </v>
      </c>
    </row>
    <row r="37">
      <c r="A37">
        <v>45825</v>
      </c>
    </row>
    <row r="38">
      <c r="A38">
        <v>45826</v>
      </c>
    </row>
    <row r="39">
      <c r="A39">
        <v>45827</v>
      </c>
    </row>
    <row r="40">
      <c r="A40">
        <v>45828</v>
      </c>
    </row>
    <row r="41">
      <c r="A41">
        <v>45829</v>
      </c>
      <c r="E41" t="str">
        <v>pedro</v>
      </c>
      <c r="F41">
        <v>1</v>
      </c>
      <c r="I41" t="str">
        <v>khalil</v>
      </c>
    </row>
    <row r="42">
      <c r="A42">
        <v>45829</v>
      </c>
      <c r="B42" t="str">
        <v xml:space="preserve">Kohinoor </v>
      </c>
      <c r="F42">
        <v>1</v>
      </c>
      <c r="I42" t="str">
        <v xml:space="preserve">TuniOlive </v>
      </c>
    </row>
    <row r="43">
      <c r="A43">
        <v>45829</v>
      </c>
      <c r="B43" t="str">
        <v>Marche al raji</v>
      </c>
      <c r="F43">
        <v>1</v>
      </c>
      <c r="I43" t="str">
        <v xml:space="preserve">TuniOlive </v>
      </c>
    </row>
    <row r="44">
      <c r="A44">
        <v>45830</v>
      </c>
    </row>
    <row r="45">
      <c r="A45">
        <v>45831</v>
      </c>
      <c r="D45" t="str">
        <v xml:space="preserve">Kohinoor </v>
      </c>
      <c r="F45">
        <v>1</v>
      </c>
      <c r="I45" t="str">
        <v xml:space="preserve">TuniOlive </v>
      </c>
    </row>
    <row r="46">
      <c r="A46">
        <v>45832</v>
      </c>
    </row>
    <row r="47">
      <c r="A47">
        <v>45833</v>
      </c>
    </row>
    <row r="48">
      <c r="A48">
        <v>45834</v>
      </c>
      <c r="B48" t="str">
        <v>formagerie yannick</v>
      </c>
      <c r="F48">
        <v>1</v>
      </c>
      <c r="I48" t="str">
        <v xml:space="preserve">TuniOlive </v>
      </c>
    </row>
    <row r="49">
      <c r="A49">
        <v>45835</v>
      </c>
      <c r="B49" t="str">
        <v>resto amir</v>
      </c>
      <c r="F49">
        <v>1</v>
      </c>
      <c r="I49" t="str">
        <v xml:space="preserve">TuniOlive </v>
      </c>
    </row>
    <row r="50">
      <c r="A50">
        <v>45835</v>
      </c>
      <c r="B50" t="str">
        <v>Marche casse croute</v>
      </c>
      <c r="F50">
        <v>1</v>
      </c>
      <c r="I50" t="str">
        <v xml:space="preserve">TuniOlive </v>
      </c>
    </row>
    <row r="51">
      <c r="A51">
        <v>45836</v>
      </c>
      <c r="E51" t="str">
        <v>body timgad</v>
      </c>
      <c r="F51">
        <v>1</v>
      </c>
      <c r="I51" t="str">
        <v xml:space="preserve">khalil </v>
      </c>
    </row>
    <row r="52">
      <c r="A52">
        <v>45836</v>
      </c>
      <c r="B52" t="str">
        <v>nuvo</v>
      </c>
      <c r="F52">
        <v>1</v>
      </c>
      <c r="I52" t="str">
        <v xml:space="preserve">TuniOlive </v>
      </c>
    </row>
    <row r="53">
      <c r="A53">
        <v>45836</v>
      </c>
      <c r="B53" t="str">
        <v>Épicerie Conserva</v>
      </c>
      <c r="F53">
        <v>1</v>
      </c>
      <c r="I53" t="str">
        <v xml:space="preserve">TuniOlive </v>
      </c>
    </row>
    <row r="54">
      <c r="A54">
        <v>45836</v>
      </c>
      <c r="B54" t="str">
        <v>le roi du taco</v>
      </c>
      <c r="F54">
        <v>1</v>
      </c>
      <c r="I54" t="str">
        <v xml:space="preserve">TuniOlive </v>
      </c>
    </row>
    <row r="55">
      <c r="A55">
        <v>45836</v>
      </c>
      <c r="B55" t="str">
        <v>fruiterie milano</v>
      </c>
      <c r="F55">
        <v>1</v>
      </c>
      <c r="I55" t="str">
        <v xml:space="preserve">TuniOlive </v>
      </c>
    </row>
    <row r="56">
      <c r="A56">
        <v>45836</v>
      </c>
      <c r="B56" t="str">
        <v>frutta si</v>
      </c>
      <c r="F56">
        <v>1</v>
      </c>
      <c r="I56" t="str">
        <v xml:space="preserve">TuniOlive </v>
      </c>
    </row>
    <row r="57">
      <c r="A57">
        <v>45836</v>
      </c>
      <c r="B57" t="str">
        <v>marche ehi</v>
      </c>
      <c r="F57">
        <v>2</v>
      </c>
      <c r="I57" t="str">
        <v xml:space="preserve">TuniOlive </v>
      </c>
    </row>
    <row r="58">
      <c r="A58">
        <v>45837</v>
      </c>
    </row>
    <row r="59">
      <c r="A59">
        <v>45838</v>
      </c>
      <c r="B59" t="str">
        <v>Kim phat</v>
      </c>
      <c r="F59">
        <v>1</v>
      </c>
      <c r="I59" t="str">
        <v xml:space="preserve">TuniOlive </v>
      </c>
    </row>
    <row r="60">
      <c r="A60">
        <v>45838</v>
      </c>
      <c r="B60" t="str">
        <v>IGA barcelo</v>
      </c>
      <c r="F60">
        <v>1</v>
      </c>
      <c r="I60" t="str">
        <v xml:space="preserve">TuniOlive </v>
      </c>
    </row>
    <row r="61">
      <c r="A61">
        <v>45838</v>
      </c>
      <c r="B61" t="str">
        <v>Amira</v>
      </c>
      <c r="F61">
        <v>1</v>
      </c>
      <c r="I61" t="str">
        <v xml:space="preserve">TuniOlive </v>
      </c>
    </row>
    <row r="62">
      <c r="A62">
        <v>45839</v>
      </c>
      <c r="B62" t="str">
        <v>frutta si</v>
      </c>
      <c r="F62">
        <v>1</v>
      </c>
      <c r="I62" t="str">
        <v xml:space="preserve">TuniOlive </v>
      </c>
    </row>
    <row r="63">
      <c r="A63">
        <v>45840</v>
      </c>
    </row>
    <row r="64">
      <c r="A64">
        <v>45841</v>
      </c>
    </row>
    <row r="65">
      <c r="A65">
        <v>45842</v>
      </c>
    </row>
    <row r="66">
      <c r="A66">
        <v>45843</v>
      </c>
      <c r="E66" t="str">
        <v>nouredine 5juilet</v>
      </c>
      <c r="F66">
        <v>1</v>
      </c>
      <c r="I66" t="str">
        <v>khalil</v>
      </c>
    </row>
    <row r="67">
      <c r="A67">
        <v>45843</v>
      </c>
      <c r="B67" t="str">
        <v>IGA Marché Tellier Beaubien inc. Richard responsable</v>
      </c>
      <c r="F67">
        <v>1</v>
      </c>
      <c r="I67" t="str">
        <v>khalil</v>
      </c>
    </row>
    <row r="68">
      <c r="A68">
        <v>45843</v>
      </c>
      <c r="E68" t="str">
        <v>tounsi produit de Sante 100 naturele</v>
      </c>
      <c r="F68">
        <v>1</v>
      </c>
      <c r="I68" t="str">
        <v>khalil</v>
      </c>
    </row>
    <row r="69">
      <c r="A69">
        <v>45846</v>
      </c>
      <c r="B69" t="str">
        <v>provigo</v>
      </c>
      <c r="F69">
        <v>1</v>
      </c>
      <c r="I69" t="str">
        <v xml:space="preserve">TuniOlive </v>
      </c>
    </row>
    <row r="70">
      <c r="A70">
        <v>45847</v>
      </c>
      <c r="B70" t="str">
        <v>lasenza</v>
      </c>
      <c r="C70" t="str">
        <v>belanger</v>
      </c>
      <c r="F70">
        <v>1</v>
      </c>
      <c r="I70" t="str">
        <v xml:space="preserve">TuniOlive </v>
      </c>
    </row>
    <row r="71">
      <c r="A71">
        <v>45848</v>
      </c>
      <c r="B71" t="str">
        <v>palimbo concorde</v>
      </c>
      <c r="F71">
        <v>1</v>
      </c>
      <c r="I71" t="str">
        <v xml:space="preserve">TuniOlive </v>
      </c>
    </row>
    <row r="72">
      <c r="A72">
        <v>45850</v>
      </c>
      <c r="B72" t="str">
        <v xml:space="preserve">centre de viande </v>
      </c>
      <c r="F72">
        <v>1</v>
      </c>
      <c r="I72" t="str">
        <v xml:space="preserve">TuniOlive </v>
      </c>
    </row>
    <row r="73">
      <c r="A73">
        <v>45850</v>
      </c>
      <c r="B73" t="str">
        <v>kitchen 73</v>
      </c>
      <c r="F73">
        <v>4</v>
      </c>
      <c r="I73" t="str">
        <v xml:space="preserve">TuniOlive </v>
      </c>
    </row>
    <row r="74">
      <c r="A74">
        <v>45850</v>
      </c>
      <c r="B74" t="str">
        <v>intermarché rdp</v>
      </c>
      <c r="F74">
        <v>1</v>
      </c>
      <c r="I74" t="str">
        <v xml:space="preserve">TuniOlive </v>
      </c>
    </row>
    <row r="75">
      <c r="A75">
        <v>45851</v>
      </c>
      <c r="B75" t="str">
        <v>United meat and fish</v>
      </c>
      <c r="F75">
        <v>1</v>
      </c>
      <c r="I75" t="str">
        <v xml:space="preserve">TuniOlive </v>
      </c>
    </row>
    <row r="76">
      <c r="A76">
        <v>45851</v>
      </c>
      <c r="B76" t="str">
        <v xml:space="preserve">intermarché RDP </v>
      </c>
      <c r="E76" t="str">
        <v>worker</v>
      </c>
      <c r="F76">
        <v>1</v>
      </c>
      <c r="I76" t="str">
        <v>khalil</v>
      </c>
    </row>
    <row r="77">
      <c r="A77">
        <v>45852</v>
      </c>
    </row>
    <row r="78">
      <c r="A78">
        <v>45853</v>
      </c>
      <c r="B78" t="str">
        <v>Walma plus</v>
      </c>
      <c r="E78" t="str">
        <v>worker yasser</v>
      </c>
      <c r="F78">
        <v>1</v>
      </c>
      <c r="I78" t="str">
        <v>khaled</v>
      </c>
    </row>
    <row r="79">
      <c r="A79">
        <v>45854</v>
      </c>
    </row>
    <row r="80">
      <c r="A80">
        <v>45855</v>
      </c>
    </row>
    <row r="81">
      <c r="A81">
        <v>45856</v>
      </c>
      <c r="B81" t="str">
        <v>intermarché rdp</v>
      </c>
      <c r="F81">
        <v>1</v>
      </c>
      <c r="I81" t="str">
        <v xml:space="preserve">TuniOlive </v>
      </c>
    </row>
    <row r="82">
      <c r="A82">
        <v>45857</v>
      </c>
      <c r="B82" t="str">
        <v>lasenza</v>
      </c>
      <c r="D82" t="str">
        <v>dom brother mike</v>
      </c>
      <c r="F82">
        <v>1</v>
      </c>
      <c r="I82" t="str">
        <v xml:space="preserve">TuniOlive </v>
      </c>
    </row>
    <row r="83">
      <c r="A83">
        <v>45858</v>
      </c>
    </row>
    <row r="84">
      <c r="A84">
        <v>45859</v>
      </c>
    </row>
    <row r="85">
      <c r="A85">
        <v>45860</v>
      </c>
    </row>
    <row r="86">
      <c r="A86">
        <v>45861</v>
      </c>
    </row>
    <row r="87">
      <c r="A87">
        <v>45862</v>
      </c>
    </row>
    <row r="88">
      <c r="A88">
        <v>45863</v>
      </c>
    </row>
    <row r="89">
      <c r="A89">
        <v>45857</v>
      </c>
      <c r="B89" t="str">
        <v>boulangerie mira</v>
      </c>
      <c r="F89">
        <v>1</v>
      </c>
    </row>
    <row r="90">
      <c r="A90">
        <v>45857</v>
      </c>
      <c r="B90" t="str">
        <v>yavn</v>
      </c>
      <c r="F90">
        <v>1</v>
      </c>
    </row>
    <row r="91">
      <c r="A91">
        <v>45857</v>
      </c>
      <c r="B91" t="str">
        <v>sous les olives</v>
      </c>
      <c r="F91">
        <v>1</v>
      </c>
    </row>
    <row r="92">
      <c r="F92">
        <v>2</v>
      </c>
    </row>
    <row r="93">
      <c r="D93" t="str">
        <v>am karim</v>
      </c>
      <c r="G93">
        <v>3</v>
      </c>
      <c r="I93" t="str">
        <v xml:space="preserve">khalil </v>
      </c>
    </row>
    <row r="96">
      <c r="A96">
        <v>45864</v>
      </c>
      <c r="B96" t="str">
        <v>boucherie notre dame</v>
      </c>
      <c r="F96">
        <v>1</v>
      </c>
      <c r="I96" t="str">
        <v xml:space="preserve">TuniOlive </v>
      </c>
    </row>
    <row r="97">
      <c r="A97">
        <v>45865</v>
      </c>
    </row>
    <row r="98">
      <c r="A98">
        <v>45866</v>
      </c>
    </row>
    <row r="99">
      <c r="A99">
        <v>45867</v>
      </c>
    </row>
    <row r="100">
      <c r="A100">
        <v>45868</v>
      </c>
    </row>
    <row r="101">
      <c r="A101">
        <v>45869</v>
      </c>
    </row>
    <row r="102">
      <c r="A102">
        <v>45870</v>
      </c>
      <c r="B102" t="str">
        <v>o nature mont royal</v>
      </c>
      <c r="F102">
        <v>1</v>
      </c>
      <c r="I102" t="str">
        <v xml:space="preserve">TuniOlive </v>
      </c>
    </row>
    <row r="103">
      <c r="A103">
        <v>45871</v>
      </c>
      <c r="B103" t="str">
        <v>branche olive verdun</v>
      </c>
      <c r="F103">
        <v>1</v>
      </c>
      <c r="I103" t="str">
        <v xml:space="preserve">TuniOlive </v>
      </c>
    </row>
    <row r="104">
      <c r="A104">
        <v>45872</v>
      </c>
    </row>
    <row r="105">
      <c r="A105">
        <v>45873</v>
      </c>
    </row>
    <row r="106">
      <c r="A106">
        <v>45874</v>
      </c>
    </row>
    <row r="107">
      <c r="A107">
        <v>45875</v>
      </c>
    </row>
    <row r="108">
      <c r="A108">
        <v>45876</v>
      </c>
    </row>
    <row r="109">
      <c r="A109">
        <v>45877</v>
      </c>
    </row>
    <row r="110">
      <c r="A110">
        <v>45878</v>
      </c>
    </row>
    <row r="111">
      <c r="A111">
        <v>45879</v>
      </c>
      <c r="B111" t="str">
        <v xml:space="preserve">3ira9i st Hubert </v>
      </c>
      <c r="F111">
        <v>1</v>
      </c>
      <c r="I111" t="str">
        <v xml:space="preserve">TuniOlive </v>
      </c>
    </row>
    <row r="112">
      <c r="A112">
        <v>45880</v>
      </c>
    </row>
    <row r="113">
      <c r="A113">
        <v>45881</v>
      </c>
    </row>
    <row r="114">
      <c r="A114">
        <v>45882</v>
      </c>
    </row>
    <row r="115">
      <c r="A115">
        <v>45883</v>
      </c>
    </row>
    <row r="117">
      <c r="B117" t="str">
        <v>fruiterie natura</v>
      </c>
      <c r="F117">
        <v>1</v>
      </c>
    </row>
    <row r="121">
      <c r="A121" t="str">
        <v xml:space="preserve">Hama </v>
      </c>
      <c r="B121" t="str">
        <v>3 carton de 1 litre</v>
      </c>
      <c r="C121" t="str">
        <v xml:space="preserve">Costco </v>
      </c>
    </row>
    <row r="122">
      <c r="B122" t="str">
        <v>1 carton de 1 litre</v>
      </c>
      <c r="C122" t="str">
        <v xml:space="preserve">Tommy Costco </v>
      </c>
    </row>
  </sheetData>
  <pageMargins left="0" right="0" top="0" bottom="0" header="0" footer="0"/>
  <ignoredErrors>
    <ignoredError numberStoredAsText="1" sqref="A1:I12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Expence</vt:lpstr>
      <vt:lpstr>cost</vt:lpstr>
      <vt:lpstr>sales</vt:lpstr>
      <vt:lpstr>sales-invoices</vt:lpstr>
      <vt:lpstr>Adress book</vt:lpstr>
      <vt:lpstr>follow up </vt:lpstr>
      <vt:lpstr>orders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2025-09-20T00:55:52Z</dcterms:created>
  <dcterms:modified xsi:type="dcterms:W3CDTF">2025-09-20T00:55:52Z</dcterms:modified>
</cp:coreProperties>
</file>