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jupyter/kureselenerjimodeli/"/>
    </mc:Choice>
  </mc:AlternateContent>
  <xr:revisionPtr revIDLastSave="0" documentId="13_ncr:1_{547501FA-70B6-CC4B-897A-E4942C4D20CF}" xr6:coauthVersionLast="47" xr6:coauthVersionMax="47" xr10:uidLastSave="{00000000-0000-0000-0000-000000000000}"/>
  <bookViews>
    <workbookView xWindow="0" yWindow="560" windowWidth="38400" windowHeight="22380" xr2:uid="{32C44C2E-3F49-9B45-9B67-E349BCCC1E7B}"/>
  </bookViews>
  <sheets>
    <sheet name="ana" sheetId="7" r:id="rId1"/>
    <sheet name="english" sheetId="9" r:id="rId2"/>
    <sheet name="model" sheetId="1" r:id="rId3"/>
    <sheet name="primary" sheetId="6" r:id="rId4"/>
    <sheet name="petrol" sheetId="3" r:id="rId5"/>
    <sheet name="elect_ren" sheetId="4" r:id="rId6"/>
    <sheet name="elect_fossil" sheetId="5" r:id="rId7"/>
    <sheet name="elektrikliarabala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2" i="9" l="1"/>
  <c r="B93" i="9"/>
  <c r="B94" i="9"/>
  <c r="B95" i="9"/>
  <c r="B91" i="9"/>
  <c r="J87" i="9"/>
  <c r="I87" i="9"/>
  <c r="M86" i="9"/>
  <c r="L86" i="9"/>
  <c r="E86" i="9"/>
  <c r="D86" i="9"/>
  <c r="H85" i="9"/>
  <c r="G85" i="9"/>
  <c r="K84" i="9"/>
  <c r="J84" i="9"/>
  <c r="N83" i="9"/>
  <c r="M83" i="9"/>
  <c r="F83" i="9"/>
  <c r="E83" i="9"/>
  <c r="E81" i="9"/>
  <c r="F81" i="9" s="1"/>
  <c r="G81" i="9" s="1"/>
  <c r="H81" i="9" s="1"/>
  <c r="I81" i="9" s="1"/>
  <c r="J81" i="9" s="1"/>
  <c r="K81" i="9" s="1"/>
  <c r="L81" i="9" s="1"/>
  <c r="M81" i="9" s="1"/>
  <c r="N81" i="9" s="1"/>
  <c r="N78" i="9"/>
  <c r="M78" i="9"/>
  <c r="F78" i="9"/>
  <c r="E78" i="9"/>
  <c r="H77" i="9"/>
  <c r="L76" i="9"/>
  <c r="K76" i="9"/>
  <c r="D76" i="9"/>
  <c r="N75" i="9"/>
  <c r="G75" i="9"/>
  <c r="F75" i="9"/>
  <c r="M73" i="9"/>
  <c r="L73" i="9"/>
  <c r="E73" i="9"/>
  <c r="D73" i="9"/>
  <c r="H72" i="9"/>
  <c r="G72" i="9"/>
  <c r="K71" i="9"/>
  <c r="J71" i="9"/>
  <c r="E70" i="9"/>
  <c r="F70" i="9" s="1"/>
  <c r="G70" i="9" s="1"/>
  <c r="H70" i="9" s="1"/>
  <c r="I70" i="9" s="1"/>
  <c r="J70" i="9" s="1"/>
  <c r="K70" i="9" s="1"/>
  <c r="L70" i="9" s="1"/>
  <c r="M70" i="9" s="1"/>
  <c r="N70" i="9" s="1"/>
  <c r="I67" i="9"/>
  <c r="H67" i="9"/>
  <c r="G67" i="9"/>
  <c r="K66" i="9"/>
  <c r="J66" i="9"/>
  <c r="N65" i="9"/>
  <c r="M65" i="9"/>
  <c r="G65" i="9"/>
  <c r="F65" i="9"/>
  <c r="E65" i="9"/>
  <c r="I64" i="9"/>
  <c r="H64" i="9"/>
  <c r="K63" i="9"/>
  <c r="F62" i="9"/>
  <c r="G62" i="9" s="1"/>
  <c r="H62" i="9" s="1"/>
  <c r="I62" i="9" s="1"/>
  <c r="J62" i="9" s="1"/>
  <c r="K62" i="9" s="1"/>
  <c r="L62" i="9" s="1"/>
  <c r="M62" i="9" s="1"/>
  <c r="N62" i="9" s="1"/>
  <c r="E62" i="9"/>
  <c r="N58" i="9"/>
  <c r="M58" i="9"/>
  <c r="L58" i="9"/>
  <c r="K58" i="9"/>
  <c r="J58" i="9"/>
  <c r="I58" i="9"/>
  <c r="H58" i="9"/>
  <c r="G58" i="9"/>
  <c r="F58" i="9"/>
  <c r="E58" i="9"/>
  <c r="D58" i="9"/>
  <c r="N57" i="9"/>
  <c r="M57" i="9"/>
  <c r="L57" i="9"/>
  <c r="K57" i="9"/>
  <c r="J57" i="9"/>
  <c r="I57" i="9"/>
  <c r="H57" i="9"/>
  <c r="G57" i="9"/>
  <c r="F57" i="9"/>
  <c r="E57" i="9"/>
  <c r="D57" i="9"/>
  <c r="N56" i="9"/>
  <c r="M56" i="9"/>
  <c r="L56" i="9"/>
  <c r="K56" i="9"/>
  <c r="J56" i="9"/>
  <c r="I56" i="9"/>
  <c r="H56" i="9"/>
  <c r="G56" i="9"/>
  <c r="F56" i="9"/>
  <c r="E56" i="9"/>
  <c r="D56" i="9"/>
  <c r="N55" i="9"/>
  <c r="M55" i="9"/>
  <c r="L55" i="9"/>
  <c r="K55" i="9"/>
  <c r="J55" i="9"/>
  <c r="I55" i="9"/>
  <c r="H55" i="9"/>
  <c r="G55" i="9"/>
  <c r="F55" i="9"/>
  <c r="E55" i="9"/>
  <c r="D55" i="9"/>
  <c r="N54" i="9"/>
  <c r="M54" i="9"/>
  <c r="L54" i="9"/>
  <c r="K54" i="9"/>
  <c r="J54" i="9"/>
  <c r="I54" i="9"/>
  <c r="H54" i="9"/>
  <c r="G54" i="9"/>
  <c r="F54" i="9"/>
  <c r="E54" i="9"/>
  <c r="D54" i="9"/>
  <c r="N53" i="9"/>
  <c r="M53" i="9"/>
  <c r="L53" i="9"/>
  <c r="K53" i="9"/>
  <c r="J53" i="9"/>
  <c r="I53" i="9"/>
  <c r="H53" i="9"/>
  <c r="G53" i="9"/>
  <c r="F53" i="9"/>
  <c r="E53" i="9"/>
  <c r="D53" i="9"/>
  <c r="N52" i="9"/>
  <c r="M52" i="9"/>
  <c r="L52" i="9"/>
  <c r="K52" i="9"/>
  <c r="J52" i="9"/>
  <c r="I52" i="9"/>
  <c r="H52" i="9"/>
  <c r="G52" i="9"/>
  <c r="F52" i="9"/>
  <c r="E52" i="9"/>
  <c r="D52" i="9"/>
  <c r="E51" i="9"/>
  <c r="F51" i="9" s="1"/>
  <c r="G51" i="9" s="1"/>
  <c r="H51" i="9" s="1"/>
  <c r="I51" i="9" s="1"/>
  <c r="J51" i="9" s="1"/>
  <c r="K51" i="9" s="1"/>
  <c r="L51" i="9" s="1"/>
  <c r="M51" i="9" s="1"/>
  <c r="N51" i="9" s="1"/>
  <c r="D51" i="9"/>
  <c r="F50" i="9"/>
  <c r="G50" i="9" s="1"/>
  <c r="H50" i="9" s="1"/>
  <c r="I50" i="9" s="1"/>
  <c r="J50" i="9" s="1"/>
  <c r="K50" i="9" s="1"/>
  <c r="L50" i="9" s="1"/>
  <c r="M50" i="9" s="1"/>
  <c r="N50" i="9" s="1"/>
  <c r="E50" i="9"/>
  <c r="N47" i="9"/>
  <c r="M47" i="9"/>
  <c r="L47" i="9"/>
  <c r="K47" i="9"/>
  <c r="J47" i="9"/>
  <c r="I47" i="9"/>
  <c r="H47" i="9"/>
  <c r="G47" i="9"/>
  <c r="F47" i="9"/>
  <c r="E47" i="9"/>
  <c r="D47" i="9"/>
  <c r="N46" i="9"/>
  <c r="M46" i="9"/>
  <c r="L46" i="9"/>
  <c r="K46" i="9"/>
  <c r="J46" i="9"/>
  <c r="I46" i="9"/>
  <c r="H46" i="9"/>
  <c r="G46" i="9"/>
  <c r="F46" i="9"/>
  <c r="E46" i="9"/>
  <c r="D46" i="9"/>
  <c r="N45" i="9"/>
  <c r="M45" i="9"/>
  <c r="L45" i="9"/>
  <c r="K45" i="9"/>
  <c r="J45" i="9"/>
  <c r="I45" i="9"/>
  <c r="H45" i="9"/>
  <c r="G45" i="9"/>
  <c r="F45" i="9"/>
  <c r="E45" i="9"/>
  <c r="D45" i="9"/>
  <c r="N44" i="9"/>
  <c r="M44" i="9"/>
  <c r="L44" i="9"/>
  <c r="K44" i="9"/>
  <c r="J44" i="9"/>
  <c r="I44" i="9"/>
  <c r="H44" i="9"/>
  <c r="G44" i="9"/>
  <c r="F44" i="9"/>
  <c r="E44" i="9"/>
  <c r="D44" i="9"/>
  <c r="N43" i="9"/>
  <c r="M43" i="9"/>
  <c r="L43" i="9"/>
  <c r="K43" i="9"/>
  <c r="J43" i="9"/>
  <c r="I43" i="9"/>
  <c r="H43" i="9"/>
  <c r="G43" i="9"/>
  <c r="F43" i="9"/>
  <c r="E43" i="9"/>
  <c r="D43" i="9"/>
  <c r="N42" i="9"/>
  <c r="M42" i="9"/>
  <c r="L42" i="9"/>
  <c r="K42" i="9"/>
  <c r="J42" i="9"/>
  <c r="I42" i="9"/>
  <c r="H42" i="9"/>
  <c r="G42" i="9"/>
  <c r="F42" i="9"/>
  <c r="E42" i="9"/>
  <c r="D42" i="9"/>
  <c r="E41" i="9"/>
  <c r="F41" i="9" s="1"/>
  <c r="G41" i="9" s="1"/>
  <c r="H41" i="9" s="1"/>
  <c r="I41" i="9" s="1"/>
  <c r="J41" i="9" s="1"/>
  <c r="K41" i="9" s="1"/>
  <c r="L41" i="9" s="1"/>
  <c r="M41" i="9" s="1"/>
  <c r="N41" i="9" s="1"/>
  <c r="N38" i="9"/>
  <c r="M38" i="9"/>
  <c r="L38" i="9"/>
  <c r="K38" i="9"/>
  <c r="J38" i="9"/>
  <c r="I38" i="9"/>
  <c r="H38" i="9"/>
  <c r="G38" i="9"/>
  <c r="F38" i="9"/>
  <c r="E38" i="9"/>
  <c r="D38" i="9"/>
  <c r="N37" i="9"/>
  <c r="M37" i="9"/>
  <c r="L37" i="9"/>
  <c r="K37" i="9"/>
  <c r="J37" i="9"/>
  <c r="I37" i="9"/>
  <c r="H37" i="9"/>
  <c r="G37" i="9"/>
  <c r="F37" i="9"/>
  <c r="E37" i="9"/>
  <c r="D37" i="9"/>
  <c r="E36" i="9"/>
  <c r="F36" i="9" s="1"/>
  <c r="G36" i="9" s="1"/>
  <c r="H36" i="9" s="1"/>
  <c r="I36" i="9" s="1"/>
  <c r="J36" i="9" s="1"/>
  <c r="K36" i="9" s="1"/>
  <c r="L36" i="9" s="1"/>
  <c r="M36" i="9" s="1"/>
  <c r="N36" i="9" s="1"/>
  <c r="N34" i="9"/>
  <c r="M34" i="9"/>
  <c r="L34" i="9"/>
  <c r="K34" i="9"/>
  <c r="J34" i="9"/>
  <c r="I34" i="9"/>
  <c r="H34" i="9"/>
  <c r="G34" i="9"/>
  <c r="F34" i="9"/>
  <c r="E34" i="9"/>
  <c r="D34" i="9"/>
  <c r="N33" i="9"/>
  <c r="M33" i="9"/>
  <c r="L33" i="9"/>
  <c r="K33" i="9"/>
  <c r="J33" i="9"/>
  <c r="I33" i="9"/>
  <c r="H33" i="9"/>
  <c r="G33" i="9"/>
  <c r="F33" i="9"/>
  <c r="E33" i="9"/>
  <c r="D33" i="9"/>
  <c r="N32" i="9"/>
  <c r="M32" i="9"/>
  <c r="L32" i="9"/>
  <c r="K32" i="9"/>
  <c r="J32" i="9"/>
  <c r="I32" i="9"/>
  <c r="H32" i="9"/>
  <c r="G32" i="9"/>
  <c r="F32" i="9"/>
  <c r="E32" i="9"/>
  <c r="D32" i="9"/>
  <c r="N31" i="9"/>
  <c r="M31" i="9"/>
  <c r="L31" i="9"/>
  <c r="K31" i="9"/>
  <c r="J31" i="9"/>
  <c r="I31" i="9"/>
  <c r="H31" i="9"/>
  <c r="G31" i="9"/>
  <c r="F31" i="9"/>
  <c r="E31" i="9"/>
  <c r="D31" i="9"/>
  <c r="N30" i="9"/>
  <c r="M30" i="9"/>
  <c r="L30" i="9"/>
  <c r="K30" i="9"/>
  <c r="J30" i="9"/>
  <c r="I30" i="9"/>
  <c r="H30" i="9"/>
  <c r="G30" i="9"/>
  <c r="F30" i="9"/>
  <c r="E30" i="9"/>
  <c r="D30" i="9"/>
  <c r="N29" i="9"/>
  <c r="M29" i="9"/>
  <c r="L29" i="9"/>
  <c r="K29" i="9"/>
  <c r="J29" i="9"/>
  <c r="I29" i="9"/>
  <c r="H29" i="9"/>
  <c r="G29" i="9"/>
  <c r="F29" i="9"/>
  <c r="E29" i="9"/>
  <c r="D29" i="9"/>
  <c r="N28" i="9"/>
  <c r="M28" i="9"/>
  <c r="L28" i="9"/>
  <c r="K28" i="9"/>
  <c r="J28" i="9"/>
  <c r="I28" i="9"/>
  <c r="H28" i="9"/>
  <c r="G28" i="9"/>
  <c r="F28" i="9"/>
  <c r="E28" i="9"/>
  <c r="D28" i="9"/>
  <c r="E27" i="9"/>
  <c r="F27" i="9" s="1"/>
  <c r="G27" i="9" s="1"/>
  <c r="H27" i="9" s="1"/>
  <c r="I27" i="9" s="1"/>
  <c r="J27" i="9" s="1"/>
  <c r="K27" i="9" s="1"/>
  <c r="L27" i="9" s="1"/>
  <c r="M27" i="9" s="1"/>
  <c r="N27" i="9" s="1"/>
  <c r="N25" i="9"/>
  <c r="N87" i="9" s="1"/>
  <c r="M25" i="9"/>
  <c r="M87" i="9" s="1"/>
  <c r="L25" i="9"/>
  <c r="L67" i="9" s="1"/>
  <c r="K25" i="9"/>
  <c r="K67" i="9" s="1"/>
  <c r="J25" i="9"/>
  <c r="J67" i="9" s="1"/>
  <c r="I25" i="9"/>
  <c r="H25" i="9"/>
  <c r="H87" i="9" s="1"/>
  <c r="G25" i="9"/>
  <c r="G87" i="9" s="1"/>
  <c r="F25" i="9"/>
  <c r="F87" i="9" s="1"/>
  <c r="E25" i="9"/>
  <c r="E87" i="9" s="1"/>
  <c r="D25" i="9"/>
  <c r="D67" i="9" s="1"/>
  <c r="N24" i="9"/>
  <c r="N66" i="9" s="1"/>
  <c r="M24" i="9"/>
  <c r="M66" i="9" s="1"/>
  <c r="L24" i="9"/>
  <c r="K24" i="9"/>
  <c r="K86" i="9" s="1"/>
  <c r="J24" i="9"/>
  <c r="J86" i="9" s="1"/>
  <c r="I24" i="9"/>
  <c r="I86" i="9" s="1"/>
  <c r="H24" i="9"/>
  <c r="H86" i="9" s="1"/>
  <c r="G24" i="9"/>
  <c r="G66" i="9" s="1"/>
  <c r="F24" i="9"/>
  <c r="F66" i="9" s="1"/>
  <c r="E24" i="9"/>
  <c r="E66" i="9" s="1"/>
  <c r="D24" i="9"/>
  <c r="N23" i="9"/>
  <c r="N85" i="9" s="1"/>
  <c r="M23" i="9"/>
  <c r="M85" i="9" s="1"/>
  <c r="L23" i="9"/>
  <c r="L85" i="9" s="1"/>
  <c r="K23" i="9"/>
  <c r="K85" i="9" s="1"/>
  <c r="J23" i="9"/>
  <c r="J65" i="9" s="1"/>
  <c r="I23" i="9"/>
  <c r="I65" i="9" s="1"/>
  <c r="H23" i="9"/>
  <c r="H65" i="9" s="1"/>
  <c r="G23" i="9"/>
  <c r="F23" i="9"/>
  <c r="F85" i="9" s="1"/>
  <c r="E23" i="9"/>
  <c r="E85" i="9" s="1"/>
  <c r="D23" i="9"/>
  <c r="D85" i="9" s="1"/>
  <c r="N22" i="9"/>
  <c r="N84" i="9" s="1"/>
  <c r="M22" i="9"/>
  <c r="M64" i="9" s="1"/>
  <c r="L22" i="9"/>
  <c r="L64" i="9" s="1"/>
  <c r="K22" i="9"/>
  <c r="K64" i="9" s="1"/>
  <c r="J22" i="9"/>
  <c r="I22" i="9"/>
  <c r="I84" i="9" s="1"/>
  <c r="H22" i="9"/>
  <c r="H84" i="9" s="1"/>
  <c r="G22" i="9"/>
  <c r="G84" i="9" s="1"/>
  <c r="F22" i="9"/>
  <c r="F84" i="9" s="1"/>
  <c r="E22" i="9"/>
  <c r="E64" i="9" s="1"/>
  <c r="D22" i="9"/>
  <c r="D64" i="9" s="1"/>
  <c r="N21" i="9"/>
  <c r="N63" i="9" s="1"/>
  <c r="M21" i="9"/>
  <c r="L21" i="9"/>
  <c r="L83" i="9" s="1"/>
  <c r="K21" i="9"/>
  <c r="K83" i="9" s="1"/>
  <c r="J21" i="9"/>
  <c r="J83" i="9" s="1"/>
  <c r="I21" i="9"/>
  <c r="I83" i="9" s="1"/>
  <c r="H21" i="9"/>
  <c r="H63" i="9" s="1"/>
  <c r="G21" i="9"/>
  <c r="G63" i="9" s="1"/>
  <c r="F21" i="9"/>
  <c r="F63" i="9" s="1"/>
  <c r="E21" i="9"/>
  <c r="D21" i="9"/>
  <c r="D83" i="9" s="1"/>
  <c r="N20" i="9"/>
  <c r="M20" i="9"/>
  <c r="M63" i="9" s="1"/>
  <c r="L20" i="9"/>
  <c r="L63" i="9" s="1"/>
  <c r="K20" i="9"/>
  <c r="J20" i="9"/>
  <c r="J64" i="9" s="1"/>
  <c r="I20" i="9"/>
  <c r="H20" i="9"/>
  <c r="G20" i="9"/>
  <c r="F20" i="9"/>
  <c r="E20" i="9"/>
  <c r="E63" i="9" s="1"/>
  <c r="D20" i="9"/>
  <c r="D66" i="9" s="1"/>
  <c r="E19" i="9"/>
  <c r="F19" i="9" s="1"/>
  <c r="G19" i="9" s="1"/>
  <c r="H19" i="9" s="1"/>
  <c r="I19" i="9" s="1"/>
  <c r="J19" i="9" s="1"/>
  <c r="K19" i="9" s="1"/>
  <c r="L19" i="9" s="1"/>
  <c r="M19" i="9" s="1"/>
  <c r="N19" i="9" s="1"/>
  <c r="N17" i="9"/>
  <c r="M17" i="9"/>
  <c r="L17" i="9"/>
  <c r="L78" i="9" s="1"/>
  <c r="K17" i="9"/>
  <c r="K78" i="9" s="1"/>
  <c r="J17" i="9"/>
  <c r="J78" i="9" s="1"/>
  <c r="I17" i="9"/>
  <c r="I78" i="9" s="1"/>
  <c r="H17" i="9"/>
  <c r="H78" i="9" s="1"/>
  <c r="G17" i="9"/>
  <c r="G78" i="9" s="1"/>
  <c r="F17" i="9"/>
  <c r="E17" i="9"/>
  <c r="D17" i="9"/>
  <c r="D78" i="9" s="1"/>
  <c r="N16" i="9"/>
  <c r="N77" i="9" s="1"/>
  <c r="M16" i="9"/>
  <c r="M77" i="9" s="1"/>
  <c r="L16" i="9"/>
  <c r="L77" i="9" s="1"/>
  <c r="K16" i="9"/>
  <c r="K77" i="9" s="1"/>
  <c r="J16" i="9"/>
  <c r="J77" i="9" s="1"/>
  <c r="I16" i="9"/>
  <c r="H16" i="9"/>
  <c r="G16" i="9"/>
  <c r="G77" i="9" s="1"/>
  <c r="F16" i="9"/>
  <c r="F77" i="9" s="1"/>
  <c r="E16" i="9"/>
  <c r="E77" i="9" s="1"/>
  <c r="D16" i="9"/>
  <c r="D77" i="9" s="1"/>
  <c r="N15" i="9"/>
  <c r="N76" i="9" s="1"/>
  <c r="M15" i="9"/>
  <c r="M76" i="9" s="1"/>
  <c r="L15" i="9"/>
  <c r="K15" i="9"/>
  <c r="J15" i="9"/>
  <c r="J76" i="9" s="1"/>
  <c r="I15" i="9"/>
  <c r="I76" i="9" s="1"/>
  <c r="H15" i="9"/>
  <c r="H76" i="9" s="1"/>
  <c r="G15" i="9"/>
  <c r="G76" i="9" s="1"/>
  <c r="F15" i="9"/>
  <c r="F76" i="9" s="1"/>
  <c r="E15" i="9"/>
  <c r="E76" i="9" s="1"/>
  <c r="D15" i="9"/>
  <c r="N14" i="9"/>
  <c r="M14" i="9"/>
  <c r="M75" i="9" s="1"/>
  <c r="L14" i="9"/>
  <c r="L75" i="9" s="1"/>
  <c r="K14" i="9"/>
  <c r="K75" i="9" s="1"/>
  <c r="J14" i="9"/>
  <c r="J75" i="9" s="1"/>
  <c r="I14" i="9"/>
  <c r="I75" i="9" s="1"/>
  <c r="H14" i="9"/>
  <c r="H75" i="9" s="1"/>
  <c r="G14" i="9"/>
  <c r="F14" i="9"/>
  <c r="E14" i="9"/>
  <c r="E75" i="9" s="1"/>
  <c r="D14" i="9"/>
  <c r="D75" i="9" s="1"/>
  <c r="N13" i="9"/>
  <c r="N74" i="9" s="1"/>
  <c r="M13" i="9"/>
  <c r="M74" i="9" s="1"/>
  <c r="L13" i="9"/>
  <c r="L74" i="9" s="1"/>
  <c r="K13" i="9"/>
  <c r="K74" i="9" s="1"/>
  <c r="J13" i="9"/>
  <c r="I13" i="9"/>
  <c r="H13" i="9"/>
  <c r="H74" i="9" s="1"/>
  <c r="G13" i="9"/>
  <c r="G74" i="9" s="1"/>
  <c r="F13" i="9"/>
  <c r="F74" i="9" s="1"/>
  <c r="E13" i="9"/>
  <c r="E74" i="9" s="1"/>
  <c r="D13" i="9"/>
  <c r="D74" i="9" s="1"/>
  <c r="N12" i="9"/>
  <c r="N73" i="9" s="1"/>
  <c r="M12" i="9"/>
  <c r="L12" i="9"/>
  <c r="K12" i="9"/>
  <c r="K73" i="9" s="1"/>
  <c r="J12" i="9"/>
  <c r="J73" i="9" s="1"/>
  <c r="I12" i="9"/>
  <c r="I73" i="9" s="1"/>
  <c r="H12" i="9"/>
  <c r="H73" i="9" s="1"/>
  <c r="G12" i="9"/>
  <c r="G73" i="9" s="1"/>
  <c r="F12" i="9"/>
  <c r="F73" i="9" s="1"/>
  <c r="E12" i="9"/>
  <c r="D12" i="9"/>
  <c r="N11" i="9"/>
  <c r="N72" i="9" s="1"/>
  <c r="M11" i="9"/>
  <c r="M72" i="9" s="1"/>
  <c r="L11" i="9"/>
  <c r="L72" i="9" s="1"/>
  <c r="K11" i="9"/>
  <c r="K72" i="9" s="1"/>
  <c r="J11" i="9"/>
  <c r="J72" i="9" s="1"/>
  <c r="I11" i="9"/>
  <c r="I72" i="9" s="1"/>
  <c r="H11" i="9"/>
  <c r="G11" i="9"/>
  <c r="F11" i="9"/>
  <c r="F72" i="9" s="1"/>
  <c r="E11" i="9"/>
  <c r="E72" i="9" s="1"/>
  <c r="D11" i="9"/>
  <c r="D72" i="9" s="1"/>
  <c r="N10" i="9"/>
  <c r="N71" i="9" s="1"/>
  <c r="M10" i="9"/>
  <c r="M71" i="9" s="1"/>
  <c r="L10" i="9"/>
  <c r="L71" i="9" s="1"/>
  <c r="K10" i="9"/>
  <c r="J10" i="9"/>
  <c r="I10" i="9"/>
  <c r="I71" i="9" s="1"/>
  <c r="H10" i="9"/>
  <c r="H71" i="9" s="1"/>
  <c r="G10" i="9"/>
  <c r="G71" i="9" s="1"/>
  <c r="F10" i="9"/>
  <c r="F71" i="9" s="1"/>
  <c r="E10" i="9"/>
  <c r="E71" i="9" s="1"/>
  <c r="D10" i="9"/>
  <c r="D71" i="9" s="1"/>
  <c r="N9" i="9"/>
  <c r="M9" i="9"/>
  <c r="L9" i="9"/>
  <c r="K9" i="9"/>
  <c r="J9" i="9"/>
  <c r="J74" i="9" s="1"/>
  <c r="I9" i="9"/>
  <c r="I74" i="9" s="1"/>
  <c r="H9" i="9"/>
  <c r="G9" i="9"/>
  <c r="F9" i="9"/>
  <c r="E9" i="9"/>
  <c r="D9" i="9"/>
  <c r="E8" i="9"/>
  <c r="F8" i="9" s="1"/>
  <c r="G8" i="9" s="1"/>
  <c r="H8" i="9" s="1"/>
  <c r="I8" i="9" s="1"/>
  <c r="J8" i="9" s="1"/>
  <c r="K8" i="9" s="1"/>
  <c r="L8" i="9" s="1"/>
  <c r="M8" i="9" s="1"/>
  <c r="N8" i="9" s="1"/>
  <c r="E81" i="7"/>
  <c r="F81" i="7" s="1"/>
  <c r="G81" i="7" s="1"/>
  <c r="H81" i="7" s="1"/>
  <c r="I81" i="7" s="1"/>
  <c r="J81" i="7" s="1"/>
  <c r="K81" i="7" s="1"/>
  <c r="L81" i="7" s="1"/>
  <c r="M81" i="7" s="1"/>
  <c r="N81" i="7" s="1"/>
  <c r="E70" i="7"/>
  <c r="F70" i="7" s="1"/>
  <c r="G70" i="7" s="1"/>
  <c r="H70" i="7" s="1"/>
  <c r="I70" i="7" s="1"/>
  <c r="J70" i="7" s="1"/>
  <c r="K70" i="7" s="1"/>
  <c r="L70" i="7" s="1"/>
  <c r="M70" i="7" s="1"/>
  <c r="N70" i="7" s="1"/>
  <c r="E62" i="7"/>
  <c r="F62" i="7" s="1"/>
  <c r="G62" i="7" s="1"/>
  <c r="H62" i="7" s="1"/>
  <c r="I62" i="7" s="1"/>
  <c r="J62" i="7" s="1"/>
  <c r="K62" i="7" s="1"/>
  <c r="L62" i="7" s="1"/>
  <c r="M62" i="7" s="1"/>
  <c r="N62" i="7" s="1"/>
  <c r="U75" i="1"/>
  <c r="V75" i="1" s="1"/>
  <c r="W75" i="1" s="1"/>
  <c r="X75" i="1" s="1"/>
  <c r="P75" i="1"/>
  <c r="Q75" i="1" s="1"/>
  <c r="R75" i="1" s="1"/>
  <c r="S75" i="1" s="1"/>
  <c r="T75" i="1" s="1"/>
  <c r="O75" i="1"/>
  <c r="V72" i="1"/>
  <c r="W72" i="1" s="1"/>
  <c r="X72" i="1" s="1"/>
  <c r="P72" i="1"/>
  <c r="Q72" i="1" s="1"/>
  <c r="R72" i="1" s="1"/>
  <c r="S72" i="1" s="1"/>
  <c r="T72" i="1" s="1"/>
  <c r="U72" i="1" s="1"/>
  <c r="O72" i="1"/>
  <c r="P76" i="1"/>
  <c r="Q76" i="1" s="1"/>
  <c r="R76" i="1" s="1"/>
  <c r="S76" i="1" s="1"/>
  <c r="T76" i="1" s="1"/>
  <c r="U76" i="1" s="1"/>
  <c r="V76" i="1" s="1"/>
  <c r="W76" i="1" s="1"/>
  <c r="X76" i="1" s="1"/>
  <c r="O76" i="1"/>
  <c r="N93" i="1"/>
  <c r="O93" i="1"/>
  <c r="P93" i="1"/>
  <c r="Q93" i="1"/>
  <c r="R93" i="1"/>
  <c r="S93" i="1"/>
  <c r="T93" i="1"/>
  <c r="U93" i="1"/>
  <c r="V93" i="1"/>
  <c r="W93" i="1"/>
  <c r="X93" i="1"/>
  <c r="M91" i="1"/>
  <c r="M92" i="1"/>
  <c r="M93" i="1"/>
  <c r="M94" i="1"/>
  <c r="M95" i="1"/>
  <c r="M96" i="1"/>
  <c r="M97" i="1"/>
  <c r="M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X89" i="1" s="1"/>
  <c r="D52" i="7"/>
  <c r="D53" i="7"/>
  <c r="D54" i="7"/>
  <c r="E54" i="7"/>
  <c r="F54" i="7"/>
  <c r="G54" i="7"/>
  <c r="H54" i="7"/>
  <c r="I54" i="7"/>
  <c r="J54" i="7"/>
  <c r="K54" i="7"/>
  <c r="L54" i="7"/>
  <c r="M54" i="7"/>
  <c r="N54" i="7"/>
  <c r="D55" i="7"/>
  <c r="D56" i="7"/>
  <c r="D57" i="7"/>
  <c r="D58" i="7"/>
  <c r="D51" i="7"/>
  <c r="E51" i="7" s="1"/>
  <c r="F51" i="7" s="1"/>
  <c r="G51" i="7" s="1"/>
  <c r="H4" i="8" s="1"/>
  <c r="E50" i="7"/>
  <c r="F50" i="7" s="1"/>
  <c r="G50" i="7" s="1"/>
  <c r="H50" i="7" s="1"/>
  <c r="I50" i="7" s="1"/>
  <c r="J50" i="7" s="1"/>
  <c r="K50" i="7" s="1"/>
  <c r="L50" i="7" s="1"/>
  <c r="M50" i="7" s="1"/>
  <c r="N50" i="7" s="1"/>
  <c r="M3" i="8"/>
  <c r="N3" i="8"/>
  <c r="O3" i="8"/>
  <c r="M7" i="8"/>
  <c r="N7" i="8"/>
  <c r="O7" i="8"/>
  <c r="E3" i="8"/>
  <c r="F3" i="8" s="1"/>
  <c r="G3" i="8" s="1"/>
  <c r="H3" i="8" s="1"/>
  <c r="I3" i="8" s="1"/>
  <c r="J3" i="8" s="1"/>
  <c r="K3" i="8" s="1"/>
  <c r="L3" i="8" s="1"/>
  <c r="D7" i="8"/>
  <c r="D6" i="8" s="1"/>
  <c r="E7" i="8"/>
  <c r="F7" i="8"/>
  <c r="G7" i="8"/>
  <c r="H7" i="8"/>
  <c r="I7" i="8" s="1"/>
  <c r="J7" i="8" s="1"/>
  <c r="K7" i="8" s="1"/>
  <c r="L7" i="8" s="1"/>
  <c r="D9" i="8"/>
  <c r="D10" i="8"/>
  <c r="D11" i="8"/>
  <c r="D18" i="8"/>
  <c r="E18" i="8"/>
  <c r="M82" i="9" l="1"/>
  <c r="J82" i="9"/>
  <c r="D82" i="9"/>
  <c r="L82" i="9"/>
  <c r="I63" i="9"/>
  <c r="F64" i="9"/>
  <c r="N64" i="9"/>
  <c r="K65" i="9"/>
  <c r="H66" i="9"/>
  <c r="E67" i="9"/>
  <c r="M67" i="9"/>
  <c r="J63" i="9"/>
  <c r="G64" i="9"/>
  <c r="D65" i="9"/>
  <c r="L65" i="9"/>
  <c r="I66" i="9"/>
  <c r="F67" i="9"/>
  <c r="N67" i="9"/>
  <c r="G83" i="9"/>
  <c r="G82" i="9" s="1"/>
  <c r="D84" i="9"/>
  <c r="L84" i="9"/>
  <c r="I85" i="9"/>
  <c r="I82" i="9" s="1"/>
  <c r="F86" i="9"/>
  <c r="F82" i="9" s="1"/>
  <c r="N86" i="9"/>
  <c r="N82" i="9" s="1"/>
  <c r="K87" i="9"/>
  <c r="K82" i="9" s="1"/>
  <c r="I77" i="9"/>
  <c r="H83" i="9"/>
  <c r="H82" i="9" s="1"/>
  <c r="E84" i="9"/>
  <c r="E82" i="9" s="1"/>
  <c r="M84" i="9"/>
  <c r="J85" i="9"/>
  <c r="G86" i="9"/>
  <c r="D87" i="9"/>
  <c r="L87" i="9"/>
  <c r="D63" i="9"/>
  <c r="L66" i="9"/>
  <c r="F4" i="8"/>
  <c r="G4" i="8"/>
  <c r="H51" i="7"/>
  <c r="I4" i="8" s="1"/>
  <c r="E41" i="7"/>
  <c r="F41" i="7" s="1"/>
  <c r="G41" i="7" s="1"/>
  <c r="H41" i="7" s="1"/>
  <c r="I41" i="7" s="1"/>
  <c r="J41" i="7" s="1"/>
  <c r="K41" i="7" s="1"/>
  <c r="L41" i="7" s="1"/>
  <c r="M41" i="7" s="1"/>
  <c r="N41" i="7" s="1"/>
  <c r="E36" i="7"/>
  <c r="F36" i="7" s="1"/>
  <c r="G36" i="7" s="1"/>
  <c r="H36" i="7" s="1"/>
  <c r="I36" i="7" s="1"/>
  <c r="J36" i="7" s="1"/>
  <c r="K36" i="7" s="1"/>
  <c r="L36" i="7" s="1"/>
  <c r="M36" i="7" s="1"/>
  <c r="N36" i="7" s="1"/>
  <c r="E27" i="7"/>
  <c r="F27" i="7" s="1"/>
  <c r="G27" i="7" s="1"/>
  <c r="H27" i="7" s="1"/>
  <c r="I27" i="7" s="1"/>
  <c r="J27" i="7" s="1"/>
  <c r="K27" i="7" s="1"/>
  <c r="L27" i="7" s="1"/>
  <c r="M27" i="7" s="1"/>
  <c r="N27" i="7" s="1"/>
  <c r="E19" i="7"/>
  <c r="F19" i="7" s="1"/>
  <c r="G19" i="7" s="1"/>
  <c r="H19" i="7" s="1"/>
  <c r="I19" i="7" s="1"/>
  <c r="J19" i="7" s="1"/>
  <c r="K19" i="7" s="1"/>
  <c r="L19" i="7" s="1"/>
  <c r="M19" i="7" s="1"/>
  <c r="N19" i="7" s="1"/>
  <c r="D15" i="7"/>
  <c r="E8" i="7"/>
  <c r="F8" i="7" s="1"/>
  <c r="G8" i="7" s="1"/>
  <c r="H8" i="7" s="1"/>
  <c r="I8" i="7" s="1"/>
  <c r="J8" i="7" s="1"/>
  <c r="K8" i="7" s="1"/>
  <c r="L8" i="7" s="1"/>
  <c r="M8" i="7" s="1"/>
  <c r="N8" i="7" s="1"/>
  <c r="N7" i="1"/>
  <c r="O7" i="1" s="1"/>
  <c r="P7" i="1" s="1"/>
  <c r="Q7" i="1" s="1"/>
  <c r="R7" i="1" s="1"/>
  <c r="S7" i="1" s="1"/>
  <c r="T7" i="1" s="1"/>
  <c r="U7" i="1" s="1"/>
  <c r="V7" i="1" s="1"/>
  <c r="W7" i="1" s="1"/>
  <c r="X7" i="1" s="1"/>
  <c r="N6" i="1"/>
  <c r="O6" i="1" s="1"/>
  <c r="P6" i="1" s="1"/>
  <c r="Q6" i="1" s="1"/>
  <c r="R6" i="1" s="1"/>
  <c r="S6" i="1" s="1"/>
  <c r="T6" i="1" s="1"/>
  <c r="U6" i="1" s="1"/>
  <c r="V6" i="1" s="1"/>
  <c r="W6" i="1" s="1"/>
  <c r="X6" i="1" s="1"/>
  <c r="G36" i="6"/>
  <c r="G35" i="6"/>
  <c r="G31" i="6"/>
  <c r="G30" i="6"/>
  <c r="G29" i="6"/>
  <c r="G28" i="6"/>
  <c r="H23" i="6"/>
  <c r="H20" i="6"/>
  <c r="L17" i="6"/>
  <c r="L18" i="6" s="1"/>
  <c r="L19" i="6" s="1"/>
  <c r="L20" i="6" s="1"/>
  <c r="L21" i="6" s="1"/>
  <c r="L22" i="6" s="1"/>
  <c r="L23" i="6" s="1"/>
  <c r="L24" i="6" s="1"/>
  <c r="L25" i="6" s="1"/>
  <c r="L26" i="6" s="1"/>
  <c r="F16" i="6"/>
  <c r="F17" i="6" s="1"/>
  <c r="O15" i="6"/>
  <c r="M16" i="6" s="1"/>
  <c r="C7" i="5"/>
  <c r="C8" i="5"/>
  <c r="P8" i="5" s="1"/>
  <c r="J8" i="5"/>
  <c r="K8" i="5"/>
  <c r="L8" i="5"/>
  <c r="M8" i="5"/>
  <c r="O8" i="5"/>
  <c r="R8" i="5"/>
  <c r="C9" i="5"/>
  <c r="P9" i="5" s="1"/>
  <c r="J9" i="5"/>
  <c r="K9" i="5"/>
  <c r="L9" i="5"/>
  <c r="M9" i="5"/>
  <c r="C10" i="5"/>
  <c r="O10" i="5" s="1"/>
  <c r="J10" i="5"/>
  <c r="K10" i="5"/>
  <c r="L10" i="5"/>
  <c r="M10" i="5"/>
  <c r="R10" i="5"/>
  <c r="C11" i="5"/>
  <c r="O11" i="5" s="1"/>
  <c r="J11" i="5"/>
  <c r="K11" i="5"/>
  <c r="L11" i="5"/>
  <c r="M11" i="5"/>
  <c r="R11" i="5"/>
  <c r="C12" i="5"/>
  <c r="Q12" i="5" s="1"/>
  <c r="J12" i="5"/>
  <c r="K12" i="5"/>
  <c r="L12" i="5"/>
  <c r="M12" i="5"/>
  <c r="C13" i="5"/>
  <c r="O13" i="5" s="1"/>
  <c r="J13" i="5"/>
  <c r="K13" i="5"/>
  <c r="L13" i="5"/>
  <c r="M13" i="5"/>
  <c r="Q13" i="5"/>
  <c r="R13" i="5"/>
  <c r="C14" i="5"/>
  <c r="O14" i="5" s="1"/>
  <c r="J14" i="5"/>
  <c r="K14" i="5"/>
  <c r="L14" i="5"/>
  <c r="M14" i="5"/>
  <c r="R14" i="5"/>
  <c r="C15" i="5"/>
  <c r="J15" i="5"/>
  <c r="K15" i="5"/>
  <c r="L15" i="5"/>
  <c r="M15" i="5"/>
  <c r="O15" i="5"/>
  <c r="P15" i="5"/>
  <c r="Q15" i="5"/>
  <c r="R15" i="5"/>
  <c r="C16" i="5"/>
  <c r="P16" i="5" s="1"/>
  <c r="P17" i="5" s="1"/>
  <c r="J16" i="5"/>
  <c r="K16" i="5"/>
  <c r="L16" i="5"/>
  <c r="M16" i="5"/>
  <c r="R16" i="5"/>
  <c r="G17" i="5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W7" i="4"/>
  <c r="Z7" i="4"/>
  <c r="D8" i="4"/>
  <c r="M8" i="4"/>
  <c r="R8" i="4"/>
  <c r="W8" i="4"/>
  <c r="Z8" i="4"/>
  <c r="D9" i="4"/>
  <c r="M9" i="4"/>
  <c r="R9" i="4"/>
  <c r="W9" i="4"/>
  <c r="Z9" i="4"/>
  <c r="D10" i="4"/>
  <c r="M10" i="4"/>
  <c r="N16" i="4" s="1"/>
  <c r="R10" i="4"/>
  <c r="W10" i="4"/>
  <c r="Z10" i="4"/>
  <c r="D11" i="4"/>
  <c r="M11" i="4"/>
  <c r="R11" i="4"/>
  <c r="W11" i="4"/>
  <c r="Z11" i="4"/>
  <c r="D12" i="4"/>
  <c r="M12" i="4"/>
  <c r="R12" i="4"/>
  <c r="W12" i="4"/>
  <c r="Z12" i="4"/>
  <c r="D13" i="4"/>
  <c r="M13" i="4"/>
  <c r="R13" i="4"/>
  <c r="W13" i="4"/>
  <c r="Z13" i="4"/>
  <c r="D14" i="4"/>
  <c r="M14" i="4"/>
  <c r="R14" i="4"/>
  <c r="W14" i="4"/>
  <c r="Z14" i="4"/>
  <c r="D15" i="4"/>
  <c r="E15" i="4"/>
  <c r="M15" i="4"/>
  <c r="R15" i="4"/>
  <c r="W15" i="4"/>
  <c r="Z15" i="4"/>
  <c r="D16" i="4"/>
  <c r="M16" i="4"/>
  <c r="R16" i="4"/>
  <c r="W16" i="4"/>
  <c r="Z16" i="4"/>
  <c r="C17" i="4"/>
  <c r="H17" i="4"/>
  <c r="L17" i="4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Q17" i="4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C18" i="4"/>
  <c r="O81" i="1"/>
  <c r="P81" i="1" s="1"/>
  <c r="Q81" i="1" s="1"/>
  <c r="R81" i="1" s="1"/>
  <c r="S81" i="1" s="1"/>
  <c r="T81" i="1" s="1"/>
  <c r="U81" i="1" s="1"/>
  <c r="V81" i="1" s="1"/>
  <c r="W81" i="1" s="1"/>
  <c r="X81" i="1" s="1"/>
  <c r="N14" i="7" s="1"/>
  <c r="N81" i="1"/>
  <c r="D14" i="7" s="1"/>
  <c r="N82" i="1"/>
  <c r="O82" i="1" s="1"/>
  <c r="I86" i="1"/>
  <c r="J86" i="1"/>
  <c r="K86" i="1"/>
  <c r="L86" i="1"/>
  <c r="M86" i="1"/>
  <c r="I84" i="1"/>
  <c r="J84" i="1"/>
  <c r="K84" i="1"/>
  <c r="L84" i="1"/>
  <c r="I85" i="1"/>
  <c r="J85" i="1"/>
  <c r="K85" i="1"/>
  <c r="L85" i="1"/>
  <c r="M84" i="1"/>
  <c r="M85" i="1"/>
  <c r="C25" i="3"/>
  <c r="C26" i="3"/>
  <c r="C21" i="3"/>
  <c r="C20" i="3"/>
  <c r="B21" i="3"/>
  <c r="B26" i="3" s="1"/>
  <c r="B20" i="3"/>
  <c r="B25" i="3" s="1"/>
  <c r="E20" i="8"/>
  <c r="E24" i="8"/>
  <c r="E19" i="8"/>
  <c r="D21" i="8"/>
  <c r="D25" i="8"/>
  <c r="D22" i="8"/>
  <c r="D23" i="8"/>
  <c r="D24" i="8"/>
  <c r="E21" i="8"/>
  <c r="E25" i="8"/>
  <c r="E22" i="8"/>
  <c r="D19" i="8"/>
  <c r="E23" i="8"/>
  <c r="D20" i="8"/>
  <c r="I51" i="7" l="1"/>
  <c r="J4" i="8" s="1"/>
  <c r="P82" i="1"/>
  <c r="E15" i="7"/>
  <c r="L14" i="7"/>
  <c r="S16" i="4"/>
  <c r="H18" i="6"/>
  <c r="H26" i="6"/>
  <c r="J14" i="7"/>
  <c r="N14" i="4"/>
  <c r="Q16" i="5"/>
  <c r="Q17" i="5" s="1"/>
  <c r="Q18" i="5" s="1"/>
  <c r="Q19" i="5" s="1"/>
  <c r="Q20" i="5" s="1"/>
  <c r="Q21" i="5" s="1"/>
  <c r="Q22" i="5" s="1"/>
  <c r="Q23" i="5" s="1"/>
  <c r="Q24" i="5" s="1"/>
  <c r="Q25" i="5" s="1"/>
  <c r="H16" i="6"/>
  <c r="H21" i="6"/>
  <c r="I14" i="7"/>
  <c r="R12" i="5"/>
  <c r="Z17" i="4"/>
  <c r="O16" i="5"/>
  <c r="Q14" i="5"/>
  <c r="H19" i="6"/>
  <c r="G14" i="7"/>
  <c r="K14" i="7"/>
  <c r="V17" i="4"/>
  <c r="H24" i="6"/>
  <c r="H14" i="7"/>
  <c r="N15" i="4"/>
  <c r="P14" i="5"/>
  <c r="R9" i="5"/>
  <c r="Q8" i="5"/>
  <c r="H17" i="6"/>
  <c r="H22" i="6"/>
  <c r="F14" i="7"/>
  <c r="O9" i="5"/>
  <c r="H25" i="6"/>
  <c r="M14" i="7"/>
  <c r="E14" i="7"/>
  <c r="F18" i="6"/>
  <c r="G16" i="6"/>
  <c r="M17" i="6"/>
  <c r="Q26" i="5"/>
  <c r="Q27" i="5" s="1"/>
  <c r="Q28" i="5" s="1"/>
  <c r="Q29" i="5" s="1"/>
  <c r="O17" i="5"/>
  <c r="P18" i="5"/>
  <c r="P13" i="5"/>
  <c r="Q11" i="5"/>
  <c r="O12" i="5"/>
  <c r="P11" i="5"/>
  <c r="Q10" i="5"/>
  <c r="P12" i="5"/>
  <c r="P10" i="5"/>
  <c r="Q9" i="5"/>
  <c r="H18" i="4"/>
  <c r="C19" i="4"/>
  <c r="E63" i="1"/>
  <c r="F63" i="1"/>
  <c r="G63" i="1"/>
  <c r="H63" i="1"/>
  <c r="I63" i="1"/>
  <c r="J63" i="1"/>
  <c r="K63" i="1"/>
  <c r="L63" i="1"/>
  <c r="M63" i="1"/>
  <c r="D63" i="1"/>
  <c r="G58" i="1"/>
  <c r="E59" i="1"/>
  <c r="E58" i="1" s="1"/>
  <c r="F59" i="1"/>
  <c r="F58" i="1" s="1"/>
  <c r="G59" i="1"/>
  <c r="H59" i="1"/>
  <c r="H58" i="1" s="1"/>
  <c r="I59" i="1"/>
  <c r="I58" i="1" s="1"/>
  <c r="J59" i="1"/>
  <c r="J58" i="1" s="1"/>
  <c r="K59" i="1"/>
  <c r="K58" i="1" s="1"/>
  <c r="L59" i="1"/>
  <c r="L58" i="1" s="1"/>
  <c r="M59" i="1"/>
  <c r="M58" i="1" s="1"/>
  <c r="D59" i="1"/>
  <c r="D58" i="1" s="1"/>
  <c r="E64" i="1"/>
  <c r="F64" i="1"/>
  <c r="G64" i="1"/>
  <c r="H64" i="1"/>
  <c r="I64" i="1"/>
  <c r="J64" i="1"/>
  <c r="K64" i="1"/>
  <c r="L64" i="1"/>
  <c r="M64" i="1"/>
  <c r="D64" i="1"/>
  <c r="E60" i="1"/>
  <c r="F60" i="1"/>
  <c r="G60" i="1"/>
  <c r="H60" i="1"/>
  <c r="I60" i="1"/>
  <c r="J60" i="1"/>
  <c r="K60" i="1"/>
  <c r="L60" i="1"/>
  <c r="M60" i="1"/>
  <c r="D60" i="1"/>
  <c r="X52" i="1"/>
  <c r="K41" i="1"/>
  <c r="L41" i="1"/>
  <c r="M41" i="1"/>
  <c r="E41" i="1"/>
  <c r="F41" i="1"/>
  <c r="G41" i="1"/>
  <c r="H41" i="1"/>
  <c r="I41" i="1"/>
  <c r="J41" i="1"/>
  <c r="D41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N23" i="1"/>
  <c r="N22" i="1"/>
  <c r="N21" i="1"/>
  <c r="N20" i="1"/>
  <c r="F6" i="1"/>
  <c r="G6" i="1"/>
  <c r="H6" i="1"/>
  <c r="I6" i="1"/>
  <c r="J6" i="1"/>
  <c r="K6" i="1"/>
  <c r="L6" i="1"/>
  <c r="M6" i="1"/>
  <c r="F7" i="1"/>
  <c r="G7" i="1"/>
  <c r="H7" i="1"/>
  <c r="I7" i="1"/>
  <c r="J7" i="1"/>
  <c r="K7" i="1"/>
  <c r="L7" i="1"/>
  <c r="M7" i="1"/>
  <c r="F8" i="1"/>
  <c r="G8" i="1"/>
  <c r="H8" i="1"/>
  <c r="I8" i="1"/>
  <c r="J8" i="1"/>
  <c r="K8" i="1"/>
  <c r="L8" i="1"/>
  <c r="M8" i="1"/>
  <c r="F9" i="1"/>
  <c r="G9" i="1"/>
  <c r="H9" i="1"/>
  <c r="I9" i="1"/>
  <c r="J9" i="1"/>
  <c r="K9" i="1"/>
  <c r="L9" i="1"/>
  <c r="M9" i="1"/>
  <c r="F11" i="1"/>
  <c r="G11" i="1"/>
  <c r="H11" i="1"/>
  <c r="I11" i="1"/>
  <c r="J11" i="1"/>
  <c r="K11" i="1"/>
  <c r="L11" i="1"/>
  <c r="M11" i="1"/>
  <c r="F12" i="1"/>
  <c r="G12" i="1"/>
  <c r="H12" i="1"/>
  <c r="I12" i="1"/>
  <c r="J12" i="1"/>
  <c r="K12" i="1"/>
  <c r="L12" i="1"/>
  <c r="M12" i="1"/>
  <c r="F13" i="1"/>
  <c r="G13" i="1"/>
  <c r="H13" i="1"/>
  <c r="I13" i="1"/>
  <c r="J13" i="1"/>
  <c r="K13" i="1"/>
  <c r="L13" i="1"/>
  <c r="M13" i="1"/>
  <c r="F14" i="1"/>
  <c r="G14" i="1"/>
  <c r="H14" i="1"/>
  <c r="I14" i="1"/>
  <c r="J14" i="1"/>
  <c r="K14" i="1"/>
  <c r="L14" i="1"/>
  <c r="M14" i="1"/>
  <c r="E7" i="1"/>
  <c r="E8" i="1"/>
  <c r="E9" i="1"/>
  <c r="E11" i="1"/>
  <c r="E12" i="1"/>
  <c r="E13" i="1"/>
  <c r="E14" i="1"/>
  <c r="E6" i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E24" i="1"/>
  <c r="F24" i="1"/>
  <c r="G24" i="1"/>
  <c r="H24" i="1"/>
  <c r="H10" i="1" s="1"/>
  <c r="I24" i="1"/>
  <c r="I10" i="1" s="1"/>
  <c r="J24" i="1"/>
  <c r="K24" i="1"/>
  <c r="L24" i="1"/>
  <c r="M24" i="1"/>
  <c r="D24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J51" i="7" l="1"/>
  <c r="K4" i="8" s="1"/>
  <c r="K67" i="1"/>
  <c r="K68" i="1"/>
  <c r="H68" i="1"/>
  <c r="H67" i="1"/>
  <c r="O22" i="1"/>
  <c r="D16" i="7"/>
  <c r="O23" i="1"/>
  <c r="D17" i="7"/>
  <c r="D67" i="1"/>
  <c r="D68" i="1"/>
  <c r="F68" i="1"/>
  <c r="F67" i="1"/>
  <c r="M68" i="1"/>
  <c r="M67" i="1"/>
  <c r="E68" i="1"/>
  <c r="E67" i="1"/>
  <c r="L67" i="1"/>
  <c r="L68" i="1"/>
  <c r="W17" i="4"/>
  <c r="B17" i="5"/>
  <c r="C17" i="5" s="1"/>
  <c r="K10" i="1"/>
  <c r="G68" i="1"/>
  <c r="G67" i="1"/>
  <c r="J67" i="1"/>
  <c r="J68" i="1"/>
  <c r="I67" i="1"/>
  <c r="I68" i="1"/>
  <c r="Q82" i="1"/>
  <c r="F15" i="7"/>
  <c r="O20" i="1"/>
  <c r="D9" i="7"/>
  <c r="N45" i="1"/>
  <c r="D24" i="7" s="1"/>
  <c r="D86" i="7" s="1"/>
  <c r="N79" i="1"/>
  <c r="N80" i="1" s="1"/>
  <c r="G17" i="6"/>
  <c r="M18" i="6"/>
  <c r="F19" i="6"/>
  <c r="O18" i="5"/>
  <c r="D18" i="5" s="1"/>
  <c r="D17" i="6" s="1"/>
  <c r="P19" i="5"/>
  <c r="E18" i="5"/>
  <c r="E17" i="6" s="1"/>
  <c r="C20" i="4"/>
  <c r="H19" i="4"/>
  <c r="H20" i="4" s="1"/>
  <c r="H21" i="4" s="1"/>
  <c r="H22" i="4" s="1"/>
  <c r="H23" i="4" s="1"/>
  <c r="H24" i="4" s="1"/>
  <c r="H25" i="4" s="1"/>
  <c r="H26" i="4" s="1"/>
  <c r="H27" i="4" s="1"/>
  <c r="H28" i="4" s="1"/>
  <c r="V18" i="4"/>
  <c r="B18" i="5" s="1"/>
  <c r="C18" i="5" s="1"/>
  <c r="F18" i="5" s="1"/>
  <c r="Z18" i="4"/>
  <c r="M10" i="1"/>
  <c r="E10" i="1"/>
  <c r="J10" i="1"/>
  <c r="L10" i="1"/>
  <c r="O21" i="1"/>
  <c r="F10" i="1"/>
  <c r="N46" i="1"/>
  <c r="D25" i="7" s="1"/>
  <c r="D87" i="7" s="1"/>
  <c r="N24" i="1"/>
  <c r="G10" i="1"/>
  <c r="D77" i="7" l="1"/>
  <c r="D76" i="7"/>
  <c r="D78" i="7"/>
  <c r="D75" i="7"/>
  <c r="K51" i="7"/>
  <c r="L4" i="8" s="1"/>
  <c r="R82" i="1"/>
  <c r="G15" i="7"/>
  <c r="P23" i="1"/>
  <c r="E17" i="7"/>
  <c r="F17" i="5"/>
  <c r="E17" i="5"/>
  <c r="E16" i="6" s="1"/>
  <c r="C17" i="6"/>
  <c r="P22" i="1"/>
  <c r="E16" i="7"/>
  <c r="D17" i="5"/>
  <c r="D16" i="6" s="1"/>
  <c r="O46" i="1"/>
  <c r="E25" i="7" s="1"/>
  <c r="E87" i="7" s="1"/>
  <c r="N84" i="1"/>
  <c r="D13" i="7"/>
  <c r="D74" i="7" s="1"/>
  <c r="P20" i="1"/>
  <c r="E9" i="7"/>
  <c r="P21" i="1"/>
  <c r="O79" i="1"/>
  <c r="O80" i="1" s="1"/>
  <c r="F20" i="6"/>
  <c r="M19" i="6"/>
  <c r="G18" i="6"/>
  <c r="O19" i="5"/>
  <c r="D19" i="5" s="1"/>
  <c r="D18" i="6" s="1"/>
  <c r="P20" i="5"/>
  <c r="W18" i="4"/>
  <c r="Z19" i="4"/>
  <c r="V19" i="4"/>
  <c r="B19" i="5" s="1"/>
  <c r="C19" i="5" s="1"/>
  <c r="F19" i="5" s="1"/>
  <c r="C21" i="4"/>
  <c r="V20" i="4"/>
  <c r="B20" i="5" s="1"/>
  <c r="C20" i="5" s="1"/>
  <c r="F20" i="5" s="1"/>
  <c r="Z20" i="4"/>
  <c r="O24" i="1"/>
  <c r="O25" i="1" s="1"/>
  <c r="O45" i="1"/>
  <c r="E24" i="7" s="1"/>
  <c r="E86" i="7" s="1"/>
  <c r="N25" i="1"/>
  <c r="N27" i="1"/>
  <c r="D12" i="7" s="1"/>
  <c r="D73" i="7" s="1"/>
  <c r="N26" i="1"/>
  <c r="D11" i="7" s="1"/>
  <c r="D72" i="7" s="1"/>
  <c r="E75" i="7" l="1"/>
  <c r="E78" i="7"/>
  <c r="E76" i="7"/>
  <c r="E77" i="7"/>
  <c r="P24" i="1"/>
  <c r="P27" i="1" s="1"/>
  <c r="F12" i="7" s="1"/>
  <c r="F73" i="7" s="1"/>
  <c r="L51" i="7"/>
  <c r="M4" i="8" s="1"/>
  <c r="T90" i="1"/>
  <c r="S82" i="1"/>
  <c r="H15" i="7"/>
  <c r="E19" i="5"/>
  <c r="E18" i="6" s="1"/>
  <c r="C16" i="6"/>
  <c r="C18" i="6"/>
  <c r="Q22" i="1"/>
  <c r="F16" i="7"/>
  <c r="D45" i="7"/>
  <c r="D43" i="7"/>
  <c r="D44" i="7"/>
  <c r="D46" i="7"/>
  <c r="Q23" i="1"/>
  <c r="F17" i="7"/>
  <c r="P46" i="1"/>
  <c r="F25" i="7" s="1"/>
  <c r="F87" i="7" s="1"/>
  <c r="P45" i="1"/>
  <c r="F24" i="7" s="1"/>
  <c r="F86" i="7" s="1"/>
  <c r="O84" i="1"/>
  <c r="E13" i="7"/>
  <c r="E74" i="7" s="1"/>
  <c r="N42" i="1"/>
  <c r="D21" i="7" s="1"/>
  <c r="D83" i="7" s="1"/>
  <c r="D10" i="7"/>
  <c r="D71" i="7" s="1"/>
  <c r="Q20" i="1"/>
  <c r="F9" i="7"/>
  <c r="O42" i="1"/>
  <c r="E21" i="7" s="1"/>
  <c r="E83" i="7" s="1"/>
  <c r="E10" i="7"/>
  <c r="E71" i="7" s="1"/>
  <c r="P25" i="1"/>
  <c r="Q21" i="1"/>
  <c r="P79" i="1"/>
  <c r="P80" i="1" s="1"/>
  <c r="O27" i="1"/>
  <c r="E12" i="7" s="1"/>
  <c r="E73" i="7" s="1"/>
  <c r="M20" i="6"/>
  <c r="G19" i="6"/>
  <c r="F21" i="6"/>
  <c r="P21" i="5"/>
  <c r="O20" i="5"/>
  <c r="D20" i="5" s="1"/>
  <c r="D19" i="6" s="1"/>
  <c r="E20" i="5"/>
  <c r="E19" i="6" s="1"/>
  <c r="W19" i="4"/>
  <c r="W20" i="4"/>
  <c r="Z21" i="4"/>
  <c r="C22" i="4"/>
  <c r="V21" i="4"/>
  <c r="B21" i="5" s="1"/>
  <c r="C21" i="5" s="1"/>
  <c r="F21" i="5" s="1"/>
  <c r="P26" i="1"/>
  <c r="F11" i="7" s="1"/>
  <c r="F72" i="7" s="1"/>
  <c r="O26" i="1"/>
  <c r="E11" i="7" s="1"/>
  <c r="E72" i="7" s="1"/>
  <c r="N43" i="1"/>
  <c r="N63" i="1"/>
  <c r="D33" i="7" s="1"/>
  <c r="F77" i="7" l="1"/>
  <c r="F78" i="7"/>
  <c r="F75" i="7"/>
  <c r="F76" i="7"/>
  <c r="M51" i="7"/>
  <c r="N4" i="8" s="1"/>
  <c r="U90" i="1"/>
  <c r="D47" i="7"/>
  <c r="C19" i="6"/>
  <c r="T82" i="1"/>
  <c r="I15" i="7"/>
  <c r="F45" i="7"/>
  <c r="F46" i="7"/>
  <c r="F43" i="7"/>
  <c r="F44" i="7"/>
  <c r="R22" i="1"/>
  <c r="G16" i="7"/>
  <c r="E45" i="7"/>
  <c r="E43" i="7"/>
  <c r="E47" i="7"/>
  <c r="E44" i="7"/>
  <c r="E46" i="7"/>
  <c r="R23" i="1"/>
  <c r="G17" i="7"/>
  <c r="Q46" i="1"/>
  <c r="G25" i="7" s="1"/>
  <c r="G87" i="7" s="1"/>
  <c r="N64" i="1"/>
  <c r="D34" i="7" s="1"/>
  <c r="O64" i="1"/>
  <c r="E34" i="7" s="1"/>
  <c r="R20" i="1"/>
  <c r="G9" i="7"/>
  <c r="P84" i="1"/>
  <c r="F13" i="7"/>
  <c r="F74" i="7" s="1"/>
  <c r="N60" i="1"/>
  <c r="D30" i="7" s="1"/>
  <c r="D22" i="7"/>
  <c r="D84" i="7" s="1"/>
  <c r="P42" i="1"/>
  <c r="F10" i="7"/>
  <c r="F71" i="7" s="1"/>
  <c r="R21" i="1"/>
  <c r="Q79" i="1"/>
  <c r="Q80" i="1" s="1"/>
  <c r="Q45" i="1"/>
  <c r="G24" i="7" s="1"/>
  <c r="G86" i="7" s="1"/>
  <c r="Q24" i="1"/>
  <c r="F22" i="6"/>
  <c r="G20" i="6"/>
  <c r="M21" i="6"/>
  <c r="O21" i="5"/>
  <c r="D21" i="5" s="1"/>
  <c r="D20" i="6" s="1"/>
  <c r="P22" i="5"/>
  <c r="E21" i="5"/>
  <c r="E20" i="6" s="1"/>
  <c r="W21" i="4"/>
  <c r="C23" i="4"/>
  <c r="V22" i="4"/>
  <c r="B22" i="5" s="1"/>
  <c r="C22" i="5" s="1"/>
  <c r="F22" i="5" s="1"/>
  <c r="Z22" i="4"/>
  <c r="P43" i="1"/>
  <c r="F22" i="7" s="1"/>
  <c r="F84" i="7" s="1"/>
  <c r="P63" i="1"/>
  <c r="F33" i="7" s="1"/>
  <c r="O43" i="1"/>
  <c r="E22" i="7" s="1"/>
  <c r="E84" i="7" s="1"/>
  <c r="O63" i="1"/>
  <c r="E33" i="7" s="1"/>
  <c r="G78" i="7" l="1"/>
  <c r="G75" i="7"/>
  <c r="G77" i="7"/>
  <c r="G76" i="7"/>
  <c r="N51" i="7"/>
  <c r="V90" i="1"/>
  <c r="C20" i="6"/>
  <c r="S22" i="1"/>
  <c r="H16" i="7"/>
  <c r="G45" i="7"/>
  <c r="G43" i="7"/>
  <c r="G46" i="7"/>
  <c r="G44" i="7"/>
  <c r="F47" i="7"/>
  <c r="S23" i="1"/>
  <c r="H17" i="7"/>
  <c r="R46" i="1"/>
  <c r="H25" i="7" s="1"/>
  <c r="H87" i="7" s="1"/>
  <c r="U82" i="1"/>
  <c r="J15" i="7"/>
  <c r="N61" i="1"/>
  <c r="D31" i="7" s="1"/>
  <c r="N62" i="1"/>
  <c r="D32" i="7" s="1"/>
  <c r="P64" i="1"/>
  <c r="F34" i="7" s="1"/>
  <c r="F21" i="7"/>
  <c r="F83" i="7" s="1"/>
  <c r="Q84" i="1"/>
  <c r="G13" i="7"/>
  <c r="G74" i="7" s="1"/>
  <c r="S20" i="1"/>
  <c r="H9" i="7"/>
  <c r="Q26" i="1"/>
  <c r="G11" i="7" s="1"/>
  <c r="G72" i="7" s="1"/>
  <c r="Q27" i="1"/>
  <c r="G12" i="7" s="1"/>
  <c r="G73" i="7" s="1"/>
  <c r="Q25" i="1"/>
  <c r="S21" i="1"/>
  <c r="R79" i="1"/>
  <c r="R80" i="1" s="1"/>
  <c r="R45" i="1"/>
  <c r="H24" i="7" s="1"/>
  <c r="H86" i="7" s="1"/>
  <c r="R24" i="1"/>
  <c r="G21" i="6"/>
  <c r="C21" i="6" s="1"/>
  <c r="M22" i="6"/>
  <c r="F23" i="6"/>
  <c r="O22" i="5"/>
  <c r="D22" i="5" s="1"/>
  <c r="D21" i="6" s="1"/>
  <c r="P23" i="5"/>
  <c r="E22" i="5"/>
  <c r="E21" i="6" s="1"/>
  <c r="W22" i="4"/>
  <c r="V23" i="4"/>
  <c r="B23" i="5" s="1"/>
  <c r="C23" i="5" s="1"/>
  <c r="F23" i="5" s="1"/>
  <c r="Z23" i="4"/>
  <c r="C24" i="4"/>
  <c r="O60" i="1"/>
  <c r="E30" i="7" s="1"/>
  <c r="P60" i="1"/>
  <c r="F30" i="7" s="1"/>
  <c r="H76" i="7" l="1"/>
  <c r="H78" i="7"/>
  <c r="H77" i="7"/>
  <c r="H75" i="7"/>
  <c r="W90" i="1"/>
  <c r="O4" i="8"/>
  <c r="X90" i="1" s="1"/>
  <c r="V82" i="1"/>
  <c r="K15" i="7"/>
  <c r="G47" i="7"/>
  <c r="T23" i="1"/>
  <c r="I17" i="7"/>
  <c r="S46" i="1"/>
  <c r="I25" i="7" s="1"/>
  <c r="I87" i="7" s="1"/>
  <c r="T22" i="1"/>
  <c r="I16" i="7"/>
  <c r="H46" i="7"/>
  <c r="H44" i="7"/>
  <c r="H45" i="7"/>
  <c r="H43" i="7"/>
  <c r="T20" i="1"/>
  <c r="I9" i="7"/>
  <c r="R84" i="1"/>
  <c r="H13" i="7"/>
  <c r="H74" i="7" s="1"/>
  <c r="Q42" i="1"/>
  <c r="G21" i="7" s="1"/>
  <c r="G83" i="7" s="1"/>
  <c r="G10" i="7"/>
  <c r="G71" i="7" s="1"/>
  <c r="R26" i="1"/>
  <c r="H11" i="7" s="1"/>
  <c r="H72" i="7" s="1"/>
  <c r="R25" i="1"/>
  <c r="R27" i="1"/>
  <c r="H12" i="7" s="1"/>
  <c r="H73" i="7" s="1"/>
  <c r="T21" i="1"/>
  <c r="S79" i="1"/>
  <c r="S80" i="1" s="1"/>
  <c r="S45" i="1"/>
  <c r="I24" i="7" s="1"/>
  <c r="I86" i="7" s="1"/>
  <c r="S24" i="1"/>
  <c r="Q43" i="1"/>
  <c r="Q63" i="1"/>
  <c r="G33" i="7" s="1"/>
  <c r="P62" i="1"/>
  <c r="F32" i="7" s="1"/>
  <c r="P61" i="1"/>
  <c r="F31" i="7" s="1"/>
  <c r="O62" i="1"/>
  <c r="E32" i="7" s="1"/>
  <c r="O61" i="1"/>
  <c r="E31" i="7" s="1"/>
  <c r="F24" i="6"/>
  <c r="M23" i="6"/>
  <c r="G22" i="6"/>
  <c r="P24" i="5"/>
  <c r="O23" i="5"/>
  <c r="D23" i="5" s="1"/>
  <c r="D22" i="6" s="1"/>
  <c r="E23" i="5"/>
  <c r="E22" i="6" s="1"/>
  <c r="Z24" i="4"/>
  <c r="V24" i="4"/>
  <c r="B24" i="5" s="1"/>
  <c r="C24" i="5" s="1"/>
  <c r="F24" i="5" s="1"/>
  <c r="C25" i="4"/>
  <c r="W23" i="4"/>
  <c r="I76" i="7" l="1"/>
  <c r="I77" i="7"/>
  <c r="I78" i="7"/>
  <c r="I75" i="7"/>
  <c r="U23" i="1"/>
  <c r="J17" i="7"/>
  <c r="T46" i="1"/>
  <c r="J25" i="7" s="1"/>
  <c r="J87" i="7" s="1"/>
  <c r="C22" i="6"/>
  <c r="U22" i="1"/>
  <c r="J16" i="7"/>
  <c r="W82" i="1"/>
  <c r="L15" i="7"/>
  <c r="H47" i="7"/>
  <c r="I46" i="7"/>
  <c r="I44" i="7"/>
  <c r="I43" i="7"/>
  <c r="I45" i="7"/>
  <c r="R42" i="1"/>
  <c r="H21" i="7" s="1"/>
  <c r="H83" i="7" s="1"/>
  <c r="H10" i="7"/>
  <c r="H71" i="7" s="1"/>
  <c r="Q60" i="1"/>
  <c r="G30" i="7" s="1"/>
  <c r="G22" i="7"/>
  <c r="G84" i="7" s="1"/>
  <c r="Q64" i="1"/>
  <c r="G34" i="7" s="1"/>
  <c r="S84" i="1"/>
  <c r="I13" i="7"/>
  <c r="I74" i="7" s="1"/>
  <c r="U20" i="1"/>
  <c r="J9" i="7"/>
  <c r="S27" i="1"/>
  <c r="I12" i="7" s="1"/>
  <c r="I73" i="7" s="1"/>
  <c r="S26" i="1"/>
  <c r="I11" i="7" s="1"/>
  <c r="I72" i="7" s="1"/>
  <c r="S25" i="1"/>
  <c r="U21" i="1"/>
  <c r="T79" i="1"/>
  <c r="T80" i="1" s="1"/>
  <c r="T45" i="1"/>
  <c r="J24" i="7" s="1"/>
  <c r="J86" i="7" s="1"/>
  <c r="T24" i="1"/>
  <c r="R64" i="1"/>
  <c r="H34" i="7" s="1"/>
  <c r="R63" i="1"/>
  <c r="H33" i="7" s="1"/>
  <c r="R43" i="1"/>
  <c r="G23" i="6"/>
  <c r="M24" i="6"/>
  <c r="F25" i="6"/>
  <c r="P25" i="5"/>
  <c r="O24" i="5"/>
  <c r="D24" i="5" s="1"/>
  <c r="D23" i="6" s="1"/>
  <c r="E24" i="5"/>
  <c r="E23" i="6" s="1"/>
  <c r="V25" i="4"/>
  <c r="B25" i="5" s="1"/>
  <c r="C25" i="5" s="1"/>
  <c r="F25" i="5" s="1"/>
  <c r="Z25" i="4"/>
  <c r="C26" i="4"/>
  <c r="W24" i="4"/>
  <c r="J75" i="7" l="1"/>
  <c r="J76" i="7"/>
  <c r="J77" i="7"/>
  <c r="J78" i="7"/>
  <c r="I47" i="7"/>
  <c r="V22" i="1"/>
  <c r="K16" i="7"/>
  <c r="J44" i="7"/>
  <c r="J43" i="7"/>
  <c r="J46" i="7"/>
  <c r="J45" i="7"/>
  <c r="C23" i="6"/>
  <c r="X82" i="1"/>
  <c r="N15" i="7" s="1"/>
  <c r="M15" i="7"/>
  <c r="V23" i="1"/>
  <c r="K17" i="7"/>
  <c r="U46" i="1"/>
  <c r="K25" i="7" s="1"/>
  <c r="K87" i="7" s="1"/>
  <c r="Q62" i="1"/>
  <c r="G32" i="7" s="1"/>
  <c r="T84" i="1"/>
  <c r="J13" i="7"/>
  <c r="J74" i="7" s="1"/>
  <c r="V20" i="1"/>
  <c r="K9" i="7"/>
  <c r="R60" i="1"/>
  <c r="H30" i="7" s="1"/>
  <c r="H22" i="7"/>
  <c r="H84" i="7" s="1"/>
  <c r="S42" i="1"/>
  <c r="I21" i="7" s="1"/>
  <c r="I83" i="7" s="1"/>
  <c r="I10" i="7"/>
  <c r="I71" i="7" s="1"/>
  <c r="Q61" i="1"/>
  <c r="G31" i="7" s="1"/>
  <c r="T27" i="1"/>
  <c r="J12" i="7" s="1"/>
  <c r="J73" i="7" s="1"/>
  <c r="T26" i="1"/>
  <c r="J11" i="7" s="1"/>
  <c r="J72" i="7" s="1"/>
  <c r="T25" i="1"/>
  <c r="V21" i="1"/>
  <c r="U79" i="1"/>
  <c r="U80" i="1" s="1"/>
  <c r="U45" i="1"/>
  <c r="K24" i="7" s="1"/>
  <c r="K86" i="7" s="1"/>
  <c r="U24" i="1"/>
  <c r="S43" i="1"/>
  <c r="S63" i="1"/>
  <c r="I33" i="7" s="1"/>
  <c r="M25" i="6"/>
  <c r="G24" i="6"/>
  <c r="F26" i="6"/>
  <c r="O25" i="5"/>
  <c r="D25" i="5" s="1"/>
  <c r="D24" i="6" s="1"/>
  <c r="E25" i="5"/>
  <c r="E24" i="6" s="1"/>
  <c r="P26" i="5"/>
  <c r="Z26" i="4"/>
  <c r="C27" i="4"/>
  <c r="V26" i="4"/>
  <c r="B26" i="5" s="1"/>
  <c r="C26" i="5" s="1"/>
  <c r="F26" i="5" s="1"/>
  <c r="W25" i="4"/>
  <c r="K76" i="7" l="1"/>
  <c r="K77" i="7"/>
  <c r="K75" i="7"/>
  <c r="K78" i="7"/>
  <c r="K45" i="7"/>
  <c r="K44" i="7"/>
  <c r="K46" i="7"/>
  <c r="K43" i="7"/>
  <c r="J47" i="7"/>
  <c r="C24" i="6"/>
  <c r="W23" i="1"/>
  <c r="L17" i="7"/>
  <c r="V46" i="1"/>
  <c r="L25" i="7" s="1"/>
  <c r="L87" i="7" s="1"/>
  <c r="W22" i="1"/>
  <c r="L16" i="7"/>
  <c r="S64" i="1"/>
  <c r="I34" i="7" s="1"/>
  <c r="T42" i="1"/>
  <c r="J21" i="7" s="1"/>
  <c r="J83" i="7" s="1"/>
  <c r="J10" i="7"/>
  <c r="J71" i="7" s="1"/>
  <c r="W20" i="1"/>
  <c r="L9" i="7"/>
  <c r="R62" i="1"/>
  <c r="H32" i="7" s="1"/>
  <c r="U84" i="1"/>
  <c r="K13" i="7"/>
  <c r="K74" i="7" s="1"/>
  <c r="R61" i="1"/>
  <c r="H31" i="7" s="1"/>
  <c r="S60" i="1"/>
  <c r="I30" i="7" s="1"/>
  <c r="I22" i="7"/>
  <c r="I84" i="7" s="1"/>
  <c r="U27" i="1"/>
  <c r="K12" i="7" s="1"/>
  <c r="K73" i="7" s="1"/>
  <c r="U25" i="1"/>
  <c r="U26" i="1"/>
  <c r="K11" i="7" s="1"/>
  <c r="K72" i="7" s="1"/>
  <c r="W21" i="1"/>
  <c r="V79" i="1"/>
  <c r="V80" i="1" s="1"/>
  <c r="V24" i="1"/>
  <c r="V45" i="1"/>
  <c r="L24" i="7" s="1"/>
  <c r="L86" i="7" s="1"/>
  <c r="T64" i="1"/>
  <c r="J34" i="7" s="1"/>
  <c r="T63" i="1"/>
  <c r="J33" i="7" s="1"/>
  <c r="T43" i="1"/>
  <c r="G25" i="6"/>
  <c r="M26" i="6"/>
  <c r="G26" i="6" s="1"/>
  <c r="O26" i="5"/>
  <c r="D26" i="5" s="1"/>
  <c r="D25" i="6" s="1"/>
  <c r="P27" i="5"/>
  <c r="E26" i="5"/>
  <c r="E25" i="6" s="1"/>
  <c r="W26" i="4"/>
  <c r="Z27" i="4"/>
  <c r="C28" i="4"/>
  <c r="V27" i="4"/>
  <c r="B27" i="5" s="1"/>
  <c r="C27" i="5" s="1"/>
  <c r="F27" i="5" s="1"/>
  <c r="L78" i="7" l="1"/>
  <c r="L76" i="7"/>
  <c r="L75" i="7"/>
  <c r="L77" i="7"/>
  <c r="X23" i="1"/>
  <c r="M17" i="7"/>
  <c r="W46" i="1"/>
  <c r="M25" i="7" s="1"/>
  <c r="M87" i="7" s="1"/>
  <c r="L43" i="7"/>
  <c r="L44" i="7"/>
  <c r="L45" i="7"/>
  <c r="L46" i="7"/>
  <c r="C25" i="6"/>
  <c r="X22" i="1"/>
  <c r="N16" i="7" s="1"/>
  <c r="M16" i="7"/>
  <c r="K47" i="7"/>
  <c r="S61" i="1"/>
  <c r="I31" i="7" s="1"/>
  <c r="S62" i="1"/>
  <c r="I32" i="7" s="1"/>
  <c r="U42" i="1"/>
  <c r="K21" i="7" s="1"/>
  <c r="K83" i="7" s="1"/>
  <c r="K10" i="7"/>
  <c r="K71" i="7" s="1"/>
  <c r="T60" i="1"/>
  <c r="J30" i="7" s="1"/>
  <c r="J22" i="7"/>
  <c r="J84" i="7" s="1"/>
  <c r="X20" i="1"/>
  <c r="N9" i="7" s="1"/>
  <c r="M9" i="7"/>
  <c r="V84" i="1"/>
  <c r="L13" i="7"/>
  <c r="L74" i="7" s="1"/>
  <c r="X21" i="1"/>
  <c r="W79" i="1"/>
  <c r="W80" i="1" s="1"/>
  <c r="W24" i="1"/>
  <c r="W45" i="1"/>
  <c r="M24" i="7" s="1"/>
  <c r="M86" i="7" s="1"/>
  <c r="U43" i="1"/>
  <c r="U63" i="1"/>
  <c r="K33" i="7" s="1"/>
  <c r="V26" i="1"/>
  <c r="L11" i="7" s="1"/>
  <c r="L72" i="7" s="1"/>
  <c r="V25" i="1"/>
  <c r="V27" i="1"/>
  <c r="L12" i="7" s="1"/>
  <c r="L73" i="7" s="1"/>
  <c r="P28" i="5"/>
  <c r="O27" i="5"/>
  <c r="D27" i="5" s="1"/>
  <c r="D26" i="6" s="1"/>
  <c r="E27" i="5"/>
  <c r="E26" i="6" s="1"/>
  <c r="C26" i="6" s="1"/>
  <c r="V28" i="4"/>
  <c r="B28" i="5" s="1"/>
  <c r="C28" i="5" s="1"/>
  <c r="F28" i="5" s="1"/>
  <c r="Z28" i="4"/>
  <c r="W27" i="4"/>
  <c r="N77" i="7" l="1"/>
  <c r="N75" i="7"/>
  <c r="N76" i="7"/>
  <c r="M78" i="7"/>
  <c r="M75" i="7"/>
  <c r="M76" i="7"/>
  <c r="M77" i="7"/>
  <c r="M45" i="7"/>
  <c r="M43" i="7"/>
  <c r="M44" i="7"/>
  <c r="M46" i="7"/>
  <c r="L47" i="7"/>
  <c r="N17" i="7"/>
  <c r="N78" i="7" s="1"/>
  <c r="X46" i="1"/>
  <c r="N25" i="7" s="1"/>
  <c r="N87" i="7" s="1"/>
  <c r="U64" i="1"/>
  <c r="K34" i="7" s="1"/>
  <c r="W84" i="1"/>
  <c r="M13" i="7"/>
  <c r="M74" i="7" s="1"/>
  <c r="V42" i="1"/>
  <c r="L21" i="7" s="1"/>
  <c r="L83" i="7" s="1"/>
  <c r="L10" i="7"/>
  <c r="L71" i="7" s="1"/>
  <c r="T61" i="1"/>
  <c r="J31" i="7" s="1"/>
  <c r="U60" i="1"/>
  <c r="K30" i="7" s="1"/>
  <c r="K22" i="7"/>
  <c r="K84" i="7" s="1"/>
  <c r="T62" i="1"/>
  <c r="J32" i="7" s="1"/>
  <c r="W27" i="1"/>
  <c r="M12" i="7" s="1"/>
  <c r="M73" i="7" s="1"/>
  <c r="W26" i="1"/>
  <c r="M11" i="7" s="1"/>
  <c r="M72" i="7" s="1"/>
  <c r="W25" i="1"/>
  <c r="X79" i="1"/>
  <c r="X80" i="1" s="1"/>
  <c r="X24" i="1"/>
  <c r="X45" i="1"/>
  <c r="N24" i="7" s="1"/>
  <c r="N86" i="7" s="1"/>
  <c r="V63" i="1"/>
  <c r="L33" i="7" s="1"/>
  <c r="V43" i="1"/>
  <c r="O28" i="5"/>
  <c r="D28" i="5" s="1"/>
  <c r="P29" i="5"/>
  <c r="O29" i="5" s="1"/>
  <c r="E28" i="5"/>
  <c r="W28" i="4"/>
  <c r="M47" i="7" l="1"/>
  <c r="N43" i="7"/>
  <c r="N46" i="7"/>
  <c r="N45" i="7"/>
  <c r="N44" i="7"/>
  <c r="V64" i="1"/>
  <c r="L34" i="7" s="1"/>
  <c r="U62" i="1"/>
  <c r="K32" i="7" s="1"/>
  <c r="W42" i="1"/>
  <c r="M21" i="7" s="1"/>
  <c r="M83" i="7" s="1"/>
  <c r="M10" i="7"/>
  <c r="M71" i="7" s="1"/>
  <c r="X84" i="1"/>
  <c r="N13" i="7"/>
  <c r="N74" i="7" s="1"/>
  <c r="U61" i="1"/>
  <c r="K31" i="7" s="1"/>
  <c r="V60" i="1"/>
  <c r="L30" i="7" s="1"/>
  <c r="L22" i="7"/>
  <c r="L84" i="7" s="1"/>
  <c r="X25" i="1"/>
  <c r="X27" i="1"/>
  <c r="N12" i="7" s="1"/>
  <c r="N73" i="7" s="1"/>
  <c r="X26" i="1"/>
  <c r="N11" i="7" s="1"/>
  <c r="N72" i="7" s="1"/>
  <c r="W63" i="1"/>
  <c r="M33" i="7" s="1"/>
  <c r="W43" i="1"/>
  <c r="N47" i="7" l="1"/>
  <c r="W64" i="1"/>
  <c r="M34" i="7" s="1"/>
  <c r="V62" i="1"/>
  <c r="L32" i="7" s="1"/>
  <c r="V61" i="1"/>
  <c r="L31" i="7" s="1"/>
  <c r="W60" i="1"/>
  <c r="M30" i="7" s="1"/>
  <c r="M22" i="7"/>
  <c r="M84" i="7" s="1"/>
  <c r="X42" i="1"/>
  <c r="N21" i="7" s="1"/>
  <c r="N83" i="7" s="1"/>
  <c r="N10" i="7"/>
  <c r="N71" i="7" s="1"/>
  <c r="X43" i="1"/>
  <c r="X63" i="1"/>
  <c r="N33" i="7" s="1"/>
  <c r="X60" i="1" l="1"/>
  <c r="N30" i="7" s="1"/>
  <c r="N22" i="7"/>
  <c r="N84" i="7" s="1"/>
  <c r="X64" i="1"/>
  <c r="N34" i="7" s="1"/>
  <c r="W61" i="1"/>
  <c r="M31" i="7" s="1"/>
  <c r="W62" i="1"/>
  <c r="M32" i="7" s="1"/>
  <c r="X61" i="1" l="1"/>
  <c r="N31" i="7" s="1"/>
  <c r="X62" i="1"/>
  <c r="N32" i="7" s="1"/>
  <c r="O90" i="1" l="1"/>
  <c r="N90" i="1"/>
  <c r="E5" i="8"/>
  <c r="F5" i="8" s="1"/>
  <c r="G5" i="8" s="1"/>
  <c r="H5" i="8" s="1"/>
  <c r="I5" i="8" s="1"/>
  <c r="J5" i="8" s="1"/>
  <c r="K5" i="8" s="1"/>
  <c r="L5" i="8" s="1"/>
  <c r="M5" i="8" s="1"/>
  <c r="N5" i="8" s="1"/>
  <c r="O5" i="8" s="1"/>
  <c r="E11" i="8" l="1"/>
  <c r="E8" i="8"/>
  <c r="E6" i="8"/>
  <c r="N91" i="1"/>
  <c r="E52" i="7"/>
  <c r="P90" i="1"/>
  <c r="O91" i="1" l="1"/>
  <c r="F8" i="8"/>
  <c r="F52" i="7"/>
  <c r="F11" i="8"/>
  <c r="F6" i="8"/>
  <c r="E53" i="7"/>
  <c r="N92" i="1"/>
  <c r="E10" i="8"/>
  <c r="E55" i="7"/>
  <c r="N94" i="1"/>
  <c r="E9" i="8"/>
  <c r="Q90" i="1"/>
  <c r="N97" i="1"/>
  <c r="E58" i="7"/>
  <c r="R90" i="1" l="1"/>
  <c r="O92" i="1"/>
  <c r="F53" i="7"/>
  <c r="O97" i="1"/>
  <c r="F58" i="7"/>
  <c r="E56" i="7"/>
  <c r="N95" i="1"/>
  <c r="N71" i="1" s="1"/>
  <c r="F10" i="8"/>
  <c r="O94" i="1"/>
  <c r="F55" i="7"/>
  <c r="F9" i="8"/>
  <c r="N96" i="1"/>
  <c r="E57" i="7"/>
  <c r="G6" i="8"/>
  <c r="G11" i="8"/>
  <c r="G52" i="7"/>
  <c r="P91" i="1"/>
  <c r="G8" i="8"/>
  <c r="G9" i="8" l="1"/>
  <c r="G10" i="8"/>
  <c r="P94" i="1"/>
  <c r="G55" i="7"/>
  <c r="Q91" i="1"/>
  <c r="H11" i="8"/>
  <c r="H52" i="7"/>
  <c r="H8" i="8"/>
  <c r="H6" i="8"/>
  <c r="G58" i="7"/>
  <c r="P97" i="1"/>
  <c r="G53" i="7"/>
  <c r="P92" i="1"/>
  <c r="F56" i="7"/>
  <c r="O95" i="1"/>
  <c r="O71" i="1" s="1"/>
  <c r="O96" i="1"/>
  <c r="F57" i="7"/>
  <c r="D42" i="7"/>
  <c r="N58" i="1"/>
  <c r="N44" i="1" s="1"/>
  <c r="S90" i="1"/>
  <c r="E42" i="7" l="1"/>
  <c r="O58" i="1"/>
  <c r="E28" i="7" s="1"/>
  <c r="I52" i="7"/>
  <c r="I11" i="8"/>
  <c r="I6" i="8"/>
  <c r="I8" i="8"/>
  <c r="R91" i="1"/>
  <c r="Q92" i="1"/>
  <c r="H53" i="7"/>
  <c r="P96" i="1"/>
  <c r="G57" i="7"/>
  <c r="Q97" i="1"/>
  <c r="H58" i="7"/>
  <c r="N68" i="1"/>
  <c r="D38" i="7" s="1"/>
  <c r="N67" i="1"/>
  <c r="D37" i="7" s="1"/>
  <c r="D28" i="7"/>
  <c r="H9" i="8"/>
  <c r="H55" i="7"/>
  <c r="H10" i="8"/>
  <c r="Q94" i="1"/>
  <c r="P95" i="1"/>
  <c r="P71" i="1" s="1"/>
  <c r="G56" i="7"/>
  <c r="I53" i="7" l="1"/>
  <c r="R92" i="1"/>
  <c r="I55" i="7"/>
  <c r="I10" i="8"/>
  <c r="R94" i="1"/>
  <c r="I9" i="8"/>
  <c r="P58" i="1"/>
  <c r="F28" i="7" s="1"/>
  <c r="F42" i="7"/>
  <c r="N59" i="1"/>
  <c r="D29" i="7" s="1"/>
  <c r="D23" i="7"/>
  <c r="D85" i="7" s="1"/>
  <c r="D82" i="7" s="1"/>
  <c r="N41" i="1"/>
  <c r="D20" i="7" s="1"/>
  <c r="Q96" i="1"/>
  <c r="H57" i="7"/>
  <c r="S91" i="1"/>
  <c r="J11" i="8"/>
  <c r="J52" i="7"/>
  <c r="J8" i="8"/>
  <c r="J6" i="8"/>
  <c r="R97" i="1"/>
  <c r="I58" i="7"/>
  <c r="Q95" i="1"/>
  <c r="Q71" i="1" s="1"/>
  <c r="H56" i="7"/>
  <c r="O44" i="1"/>
  <c r="O68" i="1"/>
  <c r="E38" i="7" s="1"/>
  <c r="O67" i="1"/>
  <c r="E37" i="7" s="1"/>
  <c r="D65" i="7" l="1"/>
  <c r="D67" i="7"/>
  <c r="D66" i="7"/>
  <c r="D63" i="7"/>
  <c r="D64" i="7"/>
  <c r="O41" i="1"/>
  <c r="E20" i="7" s="1"/>
  <c r="E23" i="7"/>
  <c r="E85" i="7" s="1"/>
  <c r="E82" i="7" s="1"/>
  <c r="O59" i="1"/>
  <c r="E29" i="7" s="1"/>
  <c r="S97" i="1"/>
  <c r="J58" i="7"/>
  <c r="P67" i="1"/>
  <c r="F37" i="7" s="1"/>
  <c r="P44" i="1"/>
  <c r="P68" i="1"/>
  <c r="F38" i="7" s="1"/>
  <c r="G42" i="7"/>
  <c r="Q58" i="1"/>
  <c r="G28" i="7" s="1"/>
  <c r="K8" i="8"/>
  <c r="K11" i="8"/>
  <c r="K52" i="7"/>
  <c r="T91" i="1"/>
  <c r="K6" i="8"/>
  <c r="R95" i="1"/>
  <c r="R71" i="1" s="1"/>
  <c r="I56" i="7"/>
  <c r="R96" i="1"/>
  <c r="I57" i="7"/>
  <c r="J53" i="7"/>
  <c r="S92" i="1"/>
  <c r="S94" i="1"/>
  <c r="J9" i="8"/>
  <c r="J10" i="8"/>
  <c r="J55" i="7"/>
  <c r="E65" i="7" l="1"/>
  <c r="E67" i="7"/>
  <c r="E66" i="7"/>
  <c r="E63" i="7"/>
  <c r="E64" i="7"/>
  <c r="J56" i="7"/>
  <c r="S95" i="1"/>
  <c r="S71" i="1" s="1"/>
  <c r="T92" i="1"/>
  <c r="K53" i="7"/>
  <c r="K10" i="8"/>
  <c r="K9" i="8"/>
  <c r="T94" i="1"/>
  <c r="K55" i="7"/>
  <c r="P41" i="1"/>
  <c r="F20" i="7" s="1"/>
  <c r="F23" i="7"/>
  <c r="P59" i="1"/>
  <c r="F29" i="7" s="1"/>
  <c r="K58" i="7"/>
  <c r="T97" i="1"/>
  <c r="L8" i="8"/>
  <c r="L11" i="8"/>
  <c r="U91" i="1"/>
  <c r="L6" i="8"/>
  <c r="L52" i="7"/>
  <c r="Q67" i="1"/>
  <c r="G37" i="7" s="1"/>
  <c r="Q44" i="1"/>
  <c r="Q68" i="1"/>
  <c r="G38" i="7" s="1"/>
  <c r="S96" i="1"/>
  <c r="J57" i="7"/>
  <c r="H42" i="7"/>
  <c r="R58" i="1"/>
  <c r="H28" i="7" s="1"/>
  <c r="F65" i="7" l="1"/>
  <c r="F85" i="7"/>
  <c r="F82" i="7" s="1"/>
  <c r="F66" i="7"/>
  <c r="F67" i="7"/>
  <c r="F64" i="7"/>
  <c r="F63" i="7"/>
  <c r="U97" i="1"/>
  <c r="L58" i="7"/>
  <c r="Q41" i="1"/>
  <c r="G20" i="7" s="1"/>
  <c r="G23" i="7"/>
  <c r="Q59" i="1"/>
  <c r="G29" i="7" s="1"/>
  <c r="K57" i="7"/>
  <c r="T96" i="1"/>
  <c r="L10" i="8"/>
  <c r="L9" i="8"/>
  <c r="L55" i="7"/>
  <c r="U94" i="1"/>
  <c r="R68" i="1"/>
  <c r="H38" i="7" s="1"/>
  <c r="R44" i="1"/>
  <c r="R67" i="1"/>
  <c r="H37" i="7" s="1"/>
  <c r="I42" i="7"/>
  <c r="S58" i="1"/>
  <c r="I28" i="7" s="1"/>
  <c r="K56" i="7"/>
  <c r="T95" i="1"/>
  <c r="T71" i="1" s="1"/>
  <c r="M6" i="8"/>
  <c r="M11" i="8"/>
  <c r="M52" i="7"/>
  <c r="M8" i="8"/>
  <c r="V91" i="1"/>
  <c r="L53" i="7"/>
  <c r="U92" i="1"/>
  <c r="G65" i="7" l="1"/>
  <c r="G85" i="7"/>
  <c r="G82" i="7" s="1"/>
  <c r="G67" i="7"/>
  <c r="G66" i="7"/>
  <c r="G63" i="7"/>
  <c r="G64" i="7"/>
  <c r="S68" i="1"/>
  <c r="I38" i="7" s="1"/>
  <c r="S44" i="1"/>
  <c r="S67" i="1"/>
  <c r="I37" i="7" s="1"/>
  <c r="V92" i="1"/>
  <c r="M53" i="7"/>
  <c r="T58" i="1"/>
  <c r="J28" i="7" s="1"/>
  <c r="J42" i="7"/>
  <c r="N52" i="7"/>
  <c r="N6" i="8"/>
  <c r="N11" i="8"/>
  <c r="W91" i="1"/>
  <c r="N8" i="8"/>
  <c r="L57" i="7"/>
  <c r="U96" i="1"/>
  <c r="V94" i="1"/>
  <c r="M55" i="7"/>
  <c r="M10" i="8"/>
  <c r="M9" i="8"/>
  <c r="R41" i="1"/>
  <c r="H20" i="7" s="1"/>
  <c r="H23" i="7"/>
  <c r="R59" i="1"/>
  <c r="H29" i="7" s="1"/>
  <c r="V97" i="1"/>
  <c r="M58" i="7"/>
  <c r="U95" i="1"/>
  <c r="U71" i="1" s="1"/>
  <c r="L56" i="7"/>
  <c r="H65" i="7" l="1"/>
  <c r="H85" i="7"/>
  <c r="H82" i="7" s="1"/>
  <c r="H66" i="7"/>
  <c r="H67" i="7"/>
  <c r="H63" i="7"/>
  <c r="H64" i="7"/>
  <c r="N55" i="7"/>
  <c r="N10" i="8"/>
  <c r="N9" i="8"/>
  <c r="W94" i="1"/>
  <c r="T67" i="1"/>
  <c r="J37" i="7" s="1"/>
  <c r="T68" i="1"/>
  <c r="J38" i="7" s="1"/>
  <c r="T44" i="1"/>
  <c r="O11" i="8"/>
  <c r="X97" i="1" s="1"/>
  <c r="O6" i="8"/>
  <c r="X92" i="1" s="1"/>
  <c r="O8" i="8"/>
  <c r="X91" i="1"/>
  <c r="U58" i="1"/>
  <c r="K28" i="7" s="1"/>
  <c r="K42" i="7"/>
  <c r="M56" i="7"/>
  <c r="V95" i="1"/>
  <c r="V71" i="1" s="1"/>
  <c r="V96" i="1"/>
  <c r="M57" i="7"/>
  <c r="W97" i="1"/>
  <c r="N58" i="7"/>
  <c r="S41" i="1"/>
  <c r="I20" i="7" s="1"/>
  <c r="I23" i="7"/>
  <c r="I85" i="7" s="1"/>
  <c r="I82" i="7" s="1"/>
  <c r="S59" i="1"/>
  <c r="I29" i="7" s="1"/>
  <c r="W92" i="1"/>
  <c r="N53" i="7"/>
  <c r="I67" i="7" l="1"/>
  <c r="I66" i="7"/>
  <c r="I63" i="7"/>
  <c r="I64" i="7"/>
  <c r="I65" i="7"/>
  <c r="L42" i="7"/>
  <c r="V58" i="1"/>
  <c r="L28" i="7" s="1"/>
  <c r="T41" i="1"/>
  <c r="J20" i="7" s="1"/>
  <c r="J23" i="7"/>
  <c r="J85" i="7" s="1"/>
  <c r="J82" i="7" s="1"/>
  <c r="T59" i="1"/>
  <c r="J29" i="7" s="1"/>
  <c r="U68" i="1"/>
  <c r="K38" i="7" s="1"/>
  <c r="U44" i="1"/>
  <c r="U67" i="1"/>
  <c r="K37" i="7" s="1"/>
  <c r="W95" i="1"/>
  <c r="W71" i="1" s="1"/>
  <c r="N56" i="7"/>
  <c r="O10" i="8"/>
  <c r="X96" i="1" s="1"/>
  <c r="O9" i="8"/>
  <c r="X95" i="1" s="1"/>
  <c r="X71" i="1" s="1"/>
  <c r="X94" i="1"/>
  <c r="N57" i="7"/>
  <c r="W96" i="1"/>
  <c r="J66" i="7" l="1"/>
  <c r="J67" i="7"/>
  <c r="J63" i="7"/>
  <c r="J64" i="7"/>
  <c r="J65" i="7"/>
  <c r="N42" i="7"/>
  <c r="X58" i="1"/>
  <c r="N28" i="7" s="1"/>
  <c r="U41" i="1"/>
  <c r="K20" i="7" s="1"/>
  <c r="U59" i="1"/>
  <c r="K29" i="7" s="1"/>
  <c r="K23" i="7"/>
  <c r="K85" i="7" s="1"/>
  <c r="K82" i="7" s="1"/>
  <c r="V68" i="1"/>
  <c r="L38" i="7" s="1"/>
  <c r="V44" i="1"/>
  <c r="V67" i="1"/>
  <c r="L37" i="7" s="1"/>
  <c r="W58" i="1"/>
  <c r="M28" i="7" s="1"/>
  <c r="M42" i="7"/>
  <c r="K66" i="7" l="1"/>
  <c r="K67" i="7"/>
  <c r="K63" i="7"/>
  <c r="K64" i="7"/>
  <c r="K65" i="7"/>
  <c r="V59" i="1"/>
  <c r="L29" i="7" s="1"/>
  <c r="V41" i="1"/>
  <c r="L20" i="7" s="1"/>
  <c r="L23" i="7"/>
  <c r="L85" i="7" s="1"/>
  <c r="L82" i="7" s="1"/>
  <c r="X44" i="1"/>
  <c r="X67" i="1"/>
  <c r="N37" i="7" s="1"/>
  <c r="X68" i="1"/>
  <c r="N38" i="7" s="1"/>
  <c r="W44" i="1"/>
  <c r="W67" i="1"/>
  <c r="M37" i="7" s="1"/>
  <c r="W68" i="1"/>
  <c r="M38" i="7" s="1"/>
  <c r="L65" i="7" l="1"/>
  <c r="L67" i="7"/>
  <c r="L66" i="7"/>
  <c r="L63" i="7"/>
  <c r="L64" i="7"/>
  <c r="W59" i="1"/>
  <c r="M29" i="7" s="1"/>
  <c r="W41" i="1"/>
  <c r="M20" i="7" s="1"/>
  <c r="M23" i="7"/>
  <c r="M85" i="7" s="1"/>
  <c r="M82" i="7" s="1"/>
  <c r="N23" i="7"/>
  <c r="N85" i="7" s="1"/>
  <c r="N82" i="7" s="1"/>
  <c r="X59" i="1"/>
  <c r="N29" i="7" s="1"/>
  <c r="X41" i="1"/>
  <c r="N20" i="7" s="1"/>
  <c r="M67" i="7" l="1"/>
  <c r="M66" i="7"/>
  <c r="M63" i="7"/>
  <c r="M64" i="7"/>
  <c r="M65" i="7"/>
  <c r="N66" i="7"/>
  <c r="N67" i="7"/>
  <c r="N63" i="7"/>
  <c r="N64" i="7"/>
  <c r="N65" i="7"/>
</calcChain>
</file>

<file path=xl/sharedStrings.xml><?xml version="1.0" encoding="utf-8"?>
<sst xmlns="http://schemas.openxmlformats.org/spreadsheetml/2006/main" count="586" uniqueCount="138">
  <si>
    <t>TWh</t>
  </si>
  <si>
    <t>Yenilenebilir</t>
  </si>
  <si>
    <t>Hidro</t>
  </si>
  <si>
    <t>Nükleer</t>
  </si>
  <si>
    <t>Fosil</t>
  </si>
  <si>
    <t>Kömür</t>
  </si>
  <si>
    <t>Gaz</t>
  </si>
  <si>
    <t>Petrol</t>
  </si>
  <si>
    <t>Diğer</t>
  </si>
  <si>
    <t>Toplam</t>
  </si>
  <si>
    <t>Büyüme Oranları</t>
  </si>
  <si>
    <t>(%)</t>
  </si>
  <si>
    <t>Oranlar</t>
  </si>
  <si>
    <t>Fosil Elektrik Üretimi içindeki Oranlar</t>
  </si>
  <si>
    <t>tes</t>
  </si>
  <si>
    <t>coal</t>
  </si>
  <si>
    <t>gas</t>
  </si>
  <si>
    <t>oil</t>
  </si>
  <si>
    <t>ren</t>
  </si>
  <si>
    <t>nuclear</t>
  </si>
  <si>
    <t>EJ</t>
  </si>
  <si>
    <t>Oil</t>
  </si>
  <si>
    <t>Elektrik üretimi-EJ Oranları</t>
  </si>
  <si>
    <t>Birimler</t>
  </si>
  <si>
    <t>bcm</t>
  </si>
  <si>
    <t xml:space="preserve">   LNG</t>
  </si>
  <si>
    <t xml:space="preserve">  Elektrik</t>
  </si>
  <si>
    <t xml:space="preserve">Kömür </t>
  </si>
  <si>
    <t>milyon ton</t>
  </si>
  <si>
    <t>mv/g</t>
  </si>
  <si>
    <t>Toplam Petrol Sıvıları</t>
  </si>
  <si>
    <t>Boruhattı</t>
  </si>
  <si>
    <t>Crude</t>
  </si>
  <si>
    <t>Product</t>
  </si>
  <si>
    <t>Million tonnes</t>
  </si>
  <si>
    <t>Imports</t>
  </si>
  <si>
    <t>Exports</t>
  </si>
  <si>
    <t>Total World</t>
  </si>
  <si>
    <t>Crude Trade</t>
  </si>
  <si>
    <t>Product Trade</t>
  </si>
  <si>
    <t>Total</t>
  </si>
  <si>
    <t>Petrol Ticareti</t>
  </si>
  <si>
    <t>Ham Petrol</t>
  </si>
  <si>
    <t>Ürün</t>
  </si>
  <si>
    <t>Petrol Ürünleri</t>
  </si>
  <si>
    <t>Benzin</t>
  </si>
  <si>
    <t>Dizel</t>
  </si>
  <si>
    <t>Kerosen</t>
  </si>
  <si>
    <t>LPG</t>
  </si>
  <si>
    <t>Fuel Oil</t>
  </si>
  <si>
    <t>Yenilenebilir Elektrik</t>
  </si>
  <si>
    <t>Güneş</t>
  </si>
  <si>
    <t>Rüzgar</t>
  </si>
  <si>
    <t>Bio-Geo</t>
  </si>
  <si>
    <t>res</t>
  </si>
  <si>
    <t>fossil</t>
  </si>
  <si>
    <t>elecbyfuel_nuclear</t>
  </si>
  <si>
    <t>hydro_twh</t>
  </si>
  <si>
    <t>ren_twh</t>
  </si>
  <si>
    <t>büyüme</t>
  </si>
  <si>
    <t>elect_twh</t>
  </si>
  <si>
    <t>elecce</t>
  </si>
  <si>
    <t>Other</t>
  </si>
  <si>
    <t>Gas</t>
  </si>
  <si>
    <t>Coal</t>
  </si>
  <si>
    <t>Toplam fossil</t>
  </si>
  <si>
    <t>Oran</t>
  </si>
  <si>
    <t>Artış</t>
  </si>
  <si>
    <t>Elektrik Talep Artışı</t>
  </si>
  <si>
    <t>Yenilenebilir Elektrik Artışı</t>
  </si>
  <si>
    <t>Elektrik Talebi</t>
  </si>
  <si>
    <t>(TWh)</t>
  </si>
  <si>
    <t>Bio-Jeo</t>
  </si>
  <si>
    <t>Elektrik</t>
  </si>
  <si>
    <t>Toplam Enerji-EJ</t>
  </si>
  <si>
    <t>Toplam Enerji-Birimler</t>
  </si>
  <si>
    <t>(mv/g)</t>
  </si>
  <si>
    <t>Dizel İkame</t>
  </si>
  <si>
    <t>Benzin İkame</t>
  </si>
  <si>
    <t>Petrol Eşdeğeri</t>
  </si>
  <si>
    <t>(adet)</t>
  </si>
  <si>
    <t>Toplam Araba</t>
  </si>
  <si>
    <t>(oran)</t>
  </si>
  <si>
    <t>Elektrikli araba</t>
  </si>
  <si>
    <t>Toplam Elektrikli Araba</t>
  </si>
  <si>
    <t>Elektrikli araba satışı</t>
  </si>
  <si>
    <t>Elektrikli Arabalar</t>
  </si>
  <si>
    <t>(milyon adet)</t>
  </si>
  <si>
    <t>Barış Sanlı, barissanli.com</t>
  </si>
  <si>
    <t>Basit Küresel Enerji Modeli (Öğretici Amaçlıdır)</t>
  </si>
  <si>
    <t>Modelde kısaca elektrik talep artılı ve yenilenebilir elektrik artışı değiştirilerek dünya enerji talebi ve diğer göstergeler hesaplanır.(2 Eylül 2025)</t>
  </si>
  <si>
    <t>Toplam Enerjide Oranlar</t>
  </si>
  <si>
    <t>Elektrikte Oranlar</t>
  </si>
  <si>
    <t>Emsiyonlar</t>
  </si>
  <si>
    <t>mt</t>
  </si>
  <si>
    <t>EJ Başına CO2</t>
  </si>
  <si>
    <t>Simple Global Energy Model (For Tutorial Purposes)</t>
  </si>
  <si>
    <t/>
  </si>
  <si>
    <t>In the model, world energy demand and other indicators are calculated by changing the increase in electricity demand and the increase in renewable electricity. (September 2, 2025)</t>
  </si>
  <si>
    <t>Baris Sanli, barissanli.com</t>
  </si>
  <si>
    <t>Electricity Demand Increase</t>
  </si>
  <si>
    <t>Renewable Electricity Increase</t>
  </si>
  <si>
    <t>Electricity</t>
  </si>
  <si>
    <t>Electricity Demand</t>
  </si>
  <si>
    <t>Sun</t>
  </si>
  <si>
    <t>Wind</t>
  </si>
  <si>
    <t>Hydro</t>
  </si>
  <si>
    <t>Nuclear</t>
  </si>
  <si>
    <t>Total Energy-EJ</t>
  </si>
  <si>
    <t>Sum</t>
  </si>
  <si>
    <t>Renewable</t>
  </si>
  <si>
    <t>Total Energy-Units</t>
  </si>
  <si>
    <t>Total Petroleum Liquids</t>
  </si>
  <si>
    <t>Bcm</t>
  </si>
  <si>
    <t>Pipeline</t>
  </si>
  <si>
    <t>LNG</t>
  </si>
  <si>
    <t>million tons</t>
  </si>
  <si>
    <t>Oil Trading</t>
  </si>
  <si>
    <t>Crude Oil</t>
  </si>
  <si>
    <t>Petroleum Products</t>
  </si>
  <si>
    <t>Diesel</t>
  </si>
  <si>
    <t>Kerosene</t>
  </si>
  <si>
    <t>Electric Cars</t>
  </si>
  <si>
    <t>Electric car sales</t>
  </si>
  <si>
    <t>(million pieces)</t>
  </si>
  <si>
    <t>Total Electric Car</t>
  </si>
  <si>
    <t>Electric car</t>
  </si>
  <si>
    <t>(rate)</t>
  </si>
  <si>
    <t>Total Car</t>
  </si>
  <si>
    <t>Oil Equivalent</t>
  </si>
  <si>
    <t>Gasoline Substitution</t>
  </si>
  <si>
    <t>Diesel Substitution</t>
  </si>
  <si>
    <t>Ratios in Total Energy</t>
  </si>
  <si>
    <t>Rates in Electricity</t>
  </si>
  <si>
    <t>Emissions</t>
  </si>
  <si>
    <t>mb/d</t>
  </si>
  <si>
    <t>(mb/d)</t>
  </si>
  <si>
    <t>CO2 per 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</si>
</sst>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%"/>
    <numFmt numFmtId="166" formatCode="0.0000"/>
    <numFmt numFmtId="167" formatCode="0.0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 tint="0.499984740745262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11"/>
      <color theme="1"/>
      <name val="Calibri"/>
      <family val="2"/>
    </font>
    <font>
      <sz val="12"/>
      <color rgb="FF00000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3"/>
      <color theme="1"/>
      <name val="Aptos Narrow"/>
      <family val="2"/>
      <scheme val="minor"/>
    </font>
    <font>
      <b/>
      <sz val="18"/>
      <color theme="1"/>
      <name val="Aptos Narrow"/>
      <scheme val="minor"/>
    </font>
    <font>
      <sz val="12"/>
      <color theme="0"/>
      <name val="Aptos Narrow"/>
      <family val="2"/>
      <scheme val="minor"/>
    </font>
    <font>
      <i/>
      <sz val="12"/>
      <color theme="2" tint="-0.499984740745262"/>
      <name val="Aptos Narrow"/>
      <scheme val="minor"/>
    </font>
    <font>
      <sz val="20"/>
      <color theme="2" tint="-0.499984740745262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6"/>
      <color rgb="FFC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2"/>
    </xf>
    <xf numFmtId="0" fontId="2" fillId="0" borderId="0" xfId="0" applyFont="1"/>
    <xf numFmtId="0" fontId="3" fillId="0" borderId="0" xfId="0" applyFont="1"/>
    <xf numFmtId="0" fontId="4" fillId="0" borderId="0" xfId="0" applyFont="1"/>
    <xf numFmtId="9" fontId="0" fillId="0" borderId="0" xfId="1" applyFon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  <xf numFmtId="10" fontId="4" fillId="0" borderId="0" xfId="0" applyNumberFormat="1" applyFont="1"/>
    <xf numFmtId="164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167" fontId="0" fillId="0" borderId="0" xfId="0" applyNumberFormat="1"/>
    <xf numFmtId="0" fontId="9" fillId="0" borderId="0" xfId="0" applyFont="1"/>
    <xf numFmtId="0" fontId="9" fillId="2" borderId="2" xfId="0" applyFont="1" applyFill="1" applyBorder="1" applyAlignment="1">
      <alignment vertical="center"/>
    </xf>
    <xf numFmtId="10" fontId="9" fillId="0" borderId="7" xfId="0" applyNumberFormat="1" applyFont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9" fontId="9" fillId="0" borderId="8" xfId="0" applyNumberFormat="1" applyFont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3" xfId="0" applyFont="1" applyFill="1" applyBorder="1"/>
    <xf numFmtId="0" fontId="9" fillId="2" borderId="6" xfId="0" applyFont="1" applyFill="1" applyBorder="1"/>
    <xf numFmtId="167" fontId="0" fillId="0" borderId="0" xfId="1" applyNumberFormat="1" applyFont="1"/>
    <xf numFmtId="0" fontId="10" fillId="3" borderId="9" xfId="0" applyFont="1" applyFill="1" applyBorder="1"/>
    <xf numFmtId="0" fontId="11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4" borderId="0" xfId="0" applyFill="1"/>
    <xf numFmtId="0" fontId="11" fillId="4" borderId="0" xfId="0" applyFont="1" applyFill="1" applyAlignment="1">
      <alignment horizontal="center"/>
    </xf>
    <xf numFmtId="0" fontId="0" fillId="0" borderId="11" xfId="0" applyBorder="1"/>
    <xf numFmtId="0" fontId="11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15" xfId="0" applyFont="1" applyBorder="1" applyAlignment="1">
      <alignment horizontal="center"/>
    </xf>
    <xf numFmtId="0" fontId="0" fillId="0" borderId="13" xfId="0" applyBorder="1" applyAlignment="1">
      <alignment horizontal="left" indent="1"/>
    </xf>
    <xf numFmtId="0" fontId="0" fillId="0" borderId="13" xfId="0" applyBorder="1" applyAlignment="1">
      <alignment horizontal="left"/>
    </xf>
    <xf numFmtId="0" fontId="9" fillId="4" borderId="0" xfId="0" applyFont="1" applyFill="1"/>
    <xf numFmtId="0" fontId="12" fillId="4" borderId="0" xfId="0" applyFont="1" applyFill="1"/>
    <xf numFmtId="0" fontId="13" fillId="4" borderId="0" xfId="0" applyFont="1" applyFill="1"/>
    <xf numFmtId="0" fontId="13" fillId="0" borderId="0" xfId="0" applyFont="1"/>
    <xf numFmtId="0" fontId="14" fillId="0" borderId="0" xfId="0" applyFont="1" applyAlignment="1">
      <alignment horizontal="left"/>
    </xf>
    <xf numFmtId="0" fontId="9" fillId="4" borderId="0" xfId="0" applyFont="1" applyFill="1" applyAlignment="1">
      <alignment horizontal="left" vertical="top"/>
    </xf>
    <xf numFmtId="0" fontId="14" fillId="4" borderId="0" xfId="0" applyFont="1" applyFill="1" applyAlignment="1">
      <alignment horizontal="left"/>
    </xf>
    <xf numFmtId="9" fontId="0" fillId="0" borderId="11" xfId="1" applyFont="1" applyBorder="1"/>
    <xf numFmtId="9" fontId="0" fillId="0" borderId="16" xfId="1" applyFont="1" applyBorder="1"/>
    <xf numFmtId="9" fontId="0" fillId="0" borderId="12" xfId="1" applyFont="1" applyBorder="1"/>
    <xf numFmtId="9" fontId="0" fillId="0" borderId="13" xfId="1" applyFont="1" applyBorder="1"/>
    <xf numFmtId="9" fontId="0" fillId="0" borderId="0" xfId="1" applyFont="1" applyBorder="1"/>
    <xf numFmtId="9" fontId="0" fillId="0" borderId="10" xfId="1" applyFont="1" applyBorder="1"/>
    <xf numFmtId="9" fontId="0" fillId="0" borderId="14" xfId="1" applyFont="1" applyBorder="1"/>
    <xf numFmtId="9" fontId="0" fillId="0" borderId="9" xfId="1" applyFont="1" applyBorder="1"/>
    <xf numFmtId="9" fontId="0" fillId="0" borderId="15" xfId="1" applyFont="1" applyBorder="1"/>
    <xf numFmtId="167" fontId="0" fillId="0" borderId="11" xfId="0" applyNumberFormat="1" applyBorder="1"/>
    <xf numFmtId="167" fontId="0" fillId="0" borderId="16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167" fontId="0" fillId="0" borderId="10" xfId="0" applyNumberFormat="1" applyBorder="1"/>
    <xf numFmtId="167" fontId="0" fillId="0" borderId="14" xfId="0" applyNumberFormat="1" applyBorder="1"/>
    <xf numFmtId="167" fontId="0" fillId="0" borderId="9" xfId="0" applyNumberFormat="1" applyBorder="1"/>
    <xf numFmtId="167" fontId="0" fillId="0" borderId="15" xfId="0" applyNumberFormat="1" applyBorder="1"/>
    <xf numFmtId="0" fontId="10" fillId="3" borderId="0" xfId="0" applyFont="1" applyFill="1"/>
    <xf numFmtId="0" fontId="0" fillId="0" borderId="12" xfId="0" applyBorder="1"/>
    <xf numFmtId="0" fontId="0" fillId="0" borderId="15" xfId="0" applyBorder="1"/>
    <xf numFmtId="0" fontId="11" fillId="0" borderId="16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0" fillId="0" borderId="13" xfId="0" applyBorder="1" applyAlignment="1">
      <alignment horizontal="left" indent="3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Elektrik Üretimi</a:t>
            </a:r>
            <a:r>
              <a:rPr lang="en-GB" baseline="0"/>
              <a:t> Projeksiyon - TWh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ana!$B$10:$C$10</c:f>
              <c:strCache>
                <c:ptCount val="2"/>
                <c:pt idx="0">
                  <c:v>Kömür</c:v>
                </c:pt>
                <c:pt idx="1">
                  <c:v>(TWh)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ana!$D$10:$N$10</c:f>
              <c:numCache>
                <c:formatCode>0.0</c:formatCode>
                <c:ptCount val="11"/>
                <c:pt idx="0">
                  <c:v>10665.620976229502</c:v>
                </c:pt>
                <c:pt idx="1">
                  <c:v>10713.712360123081</c:v>
                </c:pt>
                <c:pt idx="2">
                  <c:v>10713.575639919527</c:v>
                </c:pt>
                <c:pt idx="3">
                  <c:v>10656.831855747107</c:v>
                </c:pt>
                <c:pt idx="4">
                  <c:v>10533.907702997039</c:v>
                </c:pt>
                <c:pt idx="5">
                  <c:v>10333.871911876287</c:v>
                </c:pt>
                <c:pt idx="6">
                  <c:v>10044.249423681984</c:v>
                </c:pt>
                <c:pt idx="7">
                  <c:v>9650.8103598148755</c:v>
                </c:pt>
                <c:pt idx="8">
                  <c:v>9137.3303737889328</c:v>
                </c:pt>
                <c:pt idx="9">
                  <c:v>8485.3185160040503</c:v>
                </c:pt>
                <c:pt idx="10">
                  <c:v>7673.7082184567716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8E-694C-B507-5458BB01A303}"/>
            </c:ext>
          </c:extLst>
        </c:ser>
        <c:ser>
          <c:idx val="2"/>
          <c:order val="1"/>
          <c:tx>
            <c:strRef>
              <c:f>ana!$B$11:$C$11</c:f>
              <c:strCache>
                <c:ptCount val="2"/>
                <c:pt idx="0">
                  <c:v>Gaz</c:v>
                </c:pt>
                <c:pt idx="1">
                  <c:v>(TWh)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ana!$D$11:$N$11</c:f>
              <c:numCache>
                <c:formatCode>0.0</c:formatCode>
                <c:ptCount val="11"/>
                <c:pt idx="0">
                  <c:v>7232.8728296959025</c:v>
                </c:pt>
                <c:pt idx="1">
                  <c:v>7365.5189047086951</c:v>
                </c:pt>
                <c:pt idx="2">
                  <c:v>7466.1565468619365</c:v>
                </c:pt>
                <c:pt idx="3">
                  <c:v>7527.5141847715549</c:v>
                </c:pt>
                <c:pt idx="4">
                  <c:v>7541.1265858769575</c:v>
                </c:pt>
                <c:pt idx="5">
                  <c:v>7497.1528214840664</c:v>
                </c:pt>
                <c:pt idx="6">
                  <c:v>7384.1670667456619</c:v>
                </c:pt>
                <c:pt idx="7">
                  <c:v>7188.9182139295426</c:v>
                </c:pt>
                <c:pt idx="8">
                  <c:v>6896.0536843629698</c:v>
                </c:pt>
                <c:pt idx="9">
                  <c:v>6487.8021443008993</c:v>
                </c:pt>
                <c:pt idx="10">
                  <c:v>5943.6090498584808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8E-694C-B507-5458BB01A303}"/>
            </c:ext>
          </c:extLst>
        </c:ser>
        <c:ser>
          <c:idx val="3"/>
          <c:order val="2"/>
          <c:tx>
            <c:strRef>
              <c:f>ana!$B$12:$C$12</c:f>
              <c:strCache>
                <c:ptCount val="2"/>
                <c:pt idx="0">
                  <c:v>Petrol</c:v>
                </c:pt>
                <c:pt idx="1">
                  <c:v>(TWh)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ana!$D$12:$N$12</c:f>
              <c:numCache>
                <c:formatCode>0.0</c:formatCode>
                <c:ptCount val="11"/>
                <c:pt idx="0">
                  <c:v>628.85633343159316</c:v>
                </c:pt>
                <c:pt idx="1">
                  <c:v>596.54259165673227</c:v>
                </c:pt>
                <c:pt idx="2">
                  <c:v>561.14022855926498</c:v>
                </c:pt>
                <c:pt idx="3">
                  <c:v>522.71368777471355</c:v>
                </c:pt>
                <c:pt idx="4">
                  <c:v>481.3918227830415</c:v>
                </c:pt>
                <c:pt idx="5">
                  <c:v>437.38322413399021</c:v>
                </c:pt>
                <c:pt idx="6">
                  <c:v>390.99449199412862</c:v>
                </c:pt>
                <c:pt idx="7">
                  <c:v>342.65197420601004</c:v>
                </c:pt>
                <c:pt idx="8">
                  <c:v>292.92757779204715</c:v>
                </c:pt>
                <c:pt idx="9">
                  <c:v>242.56936394224388</c:v>
                </c:pt>
                <c:pt idx="10">
                  <c:v>192.53775529770394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8E-694C-B507-5458BB01A303}"/>
            </c:ext>
          </c:extLst>
        </c:ser>
        <c:ser>
          <c:idx val="8"/>
          <c:order val="3"/>
          <c:tx>
            <c:strRef>
              <c:f>ana!$B$17:$C$17</c:f>
              <c:strCache>
                <c:ptCount val="2"/>
                <c:pt idx="0">
                  <c:v>Nükleer</c:v>
                </c:pt>
                <c:pt idx="1">
                  <c:v>(TWh)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ana!$D$17:$N$17</c:f>
              <c:numCache>
                <c:formatCode>0.0</c:formatCode>
                <c:ptCount val="11"/>
                <c:pt idx="0">
                  <c:v>2873.8013674200001</c:v>
                </c:pt>
                <c:pt idx="1">
                  <c:v>2931.2773947684</c:v>
                </c:pt>
                <c:pt idx="2">
                  <c:v>2989.902942663768</c:v>
                </c:pt>
                <c:pt idx="3">
                  <c:v>3049.7010015170436</c:v>
                </c:pt>
                <c:pt idx="4">
                  <c:v>3110.6950215473844</c:v>
                </c:pt>
                <c:pt idx="5">
                  <c:v>3172.9089219783323</c:v>
                </c:pt>
                <c:pt idx="6">
                  <c:v>3236.3671004178991</c:v>
                </c:pt>
                <c:pt idx="7">
                  <c:v>3301.094442426257</c:v>
                </c:pt>
                <c:pt idx="8">
                  <c:v>3367.1163312747822</c:v>
                </c:pt>
                <c:pt idx="9">
                  <c:v>3434.458657900278</c:v>
                </c:pt>
                <c:pt idx="10">
                  <c:v>3503.1478310582838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8E-694C-B507-5458BB01A303}"/>
            </c:ext>
          </c:extLst>
        </c:ser>
        <c:ser>
          <c:idx val="6"/>
          <c:order val="4"/>
          <c:tx>
            <c:strRef>
              <c:f>ana!$B$15:$C$15</c:f>
              <c:strCache>
                <c:ptCount val="2"/>
                <c:pt idx="0">
                  <c:v>Bio-Jeo</c:v>
                </c:pt>
                <c:pt idx="1">
                  <c:v>(TWh)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ana!$D$15:$N$15</c:f>
              <c:numCache>
                <c:formatCode>0.0</c:formatCode>
                <c:ptCount val="11"/>
                <c:pt idx="0">
                  <c:v>812.43415900000002</c:v>
                </c:pt>
                <c:pt idx="1">
                  <c:v>832.43415900000002</c:v>
                </c:pt>
                <c:pt idx="2">
                  <c:v>852.43415900000002</c:v>
                </c:pt>
                <c:pt idx="3">
                  <c:v>872.43415900000002</c:v>
                </c:pt>
                <c:pt idx="4">
                  <c:v>892.43415900000002</c:v>
                </c:pt>
                <c:pt idx="5">
                  <c:v>912.43415900000002</c:v>
                </c:pt>
                <c:pt idx="6">
                  <c:v>932.43415900000002</c:v>
                </c:pt>
                <c:pt idx="7">
                  <c:v>952.43415900000002</c:v>
                </c:pt>
                <c:pt idx="8">
                  <c:v>972.43415900000002</c:v>
                </c:pt>
                <c:pt idx="9">
                  <c:v>992.43415900000002</c:v>
                </c:pt>
                <c:pt idx="10">
                  <c:v>1012.434159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8E-694C-B507-5458BB01A303}"/>
            </c:ext>
          </c:extLst>
        </c:ser>
        <c:ser>
          <c:idx val="7"/>
          <c:order val="5"/>
          <c:tx>
            <c:strRef>
              <c:f>ana!$B$16:$C$16</c:f>
              <c:strCache>
                <c:ptCount val="2"/>
                <c:pt idx="0">
                  <c:v>Hidro</c:v>
                </c:pt>
                <c:pt idx="1">
                  <c:v>(TWh)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ana!$D$16:$N$16</c:f>
              <c:numCache>
                <c:formatCode>0.0</c:formatCode>
                <c:ptCount val="11"/>
                <c:pt idx="0">
                  <c:v>4510.7967065829998</c:v>
                </c:pt>
                <c:pt idx="1">
                  <c:v>4569.4370637685788</c:v>
                </c:pt>
                <c:pt idx="2">
                  <c:v>4628.8397455975701</c:v>
                </c:pt>
                <c:pt idx="3">
                  <c:v>4689.0146622903376</c:v>
                </c:pt>
                <c:pt idx="4">
                  <c:v>4749.9718529001111</c:v>
                </c:pt>
                <c:pt idx="5">
                  <c:v>4811.7214869878117</c:v>
                </c:pt>
                <c:pt idx="6">
                  <c:v>4874.2738663186528</c:v>
                </c:pt>
                <c:pt idx="7">
                  <c:v>4937.6394265807949</c:v>
                </c:pt>
                <c:pt idx="8">
                  <c:v>5001.8287391263448</c:v>
                </c:pt>
                <c:pt idx="9">
                  <c:v>5066.8525127349867</c:v>
                </c:pt>
                <c:pt idx="10">
                  <c:v>5132.7215954005414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8E-694C-B507-5458BB01A303}"/>
            </c:ext>
          </c:extLst>
        </c:ser>
        <c:ser>
          <c:idx val="5"/>
          <c:order val="6"/>
          <c:tx>
            <c:strRef>
              <c:f>ana!$B$14:$C$14</c:f>
              <c:strCache>
                <c:ptCount val="2"/>
                <c:pt idx="0">
                  <c:v>Rüzgar</c:v>
                </c:pt>
                <c:pt idx="1">
                  <c:v>(TWh)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ana!$D$14:$N$14</c:f>
              <c:numCache>
                <c:formatCode>0.0</c:formatCode>
                <c:ptCount val="11"/>
                <c:pt idx="0">
                  <c:v>2711.0307090000001</c:v>
                </c:pt>
                <c:pt idx="1">
                  <c:v>2911.0307090000001</c:v>
                </c:pt>
                <c:pt idx="2">
                  <c:v>3111.0307090000001</c:v>
                </c:pt>
                <c:pt idx="3">
                  <c:v>3311.0307090000001</c:v>
                </c:pt>
                <c:pt idx="4">
                  <c:v>3511.0307090000001</c:v>
                </c:pt>
                <c:pt idx="5">
                  <c:v>3711.0307090000001</c:v>
                </c:pt>
                <c:pt idx="6">
                  <c:v>3911.0307090000001</c:v>
                </c:pt>
                <c:pt idx="7">
                  <c:v>4111.0307090000006</c:v>
                </c:pt>
                <c:pt idx="8">
                  <c:v>4311.0307090000006</c:v>
                </c:pt>
                <c:pt idx="9">
                  <c:v>4511.0307090000006</c:v>
                </c:pt>
                <c:pt idx="10">
                  <c:v>4711.0307090000006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8E-694C-B507-5458BB01A303}"/>
            </c:ext>
          </c:extLst>
        </c:ser>
        <c:ser>
          <c:idx val="4"/>
          <c:order val="7"/>
          <c:tx>
            <c:strRef>
              <c:f>ana!$B$13:$C$13</c:f>
              <c:strCache>
                <c:ptCount val="2"/>
                <c:pt idx="0">
                  <c:v>Güneş</c:v>
                </c:pt>
                <c:pt idx="1">
                  <c:v>(TWh)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ana!$D$8:$N$8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ana!$D$13:$N$13</c:f>
              <c:numCache>
                <c:formatCode>0.0</c:formatCode>
                <c:ptCount val="11"/>
                <c:pt idx="0">
                  <c:v>2649.8610811400013</c:v>
                </c:pt>
                <c:pt idx="1">
                  <c:v>3294.1267140196019</c:v>
                </c:pt>
                <c:pt idx="2">
                  <c:v>4059.3895355023474</c:v>
                </c:pt>
                <c:pt idx="3">
                  <c:v>4962.5891519926772</c:v>
                </c:pt>
                <c:pt idx="4">
                  <c:v>6023.0367147916531</c:v>
                </c:pt>
                <c:pt idx="5">
                  <c:v>7262.7469363824857</c:v>
                </c:pt>
                <c:pt idx="6">
                  <c:v>8706.8165889960346</c:v>
                </c:pt>
                <c:pt idx="7">
                  <c:v>10383.855992975481</c:v>
                </c:pt>
                <c:pt idx="8">
                  <c:v>12326.48091351205</c:v>
                </c:pt>
                <c:pt idx="9">
                  <c:v>14571.873322923739</c:v>
                </c:pt>
                <c:pt idx="10">
                  <c:v>17162.420669653064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8E-694C-B507-5458BB01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65215"/>
        <c:axId val="536167631"/>
      </c:areaChart>
      <c:catAx>
        <c:axId val="53636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67631"/>
        <c:crosses val="autoZero"/>
        <c:auto val="1"/>
        <c:lblAlgn val="ctr"/>
        <c:lblOffset val="100"/>
        <c:noMultiLvlLbl val="0"/>
      </c:catAx>
      <c:valAx>
        <c:axId val="5361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Energy Emissions by Fuel</a:t>
            </a:r>
            <a:r>
              <a:rPr lang="en-GB" baseline="0"/>
              <a:t>(GigaTon)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6.8717732344669463E-2"/>
          <c:y val="0.15748168648492511"/>
          <c:w val="0.8864350532920906"/>
          <c:h val="0.75338178601362649"/>
        </c:manualLayout>
      </c:layout>
      <c:areaChart>
        <c:grouping val="stacked"/>
        <c:varyColors val="0"/>
        <c:ser>
          <c:idx val="1"/>
          <c:order val="0"/>
          <c:tx>
            <c:strRef>
              <c:f>english!$B$83:$C$83</c:f>
              <c:strCache>
                <c:ptCount val="2"/>
                <c:pt idx="0">
                  <c:v>Coal</c:v>
                </c:pt>
                <c:pt idx="1">
                  <c:v>EJ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english!$D$83:$N$83</c:f>
              <c:numCache>
                <c:formatCode>0.0</c:formatCode>
                <c:ptCount val="11"/>
                <c:pt idx="0">
                  <c:v>16.08748939949577</c:v>
                </c:pt>
                <c:pt idx="1">
                  <c:v>16.160028038391648</c:v>
                </c:pt>
                <c:pt idx="2">
                  <c:v>16.159821816472618</c:v>
                </c:pt>
                <c:pt idx="3">
                  <c:v>16.074232329616148</c:v>
                </c:pt>
                <c:pt idx="4">
                  <c:v>15.888819683815584</c:v>
                </c:pt>
                <c:pt idx="5">
                  <c:v>15.587095698278597</c:v>
                </c:pt>
                <c:pt idx="6">
                  <c:v>15.15024361821072</c:v>
                </c:pt>
                <c:pt idx="7">
                  <c:v>14.556799806226767</c:v>
                </c:pt>
                <c:pt idx="8">
                  <c:v>13.782292269304536</c:v>
                </c:pt>
                <c:pt idx="9">
                  <c:v>12.798830183614708</c:v>
                </c:pt>
                <c:pt idx="10">
                  <c:v>11.574637791309272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3-B247-8596-881A4ED68C34}"/>
            </c:ext>
          </c:extLst>
        </c:ser>
        <c:ser>
          <c:idx val="2"/>
          <c:order val="1"/>
          <c:tx>
            <c:strRef>
              <c:f>english!$B$84:$C$84</c:f>
              <c:strCache>
                <c:ptCount val="2"/>
                <c:pt idx="0">
                  <c:v>Gas</c:v>
                </c:pt>
                <c:pt idx="1">
                  <c:v>EJ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english!$D$84:$N$84</c:f>
              <c:numCache>
                <c:formatCode>0.0</c:formatCode>
                <c:ptCount val="11"/>
                <c:pt idx="0">
                  <c:v>8.749273549932969</c:v>
                </c:pt>
                <c:pt idx="1">
                  <c:v>8.9097294051564937</c:v>
                </c:pt>
                <c:pt idx="2">
                  <c:v>9.0314661315377283</c:v>
                </c:pt>
                <c:pt idx="3">
                  <c:v>9.105687643665652</c:v>
                </c:pt>
                <c:pt idx="4">
                  <c:v>9.1221539391124065</c:v>
                </c:pt>
                <c:pt idx="5">
                  <c:v>9.068960899119487</c:v>
                </c:pt>
                <c:pt idx="6">
                  <c:v>8.9322872289571595</c:v>
                </c:pt>
                <c:pt idx="7">
                  <c:v>8.6961036731527273</c:v>
                </c:pt>
                <c:pt idx="8">
                  <c:v>8.3418389235044046</c:v>
                </c:pt>
                <c:pt idx="9">
                  <c:v>7.8479958150621609</c:v>
                </c:pt>
                <c:pt idx="10">
                  <c:v>7.1897104615975111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3-B247-8596-881A4ED68C34}"/>
            </c:ext>
          </c:extLst>
        </c:ser>
        <c:ser>
          <c:idx val="3"/>
          <c:order val="2"/>
          <c:tx>
            <c:strRef>
              <c:f>english!$B$85:$C$85</c:f>
              <c:strCache>
                <c:ptCount val="2"/>
                <c:pt idx="0">
                  <c:v>Oil</c:v>
                </c:pt>
                <c:pt idx="1">
                  <c:v>EJ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english!$D$85:$N$85</c:f>
              <c:numCache>
                <c:formatCode>0.0</c:formatCode>
                <c:ptCount val="11"/>
                <c:pt idx="0">
                  <c:v>14.948262931034481</c:v>
                </c:pt>
                <c:pt idx="1">
                  <c:v>14.840560396551721</c:v>
                </c:pt>
                <c:pt idx="2">
                  <c:v>14.725608247551722</c:v>
                </c:pt>
                <c:pt idx="3">
                  <c:v>14.60339411456048</c:v>
                </c:pt>
                <c:pt idx="4">
                  <c:v>14.473905836074774</c:v>
                </c:pt>
                <c:pt idx="5">
                  <c:v>14.337131454797682</c:v>
                </c:pt>
                <c:pt idx="6">
                  <c:v>14.193059213945457</c:v>
                </c:pt>
                <c:pt idx="7">
                  <c:v>14.04167755362435</c:v>
                </c:pt>
                <c:pt idx="8">
                  <c:v>13.882975107276025</c:v>
                </c:pt>
                <c:pt idx="9">
                  <c:v>13.716940698190223</c:v>
                </c:pt>
                <c:pt idx="10">
                  <c:v>13.666615060221352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3-B247-8596-881A4ED68C34}"/>
            </c:ext>
          </c:extLst>
        </c:ser>
        <c:ser>
          <c:idx val="4"/>
          <c:order val="3"/>
          <c:tx>
            <c:strRef>
              <c:f>english!$B$86:$C$86</c:f>
              <c:strCache>
                <c:ptCount val="2"/>
                <c:pt idx="0">
                  <c:v>Renewable</c:v>
                </c:pt>
                <c:pt idx="1">
                  <c:v>EJ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english!$D$86:$N$86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3-B247-8596-881A4ED68C34}"/>
            </c:ext>
          </c:extLst>
        </c:ser>
        <c:ser>
          <c:idx val="5"/>
          <c:order val="4"/>
          <c:tx>
            <c:strRef>
              <c:f>english!$B$87:$C$87</c:f>
              <c:strCache>
                <c:ptCount val="2"/>
                <c:pt idx="0">
                  <c:v>Nuclear</c:v>
                </c:pt>
                <c:pt idx="1">
                  <c:v>EJ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english!$D$81:$N$81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english!$D$87:$N$87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3-B247-8596-881A4ED68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9104"/>
        <c:axId val="1573990816"/>
      </c:areaChart>
      <c:catAx>
        <c:axId val="157398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90816"/>
        <c:crosses val="autoZero"/>
        <c:auto val="1"/>
        <c:lblAlgn val="ctr"/>
        <c:lblOffset val="100"/>
        <c:noMultiLvlLbl val="0"/>
      </c:catAx>
      <c:valAx>
        <c:axId val="15739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89137848968066"/>
          <c:y val="0.15558940415506417"/>
          <c:w val="0.59715958123120649"/>
          <c:h val="7.2859265695930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 in Total</a:t>
            </a:r>
            <a:r>
              <a:rPr lang="en-GB" baseline="0"/>
              <a:t> Electricity Generation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english!$B$71:$C$71</c:f>
              <c:strCache>
                <c:ptCount val="2"/>
                <c:pt idx="0">
                  <c:v>Coal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english!$D$71:$N$71</c:f>
              <c:numCache>
                <c:formatCode>0%</c:formatCode>
                <c:ptCount val="11"/>
                <c:pt idx="0">
                  <c:v>0.32969593139512221</c:v>
                </c:pt>
                <c:pt idx="1">
                  <c:v>0.31998312406506818</c:v>
                </c:pt>
                <c:pt idx="2">
                  <c:v>0.30915849341560792</c:v>
                </c:pt>
                <c:pt idx="3">
                  <c:v>0.29712179204470202</c:v>
                </c:pt>
                <c:pt idx="4">
                  <c:v>0.2837628590946959</c:v>
                </c:pt>
                <c:pt idx="5">
                  <c:v>0.26896066313402639</c:v>
                </c:pt>
                <c:pt idx="6">
                  <c:v>0.25258225236627041</c:v>
                </c:pt>
                <c:pt idx="7">
                  <c:v>0.23448160322529421</c:v>
                </c:pt>
                <c:pt idx="8">
                  <c:v>0.21449835755462049</c:v>
                </c:pt>
                <c:pt idx="9">
                  <c:v>0.19245643762590689</c:v>
                </c:pt>
                <c:pt idx="10">
                  <c:v>0.16816252721770072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C-0646-A014-94766A5E2DED}"/>
            </c:ext>
          </c:extLst>
        </c:ser>
        <c:ser>
          <c:idx val="1"/>
          <c:order val="1"/>
          <c:tx>
            <c:strRef>
              <c:f>english!$B$72:$C$72</c:f>
              <c:strCache>
                <c:ptCount val="2"/>
                <c:pt idx="0">
                  <c:v>Gas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english!$D$72:$N$72</c:f>
              <c:numCache>
                <c:formatCode>0%</c:formatCode>
                <c:ptCount val="11"/>
                <c:pt idx="0">
                  <c:v>0.22358273836692083</c:v>
                </c:pt>
                <c:pt idx="1">
                  <c:v>0.21998366861717122</c:v>
                </c:pt>
                <c:pt idx="2">
                  <c:v>0.21544867812687152</c:v>
                </c:pt>
                <c:pt idx="3">
                  <c:v>0.20987367864071838</c:v>
                </c:pt>
                <c:pt idx="4">
                  <c:v>0.20314319254901392</c:v>
                </c:pt>
                <c:pt idx="5">
                  <c:v>0.19512910665808447</c:v>
                </c:pt>
                <c:pt idx="6">
                  <c:v>0.18568929054768044</c:v>
                </c:pt>
                <c:pt idx="7">
                  <c:v>0.17466606485986871</c:v>
                </c:pt>
                <c:pt idx="8">
                  <c:v>0.16188450328418813</c:v>
                </c:pt>
                <c:pt idx="9">
                  <c:v>0.14715055025440307</c:v>
                </c:pt>
                <c:pt idx="10">
                  <c:v>0.13024893443488303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C-0646-A014-94766A5E2DED}"/>
            </c:ext>
          </c:extLst>
        </c:ser>
        <c:ser>
          <c:idx val="2"/>
          <c:order val="2"/>
          <c:tx>
            <c:strRef>
              <c:f>english!$B$73:$C$73</c:f>
              <c:strCache>
                <c:ptCount val="2"/>
                <c:pt idx="0">
                  <c:v>Oil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english!$D$73:$N$73</c:f>
              <c:numCache>
                <c:formatCode>0%</c:formatCode>
                <c:ptCount val="11"/>
                <c:pt idx="0">
                  <c:v>1.9439222059974812E-2</c:v>
                </c:pt>
                <c:pt idx="1">
                  <c:v>1.7816752559707563E-2</c:v>
                </c:pt>
                <c:pt idx="2">
                  <c:v>1.619265812712135E-2</c:v>
                </c:pt>
                <c:pt idx="3">
                  <c:v>1.4573714753147863E-2</c:v>
                </c:pt>
                <c:pt idx="4">
                  <c:v>1.2967753641780834E-2</c:v>
                </c:pt>
                <c:pt idx="5">
                  <c:v>1.1383814605983169E-2</c:v>
                </c:pt>
                <c:pt idx="6">
                  <c:v>9.8323194979441537E-3</c:v>
                </c:pt>
                <c:pt idx="7">
                  <c:v>8.3252681655303622E-3</c:v>
                </c:pt>
                <c:pt idx="8">
                  <c:v>6.8764597260362595E-3</c:v>
                </c:pt>
                <c:pt idx="9">
                  <c:v>5.5017422826799259E-3</c:v>
                </c:pt>
                <c:pt idx="10">
                  <c:v>4.2192945827430059E-3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9C-0646-A014-94766A5E2DED}"/>
            </c:ext>
          </c:extLst>
        </c:ser>
        <c:ser>
          <c:idx val="3"/>
          <c:order val="3"/>
          <c:tx>
            <c:strRef>
              <c:f>english!$B$74:$C$74</c:f>
              <c:strCache>
                <c:ptCount val="2"/>
                <c:pt idx="0">
                  <c:v>Sun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english!$D$74:$N$74</c:f>
              <c:numCache>
                <c:formatCode>0%</c:formatCode>
                <c:ptCount val="11"/>
                <c:pt idx="0">
                  <c:v>8.1912569287924328E-2</c:v>
                </c:pt>
                <c:pt idx="1">
                  <c:v>9.8384660852149322E-2</c:v>
                </c:pt>
                <c:pt idx="2">
                  <c:v>0.11714060694235381</c:v>
                </c:pt>
                <c:pt idx="3">
                  <c:v>0.13836132557787192</c:v>
                </c:pt>
                <c:pt idx="4">
                  <c:v>0.16224882226140427</c:v>
                </c:pt>
                <c:pt idx="5">
                  <c:v>0.18902820248227564</c:v>
                </c:pt>
                <c:pt idx="6">
                  <c:v>0.21894989383711025</c:v>
                </c:pt>
                <c:pt idx="7">
                  <c:v>0.25229209880984294</c:v>
                </c:pt>
                <c:pt idx="8">
                  <c:v>0.28936350139656097</c:v>
                </c:pt>
                <c:pt idx="9">
                  <c:v>0.33050625312137077</c:v>
                </c:pt>
                <c:pt idx="10">
                  <c:v>0.37609926658933746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9C-0646-A014-94766A5E2DED}"/>
            </c:ext>
          </c:extLst>
        </c:ser>
        <c:ser>
          <c:idx val="4"/>
          <c:order val="4"/>
          <c:tx>
            <c:strRef>
              <c:f>english!$B$75:$C$75</c:f>
              <c:strCache>
                <c:ptCount val="2"/>
                <c:pt idx="0">
                  <c:v>Wind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english!$D$75:$N$75</c:f>
              <c:numCache>
                <c:formatCode>0%</c:formatCode>
                <c:ptCount val="11"/>
                <c:pt idx="0">
                  <c:v>8.3803446291273911E-2</c:v>
                </c:pt>
                <c:pt idx="1">
                  <c:v>8.694285129234787E-2</c:v>
                </c:pt>
                <c:pt idx="2">
                  <c:v>8.9774095903182041E-2</c:v>
                </c:pt>
                <c:pt idx="3">
                  <c:v>9.2314431820802303E-2</c:v>
                </c:pt>
                <c:pt idx="4">
                  <c:v>9.4580296357794788E-2</c:v>
                </c:pt>
                <c:pt idx="5">
                  <c:v>9.6587347793258102E-2</c:v>
                </c:pt>
                <c:pt idx="6">
                  <c:v>9.8350499264159716E-2</c:v>
                </c:pt>
                <c:pt idx="7">
                  <c:v>9.9883951255387543E-2</c:v>
                </c:pt>
                <c:pt idx="8">
                  <c:v>0.10120122274451444</c:v>
                </c:pt>
                <c:pt idx="9">
                  <c:v>0.10231518105510734</c:v>
                </c:pt>
                <c:pt idx="10">
                  <c:v>0.10323807047030992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9C-0646-A014-94766A5E2DED}"/>
            </c:ext>
          </c:extLst>
        </c:ser>
        <c:ser>
          <c:idx val="5"/>
          <c:order val="5"/>
          <c:tx>
            <c:strRef>
              <c:f>english!$B$76:$C$76</c:f>
              <c:strCache>
                <c:ptCount val="2"/>
                <c:pt idx="0">
                  <c:v>Bio-Geo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english!$D$76:$N$76</c:f>
              <c:numCache>
                <c:formatCode>0%</c:formatCode>
                <c:ptCount val="11"/>
                <c:pt idx="0">
                  <c:v>2.5113984206422645E-2</c:v>
                </c:pt>
                <c:pt idx="1">
                  <c:v>2.4862052836766436E-2</c:v>
                </c:pt>
                <c:pt idx="2">
                  <c:v>2.4598441191798062E-2</c:v>
                </c:pt>
                <c:pt idx="3">
                  <c:v>2.4324227338099417E-2</c:v>
                </c:pt>
                <c:pt idx="4">
                  <c:v>2.4040429786522655E-2</c:v>
                </c:pt>
                <c:pt idx="5">
                  <c:v>2.3748010287290233E-2</c:v>
                </c:pt>
                <c:pt idx="6">
                  <c:v>2.3447876504159373E-2</c:v>
                </c:pt>
                <c:pt idx="7">
                  <c:v>2.314088457263383E-2</c:v>
                </c:pt>
                <c:pt idx="8">
                  <c:v>2.2827841547007077E-2</c:v>
                </c:pt>
                <c:pt idx="9">
                  <c:v>2.2509507740830183E-2</c:v>
                </c:pt>
                <c:pt idx="10">
                  <c:v>2.2186598965214036E-2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9C-0646-A014-94766A5E2DED}"/>
            </c:ext>
          </c:extLst>
        </c:ser>
        <c:ser>
          <c:idx val="6"/>
          <c:order val="6"/>
          <c:tx>
            <c:strRef>
              <c:f>english!$B$77:$C$77</c:f>
              <c:strCache>
                <c:ptCount val="2"/>
                <c:pt idx="0">
                  <c:v>Hydro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english!$D$77:$N$77</c:f>
              <c:numCache>
                <c:formatCode>0%</c:formatCode>
                <c:ptCount val="11"/>
                <c:pt idx="0">
                  <c:v>0.13943785596970296</c:v>
                </c:pt>
                <c:pt idx="1">
                  <c:v>0.13647395951430832</c:v>
                </c:pt>
                <c:pt idx="2">
                  <c:v>0.13357306375651626</c:v>
                </c:pt>
                <c:pt idx="3">
                  <c:v>0.13073382955106372</c:v>
                </c:pt>
                <c:pt idx="4">
                  <c:v>0.12795494621761114</c:v>
                </c:pt>
                <c:pt idx="5">
                  <c:v>0.12523513093569089</c:v>
                </c:pt>
                <c:pt idx="6">
                  <c:v>0.12257312815251678</c:v>
                </c:pt>
                <c:pt idx="7">
                  <c:v>0.11996770900338116</c:v>
                </c:pt>
                <c:pt idx="8">
                  <c:v>0.11741767074437209</c:v>
                </c:pt>
                <c:pt idx="9">
                  <c:v>0.11492183619714871</c:v>
                </c:pt>
                <c:pt idx="10">
                  <c:v>0.11247905320551851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9C-0646-A014-94766A5E2DED}"/>
            </c:ext>
          </c:extLst>
        </c:ser>
        <c:ser>
          <c:idx val="7"/>
          <c:order val="7"/>
          <c:tx>
            <c:strRef>
              <c:f>english!$B$78:$C$78</c:f>
              <c:strCache>
                <c:ptCount val="2"/>
                <c:pt idx="0">
                  <c:v>Nuclear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english!$D$70:$N$70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english!$D$78:$N$78</c:f>
              <c:numCache>
                <c:formatCode>0%</c:formatCode>
                <c:ptCount val="11"/>
                <c:pt idx="0">
                  <c:v>8.8835016787842475E-2</c:v>
                </c:pt>
                <c:pt idx="1">
                  <c:v>8.7547552776424481E-2</c:v>
                </c:pt>
                <c:pt idx="2">
                  <c:v>8.6278747663722691E-2</c:v>
                </c:pt>
                <c:pt idx="3">
                  <c:v>8.5028331030915116E-2</c:v>
                </c:pt>
                <c:pt idx="4">
                  <c:v>8.3796036378293165E-2</c:v>
                </c:pt>
                <c:pt idx="5">
                  <c:v>8.2581601068462837E-2</c:v>
                </c:pt>
                <c:pt idx="6">
                  <c:v>8.1384766270369183E-2</c:v>
                </c:pt>
                <c:pt idx="7">
                  <c:v>8.0205276904131956E-2</c:v>
                </c:pt>
                <c:pt idx="8">
                  <c:v>7.9042881586680783E-2</c:v>
                </c:pt>
                <c:pt idx="9">
                  <c:v>7.7897332578178172E-2</c:v>
                </c:pt>
                <c:pt idx="10">
                  <c:v>7.6768385729219069E-2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9C-0646-A014-94766A5E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45647"/>
        <c:axId val="748047359"/>
      </c:lineChart>
      <c:catAx>
        <c:axId val="7480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7359"/>
        <c:crosses val="autoZero"/>
        <c:auto val="1"/>
        <c:lblAlgn val="ctr"/>
        <c:lblOffset val="100"/>
        <c:noMultiLvlLbl val="0"/>
      </c:catAx>
      <c:valAx>
        <c:axId val="748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Share in Total Energy 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english!$B$63:$C$63</c:f>
              <c:strCache>
                <c:ptCount val="2"/>
                <c:pt idx="0">
                  <c:v>Coal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english!$D$63:$N$63</c:f>
              <c:numCache>
                <c:formatCode>0%</c:formatCode>
                <c:ptCount val="11"/>
                <c:pt idx="0">
                  <c:v>0.27600055279106528</c:v>
                </c:pt>
                <c:pt idx="1">
                  <c:v>0.27445100136956485</c:v>
                </c:pt>
                <c:pt idx="2">
                  <c:v>0.27220613791993392</c:v>
                </c:pt>
                <c:pt idx="3">
                  <c:v>0.26916434485256452</c:v>
                </c:pt>
                <c:pt idx="4">
                  <c:v>0.26519899850647866</c:v>
                </c:pt>
                <c:pt idx="5">
                  <c:v>0.26014957771763453</c:v>
                </c:pt>
                <c:pt idx="6">
                  <c:v>0.25380874406503995</c:v>
                </c:pt>
                <c:pt idx="7">
                  <c:v>0.24590310083770239</c:v>
                </c:pt>
                <c:pt idx="8">
                  <c:v>0.23606371305625917</c:v>
                </c:pt>
                <c:pt idx="9">
                  <c:v>0.22377942494309555</c:v>
                </c:pt>
                <c:pt idx="10">
                  <c:v>0.20682718614669673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3-2C45-AEC2-9EF12AED3847}"/>
            </c:ext>
          </c:extLst>
        </c:ser>
        <c:ser>
          <c:idx val="1"/>
          <c:order val="1"/>
          <c:tx>
            <c:strRef>
              <c:f>english!$B$64:$C$64</c:f>
              <c:strCache>
                <c:ptCount val="2"/>
                <c:pt idx="0">
                  <c:v>Gas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english!$D$64:$N$64</c:f>
              <c:numCache>
                <c:formatCode>0%</c:formatCode>
                <c:ptCount val="11"/>
                <c:pt idx="0">
                  <c:v>0.25544096835130686</c:v>
                </c:pt>
                <c:pt idx="1">
                  <c:v>0.25750407298307676</c:v>
                </c:pt>
                <c:pt idx="2">
                  <c:v>0.25889071935177338</c:v>
                </c:pt>
                <c:pt idx="3">
                  <c:v>0.25947583366985799</c:v>
                </c:pt>
                <c:pt idx="4">
                  <c:v>0.25910423927845316</c:v>
                </c:pt>
                <c:pt idx="5">
                  <c:v>0.2575801142552947</c:v>
                </c:pt>
                <c:pt idx="6">
                  <c:v>0.25465166621238478</c:v>
                </c:pt>
                <c:pt idx="7">
                  <c:v>0.24998829995082189</c:v>
                </c:pt>
                <c:pt idx="8">
                  <c:v>0.24314562338091725</c:v>
                </c:pt>
                <c:pt idx="9">
                  <c:v>0.2335100183838994</c:v>
                </c:pt>
                <c:pt idx="10">
                  <c:v>0.21862936523090873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3-2C45-AEC2-9EF12AED3847}"/>
            </c:ext>
          </c:extLst>
        </c:ser>
        <c:ser>
          <c:idx val="2"/>
          <c:order val="2"/>
          <c:tx>
            <c:strRef>
              <c:f>english!$B$65:$C$65</c:f>
              <c:strCache>
                <c:ptCount val="2"/>
                <c:pt idx="0">
                  <c:v>Oil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english!$D$65:$N$65</c:f>
              <c:numCache>
                <c:formatCode>0%</c:formatCode>
                <c:ptCount val="11"/>
                <c:pt idx="0">
                  <c:v>0.33168274368447559</c:v>
                </c:pt>
                <c:pt idx="1">
                  <c:v>0.32597439001809747</c:v>
                </c:pt>
                <c:pt idx="2">
                  <c:v>0.32080790372221646</c:v>
                </c:pt>
                <c:pt idx="3">
                  <c:v>0.31626531548553549</c:v>
                </c:pt>
                <c:pt idx="4">
                  <c:v>0.31244707044166103</c:v>
                </c:pt>
                <c:pt idx="5">
                  <c:v>0.30947862709604074</c:v>
                </c:pt>
                <c:pt idx="6">
                  <c:v>0.30752005891409351</c:v>
                </c:pt>
                <c:pt idx="7">
                  <c:v>0.30678036697092548</c:v>
                </c:pt>
                <c:pt idx="8">
                  <c:v>0.30753942236527271</c:v>
                </c:pt>
                <c:pt idx="9">
                  <c:v>0.31018272614620579</c:v>
                </c:pt>
                <c:pt idx="10">
                  <c:v>0.315843284300169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3-2C45-AEC2-9EF12AED3847}"/>
            </c:ext>
          </c:extLst>
        </c:ser>
        <c:ser>
          <c:idx val="3"/>
          <c:order val="3"/>
          <c:tx>
            <c:strRef>
              <c:f>english!$B$66:$C$66</c:f>
              <c:strCache>
                <c:ptCount val="2"/>
                <c:pt idx="0">
                  <c:v>Renewable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english!$D$66:$N$66</c:f>
              <c:numCache>
                <c:formatCode>0%</c:formatCode>
                <c:ptCount val="11"/>
                <c:pt idx="0">
                  <c:v>8.4704021604370808E-2</c:v>
                </c:pt>
                <c:pt idx="1">
                  <c:v>8.9391683319899509E-2</c:v>
                </c:pt>
                <c:pt idx="2">
                  <c:v>9.4801632296901084E-2</c:v>
                </c:pt>
                <c:pt idx="3">
                  <c:v>0.10105626206964059</c:v>
                </c:pt>
                <c:pt idx="4">
                  <c:v>0.10830897090786318</c:v>
                </c:pt>
                <c:pt idx="5">
                  <c:v>0.1167550256243515</c:v>
                </c:pt>
                <c:pt idx="6">
                  <c:v>0.12664734221783142</c:v>
                </c:pt>
                <c:pt idx="7">
                  <c:v>0.1383199841037285</c:v>
                </c:pt>
                <c:pt idx="8">
                  <c:v>0.15222416327773594</c:v>
                </c:pt>
                <c:pt idx="9">
                  <c:v>0.16898525034458101</c:v>
                </c:pt>
                <c:pt idx="10">
                  <c:v>0.1924609221992841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3-2C45-AEC2-9EF12AED3847}"/>
            </c:ext>
          </c:extLst>
        </c:ser>
        <c:ser>
          <c:idx val="4"/>
          <c:order val="4"/>
          <c:tx>
            <c:strRef>
              <c:f>english!$B$67:$C$67</c:f>
              <c:strCache>
                <c:ptCount val="2"/>
                <c:pt idx="0">
                  <c:v>Nuclear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english!$D$62:$N$62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english!$D$67:$N$67</c:f>
              <c:numCache>
                <c:formatCode>0%</c:formatCode>
                <c:ptCount val="11"/>
                <c:pt idx="0">
                  <c:v>5.2171713568781364E-2</c:v>
                </c:pt>
                <c:pt idx="1">
                  <c:v>5.2678852309361292E-2</c:v>
                </c:pt>
                <c:pt idx="2">
                  <c:v>5.329360670917524E-2</c:v>
                </c:pt>
                <c:pt idx="3">
                  <c:v>5.4038243922401308E-2</c:v>
                </c:pt>
                <c:pt idx="4">
                  <c:v>5.4940720865543968E-2</c:v>
                </c:pt>
                <c:pt idx="5">
                  <c:v>5.6036655306678639E-2</c:v>
                </c:pt>
                <c:pt idx="6">
                  <c:v>5.7372188590650373E-2</c:v>
                </c:pt>
                <c:pt idx="7">
                  <c:v>5.9008248136821699E-2</c:v>
                </c:pt>
                <c:pt idx="8">
                  <c:v>6.1027077919814945E-2</c:v>
                </c:pt>
                <c:pt idx="9">
                  <c:v>6.3542580182218186E-2</c:v>
                </c:pt>
                <c:pt idx="10">
                  <c:v>6.6239242122941397E-2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3-2C45-AEC2-9EF12AED3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51568"/>
        <c:axId val="579686224"/>
      </c:lineChart>
      <c:catAx>
        <c:axId val="5797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6224"/>
        <c:crosses val="autoZero"/>
        <c:auto val="1"/>
        <c:lblAlgn val="ctr"/>
        <c:lblOffset val="100"/>
        <c:noMultiLvlLbl val="0"/>
      </c:catAx>
      <c:valAx>
        <c:axId val="5796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Enerji Arzı</a:t>
            </a:r>
            <a:r>
              <a:rPr lang="en-GB" baseline="0"/>
              <a:t> - EJ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ana!$B$25:$C$25</c:f>
              <c:strCache>
                <c:ptCount val="2"/>
                <c:pt idx="0">
                  <c:v>Nükleer</c:v>
                </c:pt>
                <c:pt idx="1">
                  <c:v>EJ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ana!$D$25:$N$25</c:f>
              <c:numCache>
                <c:formatCode>0.0</c:formatCode>
                <c:ptCount val="11"/>
                <c:pt idx="0">
                  <c:v>31.350299117184782</c:v>
                </c:pt>
                <c:pt idx="1">
                  <c:v>31.977305099528476</c:v>
                </c:pt>
                <c:pt idx="2">
                  <c:v>32.616851201519047</c:v>
                </c:pt>
                <c:pt idx="3">
                  <c:v>33.269188225549428</c:v>
                </c:pt>
                <c:pt idx="4">
                  <c:v>33.934571990060419</c:v>
                </c:pt>
                <c:pt idx="5">
                  <c:v>34.613263429861625</c:v>
                </c:pt>
                <c:pt idx="6">
                  <c:v>35.305528698458865</c:v>
                </c:pt>
                <c:pt idx="7">
                  <c:v>36.011639272428042</c:v>
                </c:pt>
                <c:pt idx="8">
                  <c:v>36.7318720578766</c:v>
                </c:pt>
                <c:pt idx="9">
                  <c:v>37.466509499034132</c:v>
                </c:pt>
                <c:pt idx="10">
                  <c:v>38.215839689014821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65-1746-BF95-727C139C0EC0}"/>
            </c:ext>
          </c:extLst>
        </c:ser>
        <c:ser>
          <c:idx val="1"/>
          <c:order val="1"/>
          <c:tx>
            <c:strRef>
              <c:f>ana!$B$21:$C$21</c:f>
              <c:strCache>
                <c:ptCount val="2"/>
                <c:pt idx="0">
                  <c:v>Kömür</c:v>
                </c:pt>
                <c:pt idx="1">
                  <c:v>EJ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ana!$D$21:$N$21</c:f>
              <c:numCache>
                <c:formatCode>0.0</c:formatCode>
                <c:ptCount val="11"/>
                <c:pt idx="0">
                  <c:v>165.85040618036876</c:v>
                </c:pt>
                <c:pt idx="1">
                  <c:v>166.59822719991391</c:v>
                </c:pt>
                <c:pt idx="2">
                  <c:v>166.59610120074865</c:v>
                </c:pt>
                <c:pt idx="3">
                  <c:v>165.71373535686752</c:v>
                </c:pt>
                <c:pt idx="4">
                  <c:v>163.80226478160395</c:v>
                </c:pt>
                <c:pt idx="5">
                  <c:v>160.69170822967627</c:v>
                </c:pt>
                <c:pt idx="6">
                  <c:v>156.18807853825484</c:v>
                </c:pt>
                <c:pt idx="7">
                  <c:v>150.07010109512132</c:v>
                </c:pt>
                <c:pt idx="8">
                  <c:v>142.08548731241791</c:v>
                </c:pt>
                <c:pt idx="9">
                  <c:v>131.94670292386297</c:v>
                </c:pt>
                <c:pt idx="10">
                  <c:v>119.32616279700279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65-1746-BF95-727C139C0EC0}"/>
            </c:ext>
          </c:extLst>
        </c:ser>
        <c:ser>
          <c:idx val="2"/>
          <c:order val="2"/>
          <c:tx>
            <c:strRef>
              <c:f>ana!$B$22:$C$22</c:f>
              <c:strCache>
                <c:ptCount val="2"/>
                <c:pt idx="0">
                  <c:v>Gaz</c:v>
                </c:pt>
                <c:pt idx="1">
                  <c:v>EJ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ana!$D$22:$N$22</c:f>
              <c:numCache>
                <c:formatCode>0.0</c:formatCode>
                <c:ptCount val="11"/>
                <c:pt idx="0">
                  <c:v>153.49602719180646</c:v>
                </c:pt>
                <c:pt idx="1">
                  <c:v>156.31104219572794</c:v>
                </c:pt>
                <c:pt idx="2">
                  <c:v>158.44677423750403</c:v>
                </c:pt>
                <c:pt idx="3">
                  <c:v>159.74890602922196</c:v>
                </c:pt>
                <c:pt idx="4">
                  <c:v>160.0377884054808</c:v>
                </c:pt>
                <c:pt idx="5">
                  <c:v>159.10457717753488</c:v>
                </c:pt>
                <c:pt idx="6">
                  <c:v>156.70679349047646</c:v>
                </c:pt>
                <c:pt idx="7">
                  <c:v>152.56322233601276</c:v>
                </c:pt>
                <c:pt idx="8">
                  <c:v>146.34805128955097</c:v>
                </c:pt>
                <c:pt idx="9">
                  <c:v>137.68413710635369</c:v>
                </c:pt>
                <c:pt idx="10">
                  <c:v>126.13527125609669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65-1746-BF95-727C139C0EC0}"/>
            </c:ext>
          </c:extLst>
        </c:ser>
        <c:ser>
          <c:idx val="3"/>
          <c:order val="3"/>
          <c:tx>
            <c:strRef>
              <c:f>ana!$B$23:$C$23</c:f>
              <c:strCache>
                <c:ptCount val="2"/>
                <c:pt idx="0">
                  <c:v>Petrol</c:v>
                </c:pt>
                <c:pt idx="1">
                  <c:v>EJ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ana!$D$23:$N$23</c:f>
              <c:numCache>
                <c:formatCode>0.0</c:formatCode>
                <c:ptCount val="11"/>
                <c:pt idx="0">
                  <c:v>199.31017241379308</c:v>
                </c:pt>
                <c:pt idx="1">
                  <c:v>197.87413862068962</c:v>
                </c:pt>
                <c:pt idx="2">
                  <c:v>196.34144330068963</c:v>
                </c:pt>
                <c:pt idx="3">
                  <c:v>194.71192152747307</c:v>
                </c:pt>
                <c:pt idx="4">
                  <c:v>192.98541114766365</c:v>
                </c:pt>
                <c:pt idx="5">
                  <c:v>191.16175273063575</c:v>
                </c:pt>
                <c:pt idx="6">
                  <c:v>189.24078951927277</c:v>
                </c:pt>
                <c:pt idx="7">
                  <c:v>187.22236738165799</c:v>
                </c:pt>
                <c:pt idx="8">
                  <c:v>185.10633476368034</c:v>
                </c:pt>
                <c:pt idx="9">
                  <c:v>182.89254264253631</c:v>
                </c:pt>
                <c:pt idx="10">
                  <c:v>182.22153413628467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65-1746-BF95-727C139C0EC0}"/>
            </c:ext>
          </c:extLst>
        </c:ser>
        <c:ser>
          <c:idx val="4"/>
          <c:order val="4"/>
          <c:tx>
            <c:strRef>
              <c:f>ana!$B$24:$C$24</c:f>
              <c:strCache>
                <c:ptCount val="2"/>
                <c:pt idx="0">
                  <c:v>Yenilenebilir</c:v>
                </c:pt>
                <c:pt idx="1">
                  <c:v>EJ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ana!$D$19:$N$19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ana!$D$24:$N$24</c:f>
              <c:numCache>
                <c:formatCode>0.0</c:formatCode>
                <c:ptCount val="11"/>
                <c:pt idx="0">
                  <c:v>50.89916033186438</c:v>
                </c:pt>
                <c:pt idx="1">
                  <c:v>54.262858919059759</c:v>
                </c:pt>
                <c:pt idx="2">
                  <c:v>58.020669367772243</c:v>
                </c:pt>
                <c:pt idx="3">
                  <c:v>62.216303864226745</c:v>
                </c:pt>
                <c:pt idx="4">
                  <c:v>66.897894904529338</c:v>
                </c:pt>
                <c:pt idx="5">
                  <c:v>72.118373885428355</c:v>
                </c:pt>
                <c:pt idx="6">
                  <c:v>77.935869017621187</c:v>
                </c:pt>
                <c:pt idx="7">
                  <c:v>84.414120550770605</c:v>
                </c:pt>
                <c:pt idx="8">
                  <c:v>91.62291035762685</c:v>
                </c:pt>
                <c:pt idx="9">
                  <c:v>99.638501758599631</c:v>
                </c:pt>
                <c:pt idx="10">
                  <c:v>111.03774006829155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65-1746-BF95-727C139C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90911"/>
        <c:axId val="664792623"/>
      </c:areaChart>
      <c:catAx>
        <c:axId val="66479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2623"/>
        <c:crosses val="autoZero"/>
        <c:auto val="1"/>
        <c:lblAlgn val="ctr"/>
        <c:lblOffset val="100"/>
        <c:noMultiLvlLbl val="0"/>
      </c:catAx>
      <c:valAx>
        <c:axId val="6647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Petrol Ürünleri</a:t>
            </a:r>
            <a:r>
              <a:rPr lang="en-GB" baseline="0"/>
              <a:t> Talebi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ana!$B$42:$C$42</c:f>
              <c:strCache>
                <c:ptCount val="2"/>
                <c:pt idx="0">
                  <c:v>Benzin</c:v>
                </c:pt>
                <c:pt idx="1">
                  <c:v>mv/g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ana!$D$42:$N$42</c:f>
              <c:numCache>
                <c:formatCode>0.0</c:formatCode>
                <c:ptCount val="11"/>
                <c:pt idx="0">
                  <c:v>23.710344827586209</c:v>
                </c:pt>
                <c:pt idx="1">
                  <c:v>23.365517241379312</c:v>
                </c:pt>
                <c:pt idx="2">
                  <c:v>22.96551724137931</c:v>
                </c:pt>
                <c:pt idx="3">
                  <c:v>22.510344827586209</c:v>
                </c:pt>
                <c:pt idx="4">
                  <c:v>22</c:v>
                </c:pt>
                <c:pt idx="5">
                  <c:v>21.434482758620689</c:v>
                </c:pt>
                <c:pt idx="6">
                  <c:v>20.813793103448276</c:v>
                </c:pt>
                <c:pt idx="7">
                  <c:v>20.137931034482758</c:v>
                </c:pt>
                <c:pt idx="8">
                  <c:v>19.406896551724138</c:v>
                </c:pt>
                <c:pt idx="9">
                  <c:v>18.620689655172413</c:v>
                </c:pt>
                <c:pt idx="10">
                  <c:v>18.620689655172413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2-854B-AF6C-4BBB034D96EB}"/>
            </c:ext>
          </c:extLst>
        </c:ser>
        <c:ser>
          <c:idx val="1"/>
          <c:order val="1"/>
          <c:tx>
            <c:strRef>
              <c:f>ana!$B$43:$C$43</c:f>
              <c:strCache>
                <c:ptCount val="2"/>
                <c:pt idx="0">
                  <c:v>Dizel</c:v>
                </c:pt>
                <c:pt idx="1">
                  <c:v>mv/g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ana!$D$43:$N$43</c:f>
              <c:numCache>
                <c:formatCode>0.0</c:formatCode>
                <c:ptCount val="11"/>
                <c:pt idx="0">
                  <c:v>27</c:v>
                </c:pt>
                <c:pt idx="1">
                  <c:v>26.73</c:v>
                </c:pt>
                <c:pt idx="2">
                  <c:v>26.462700000000002</c:v>
                </c:pt>
                <c:pt idx="3">
                  <c:v>26.198073000000001</c:v>
                </c:pt>
                <c:pt idx="4">
                  <c:v>25.93609227</c:v>
                </c:pt>
                <c:pt idx="5">
                  <c:v>25.676731347299999</c:v>
                </c:pt>
                <c:pt idx="6">
                  <c:v>25.419964033827</c:v>
                </c:pt>
                <c:pt idx="7">
                  <c:v>25.165764393488729</c:v>
                </c:pt>
                <c:pt idx="8">
                  <c:v>24.914106749553842</c:v>
                </c:pt>
                <c:pt idx="9">
                  <c:v>24.664965682058302</c:v>
                </c:pt>
                <c:pt idx="10">
                  <c:v>24.418316025237718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2-854B-AF6C-4BBB034D96EB}"/>
            </c:ext>
          </c:extLst>
        </c:ser>
        <c:ser>
          <c:idx val="2"/>
          <c:order val="2"/>
          <c:tx>
            <c:strRef>
              <c:f>ana!$B$44:$C$44</c:f>
              <c:strCache>
                <c:ptCount val="2"/>
                <c:pt idx="0">
                  <c:v>Kerosen</c:v>
                </c:pt>
                <c:pt idx="1">
                  <c:v>mv/g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ana!$D$44:$N$44</c:f>
              <c:numCache>
                <c:formatCode>0.0</c:formatCode>
                <c:ptCount val="11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2-854B-AF6C-4BBB034D96EB}"/>
            </c:ext>
          </c:extLst>
        </c:ser>
        <c:ser>
          <c:idx val="3"/>
          <c:order val="3"/>
          <c:tx>
            <c:strRef>
              <c:f>ana!$B$45:$C$45</c:f>
              <c:strCache>
                <c:ptCount val="2"/>
                <c:pt idx="0">
                  <c:v>LPG</c:v>
                </c:pt>
                <c:pt idx="1">
                  <c:v>mv/g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ana!$D$45:$N$45</c:f>
              <c:numCache>
                <c:formatCode>0.0</c:formatCode>
                <c:ptCount val="11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92-854B-AF6C-4BBB034D96EB}"/>
            </c:ext>
          </c:extLst>
        </c:ser>
        <c:ser>
          <c:idx val="4"/>
          <c:order val="4"/>
          <c:tx>
            <c:strRef>
              <c:f>ana!$B$46:$C$46</c:f>
              <c:strCache>
                <c:ptCount val="2"/>
                <c:pt idx="0">
                  <c:v>Fuel Oil</c:v>
                </c:pt>
                <c:pt idx="1">
                  <c:v>mv/g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ana!$D$46:$N$46</c:f>
              <c:numCache>
                <c:formatCode>0.0</c:formatCode>
                <c:ptCount val="11"/>
                <c:pt idx="0">
                  <c:v>7.2</c:v>
                </c:pt>
                <c:pt idx="1">
                  <c:v>7.056</c:v>
                </c:pt>
                <c:pt idx="2">
                  <c:v>6.9148800000000001</c:v>
                </c:pt>
                <c:pt idx="3">
                  <c:v>6.7765823999999997</c:v>
                </c:pt>
                <c:pt idx="4">
                  <c:v>6.6410507519999999</c:v>
                </c:pt>
                <c:pt idx="5">
                  <c:v>6.5082297369599997</c:v>
                </c:pt>
                <c:pt idx="6">
                  <c:v>6.3780651422207999</c:v>
                </c:pt>
                <c:pt idx="7">
                  <c:v>6.2505038393763837</c:v>
                </c:pt>
                <c:pt idx="8">
                  <c:v>6.1254937625888557</c:v>
                </c:pt>
                <c:pt idx="9">
                  <c:v>6.0029838873370789</c:v>
                </c:pt>
                <c:pt idx="10">
                  <c:v>5.8829242095903371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92-854B-AF6C-4BBB034D96EB}"/>
            </c:ext>
          </c:extLst>
        </c:ser>
        <c:ser>
          <c:idx val="5"/>
          <c:order val="5"/>
          <c:tx>
            <c:strRef>
              <c:f>ana!$B$47:$C$47</c:f>
              <c:strCache>
                <c:ptCount val="2"/>
                <c:pt idx="0">
                  <c:v>Diğer</c:v>
                </c:pt>
                <c:pt idx="1">
                  <c:v>mv/g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ana!$D$47:$N$47</c:f>
              <c:numCache>
                <c:formatCode>0.0</c:formatCode>
                <c:ptCount val="11"/>
                <c:pt idx="0">
                  <c:v>22.4</c:v>
                </c:pt>
                <c:pt idx="1">
                  <c:v>22.422399999999996</c:v>
                </c:pt>
                <c:pt idx="2">
                  <c:v>22.444822399999993</c:v>
                </c:pt>
                <c:pt idx="3">
                  <c:v>22.46726722239999</c:v>
                </c:pt>
                <c:pt idx="4">
                  <c:v>22.489734489622386</c:v>
                </c:pt>
                <c:pt idx="5">
                  <c:v>22.512224224112007</c:v>
                </c:pt>
                <c:pt idx="6">
                  <c:v>22.534736448336115</c:v>
                </c:pt>
                <c:pt idx="7">
                  <c:v>22.557271184784447</c:v>
                </c:pt>
                <c:pt idx="8">
                  <c:v>22.579828455969228</c:v>
                </c:pt>
                <c:pt idx="9">
                  <c:v>22.602408284425195</c:v>
                </c:pt>
                <c:pt idx="10">
                  <c:v>22.625010692709619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92-854B-AF6C-4BBB034D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3551"/>
        <c:axId val="793855263"/>
      </c:lineChart>
      <c:catAx>
        <c:axId val="79385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5263"/>
        <c:crosses val="autoZero"/>
        <c:auto val="1"/>
        <c:lblAlgn val="ctr"/>
        <c:lblOffset val="100"/>
        <c:noMultiLvlLbl val="0"/>
      </c:catAx>
      <c:valAx>
        <c:axId val="793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81308585139046E-2"/>
          <c:y val="0.16222562041797811"/>
          <c:w val="0.89999991223705123"/>
          <c:h val="7.1267030394084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Küresel Emisyonlar</a:t>
            </a:r>
            <a:r>
              <a:rPr lang="en-GB" baseline="0"/>
              <a:t> (GigaTon)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6.8717732344669463E-2"/>
          <c:y val="0.15748168648492511"/>
          <c:w val="0.8864350532920906"/>
          <c:h val="0.75338178601362649"/>
        </c:manualLayout>
      </c:layout>
      <c:areaChart>
        <c:grouping val="stacked"/>
        <c:varyColors val="0"/>
        <c:ser>
          <c:idx val="1"/>
          <c:order val="0"/>
          <c:tx>
            <c:strRef>
              <c:f>ana!$B$83:$C$83</c:f>
              <c:strCache>
                <c:ptCount val="2"/>
                <c:pt idx="0">
                  <c:v>Kömür</c:v>
                </c:pt>
                <c:pt idx="1">
                  <c:v>EJ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ana!$D$83:$N$83</c:f>
              <c:numCache>
                <c:formatCode>0.0</c:formatCode>
                <c:ptCount val="11"/>
                <c:pt idx="0">
                  <c:v>16.08748939949577</c:v>
                </c:pt>
                <c:pt idx="1">
                  <c:v>16.160028038391648</c:v>
                </c:pt>
                <c:pt idx="2">
                  <c:v>16.159821816472618</c:v>
                </c:pt>
                <c:pt idx="3">
                  <c:v>16.074232329616148</c:v>
                </c:pt>
                <c:pt idx="4">
                  <c:v>15.888819683815584</c:v>
                </c:pt>
                <c:pt idx="5">
                  <c:v>15.587095698278597</c:v>
                </c:pt>
                <c:pt idx="6">
                  <c:v>15.15024361821072</c:v>
                </c:pt>
                <c:pt idx="7">
                  <c:v>14.556799806226767</c:v>
                </c:pt>
                <c:pt idx="8">
                  <c:v>13.782292269304536</c:v>
                </c:pt>
                <c:pt idx="9">
                  <c:v>12.798830183614708</c:v>
                </c:pt>
                <c:pt idx="10">
                  <c:v>11.574637791309272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6-174A-A978-223C082C0F26}"/>
            </c:ext>
          </c:extLst>
        </c:ser>
        <c:ser>
          <c:idx val="2"/>
          <c:order val="1"/>
          <c:tx>
            <c:strRef>
              <c:f>ana!$B$84:$C$84</c:f>
              <c:strCache>
                <c:ptCount val="2"/>
                <c:pt idx="0">
                  <c:v>Gaz</c:v>
                </c:pt>
                <c:pt idx="1">
                  <c:v>EJ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ana!$D$84:$N$84</c:f>
              <c:numCache>
                <c:formatCode>0.0</c:formatCode>
                <c:ptCount val="11"/>
                <c:pt idx="0">
                  <c:v>8.749273549932969</c:v>
                </c:pt>
                <c:pt idx="1">
                  <c:v>8.9097294051564937</c:v>
                </c:pt>
                <c:pt idx="2">
                  <c:v>9.0314661315377283</c:v>
                </c:pt>
                <c:pt idx="3">
                  <c:v>9.105687643665652</c:v>
                </c:pt>
                <c:pt idx="4">
                  <c:v>9.1221539391124065</c:v>
                </c:pt>
                <c:pt idx="5">
                  <c:v>9.068960899119487</c:v>
                </c:pt>
                <c:pt idx="6">
                  <c:v>8.9322872289571595</c:v>
                </c:pt>
                <c:pt idx="7">
                  <c:v>8.6961036731527273</c:v>
                </c:pt>
                <c:pt idx="8">
                  <c:v>8.3418389235044046</c:v>
                </c:pt>
                <c:pt idx="9">
                  <c:v>7.8479958150621609</c:v>
                </c:pt>
                <c:pt idx="10">
                  <c:v>7.1897104615975111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6-174A-A978-223C082C0F26}"/>
            </c:ext>
          </c:extLst>
        </c:ser>
        <c:ser>
          <c:idx val="3"/>
          <c:order val="2"/>
          <c:tx>
            <c:strRef>
              <c:f>ana!$B$85:$C$85</c:f>
              <c:strCache>
                <c:ptCount val="2"/>
                <c:pt idx="0">
                  <c:v>Petrol</c:v>
                </c:pt>
                <c:pt idx="1">
                  <c:v>EJ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ana!$D$85:$N$85</c:f>
              <c:numCache>
                <c:formatCode>0.0</c:formatCode>
                <c:ptCount val="11"/>
                <c:pt idx="0">
                  <c:v>14.948262931034481</c:v>
                </c:pt>
                <c:pt idx="1">
                  <c:v>14.840560396551721</c:v>
                </c:pt>
                <c:pt idx="2">
                  <c:v>14.725608247551722</c:v>
                </c:pt>
                <c:pt idx="3">
                  <c:v>14.60339411456048</c:v>
                </c:pt>
                <c:pt idx="4">
                  <c:v>14.473905836074774</c:v>
                </c:pt>
                <c:pt idx="5">
                  <c:v>14.337131454797682</c:v>
                </c:pt>
                <c:pt idx="6">
                  <c:v>14.193059213945457</c:v>
                </c:pt>
                <c:pt idx="7">
                  <c:v>14.04167755362435</c:v>
                </c:pt>
                <c:pt idx="8">
                  <c:v>13.882975107276025</c:v>
                </c:pt>
                <c:pt idx="9">
                  <c:v>13.716940698190223</c:v>
                </c:pt>
                <c:pt idx="10">
                  <c:v>13.666615060221352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6-174A-A978-223C082C0F26}"/>
            </c:ext>
          </c:extLst>
        </c:ser>
        <c:ser>
          <c:idx val="4"/>
          <c:order val="3"/>
          <c:tx>
            <c:strRef>
              <c:f>ana!$B$86:$C$86</c:f>
              <c:strCache>
                <c:ptCount val="2"/>
                <c:pt idx="0">
                  <c:v>Yenilenebilir</c:v>
                </c:pt>
                <c:pt idx="1">
                  <c:v>EJ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ana!$D$86:$N$86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A6-174A-A978-223C082C0F26}"/>
            </c:ext>
          </c:extLst>
        </c:ser>
        <c:ser>
          <c:idx val="5"/>
          <c:order val="4"/>
          <c:tx>
            <c:strRef>
              <c:f>ana!$B$87:$C$87</c:f>
              <c:strCache>
                <c:ptCount val="2"/>
                <c:pt idx="0">
                  <c:v>Nükleer</c:v>
                </c:pt>
                <c:pt idx="1">
                  <c:v>EJ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ana!$D$81:$N$81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ana!$D$87:$N$87</c:f>
              <c:numCache>
                <c:formatCode>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A6-174A-A978-223C082C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9104"/>
        <c:axId val="1573990816"/>
      </c:areaChart>
      <c:catAx>
        <c:axId val="157398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90816"/>
        <c:crosses val="autoZero"/>
        <c:auto val="1"/>
        <c:lblAlgn val="ctr"/>
        <c:lblOffset val="100"/>
        <c:noMultiLvlLbl val="0"/>
      </c:catAx>
      <c:valAx>
        <c:axId val="15739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9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89137848968066"/>
          <c:y val="0.15558940415506417"/>
          <c:w val="0.59715958123120649"/>
          <c:h val="7.2859265695930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Toplam Elektrik</a:t>
            </a:r>
            <a:r>
              <a:rPr lang="en-GB" baseline="0"/>
              <a:t> Üretimindeki Oranlar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ana!$B$71:$C$71</c:f>
              <c:strCache>
                <c:ptCount val="2"/>
                <c:pt idx="0">
                  <c:v>Kömür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ana!$D$71:$N$71</c:f>
              <c:numCache>
                <c:formatCode>0%</c:formatCode>
                <c:ptCount val="11"/>
                <c:pt idx="0">
                  <c:v>0.32969593139512221</c:v>
                </c:pt>
                <c:pt idx="1">
                  <c:v>0.31998312406506818</c:v>
                </c:pt>
                <c:pt idx="2">
                  <c:v>0.30915849341560792</c:v>
                </c:pt>
                <c:pt idx="3">
                  <c:v>0.29712179204470202</c:v>
                </c:pt>
                <c:pt idx="4">
                  <c:v>0.2837628590946959</c:v>
                </c:pt>
                <c:pt idx="5">
                  <c:v>0.26896066313402639</c:v>
                </c:pt>
                <c:pt idx="6">
                  <c:v>0.25258225236627041</c:v>
                </c:pt>
                <c:pt idx="7">
                  <c:v>0.23448160322529421</c:v>
                </c:pt>
                <c:pt idx="8">
                  <c:v>0.21449835755462049</c:v>
                </c:pt>
                <c:pt idx="9">
                  <c:v>0.19245643762590689</c:v>
                </c:pt>
                <c:pt idx="10">
                  <c:v>0.16816252721770072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8-B54D-A7B1-0E2ED842422F}"/>
            </c:ext>
          </c:extLst>
        </c:ser>
        <c:ser>
          <c:idx val="1"/>
          <c:order val="1"/>
          <c:tx>
            <c:strRef>
              <c:f>ana!$B$72:$C$72</c:f>
              <c:strCache>
                <c:ptCount val="2"/>
                <c:pt idx="0">
                  <c:v>Gaz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ana!$D$72:$N$72</c:f>
              <c:numCache>
                <c:formatCode>0%</c:formatCode>
                <c:ptCount val="11"/>
                <c:pt idx="0">
                  <c:v>0.22358273836692083</c:v>
                </c:pt>
                <c:pt idx="1">
                  <c:v>0.21998366861717122</c:v>
                </c:pt>
                <c:pt idx="2">
                  <c:v>0.21544867812687152</c:v>
                </c:pt>
                <c:pt idx="3">
                  <c:v>0.20987367864071838</c:v>
                </c:pt>
                <c:pt idx="4">
                  <c:v>0.20314319254901392</c:v>
                </c:pt>
                <c:pt idx="5">
                  <c:v>0.19512910665808447</c:v>
                </c:pt>
                <c:pt idx="6">
                  <c:v>0.18568929054768044</c:v>
                </c:pt>
                <c:pt idx="7">
                  <c:v>0.17466606485986871</c:v>
                </c:pt>
                <c:pt idx="8">
                  <c:v>0.16188450328418813</c:v>
                </c:pt>
                <c:pt idx="9">
                  <c:v>0.14715055025440307</c:v>
                </c:pt>
                <c:pt idx="10">
                  <c:v>0.13024893443488303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8-B54D-A7B1-0E2ED842422F}"/>
            </c:ext>
          </c:extLst>
        </c:ser>
        <c:ser>
          <c:idx val="2"/>
          <c:order val="2"/>
          <c:tx>
            <c:strRef>
              <c:f>ana!$B$73:$C$73</c:f>
              <c:strCache>
                <c:ptCount val="2"/>
                <c:pt idx="0">
                  <c:v>Petrol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ana!$D$73:$N$73</c:f>
              <c:numCache>
                <c:formatCode>0%</c:formatCode>
                <c:ptCount val="11"/>
                <c:pt idx="0">
                  <c:v>1.9439222059974812E-2</c:v>
                </c:pt>
                <c:pt idx="1">
                  <c:v>1.7816752559707563E-2</c:v>
                </c:pt>
                <c:pt idx="2">
                  <c:v>1.619265812712135E-2</c:v>
                </c:pt>
                <c:pt idx="3">
                  <c:v>1.4573714753147863E-2</c:v>
                </c:pt>
                <c:pt idx="4">
                  <c:v>1.2967753641780834E-2</c:v>
                </c:pt>
                <c:pt idx="5">
                  <c:v>1.1383814605983169E-2</c:v>
                </c:pt>
                <c:pt idx="6">
                  <c:v>9.8323194979441537E-3</c:v>
                </c:pt>
                <c:pt idx="7">
                  <c:v>8.3252681655303622E-3</c:v>
                </c:pt>
                <c:pt idx="8">
                  <c:v>6.8764597260362595E-3</c:v>
                </c:pt>
                <c:pt idx="9">
                  <c:v>5.5017422826799259E-3</c:v>
                </c:pt>
                <c:pt idx="10">
                  <c:v>4.2192945827430059E-3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58-B54D-A7B1-0E2ED842422F}"/>
            </c:ext>
          </c:extLst>
        </c:ser>
        <c:ser>
          <c:idx val="3"/>
          <c:order val="3"/>
          <c:tx>
            <c:strRef>
              <c:f>ana!$B$74:$C$74</c:f>
              <c:strCache>
                <c:ptCount val="2"/>
                <c:pt idx="0">
                  <c:v>Güneş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ana!$D$74:$N$74</c:f>
              <c:numCache>
                <c:formatCode>0%</c:formatCode>
                <c:ptCount val="11"/>
                <c:pt idx="0">
                  <c:v>8.1912569287924328E-2</c:v>
                </c:pt>
                <c:pt idx="1">
                  <c:v>9.8384660852149322E-2</c:v>
                </c:pt>
                <c:pt idx="2">
                  <c:v>0.11714060694235381</c:v>
                </c:pt>
                <c:pt idx="3">
                  <c:v>0.13836132557787192</c:v>
                </c:pt>
                <c:pt idx="4">
                  <c:v>0.16224882226140427</c:v>
                </c:pt>
                <c:pt idx="5">
                  <c:v>0.18902820248227564</c:v>
                </c:pt>
                <c:pt idx="6">
                  <c:v>0.21894989383711025</c:v>
                </c:pt>
                <c:pt idx="7">
                  <c:v>0.25229209880984294</c:v>
                </c:pt>
                <c:pt idx="8">
                  <c:v>0.28936350139656097</c:v>
                </c:pt>
                <c:pt idx="9">
                  <c:v>0.33050625312137077</c:v>
                </c:pt>
                <c:pt idx="10">
                  <c:v>0.37609926658933746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58-B54D-A7B1-0E2ED842422F}"/>
            </c:ext>
          </c:extLst>
        </c:ser>
        <c:ser>
          <c:idx val="4"/>
          <c:order val="4"/>
          <c:tx>
            <c:strRef>
              <c:f>ana!$B$75:$C$75</c:f>
              <c:strCache>
                <c:ptCount val="2"/>
                <c:pt idx="0">
                  <c:v>Rüzgar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ana!$D$75:$N$75</c:f>
              <c:numCache>
                <c:formatCode>0%</c:formatCode>
                <c:ptCount val="11"/>
                <c:pt idx="0">
                  <c:v>8.3803446291273911E-2</c:v>
                </c:pt>
                <c:pt idx="1">
                  <c:v>8.694285129234787E-2</c:v>
                </c:pt>
                <c:pt idx="2">
                  <c:v>8.9774095903182041E-2</c:v>
                </c:pt>
                <c:pt idx="3">
                  <c:v>9.2314431820802303E-2</c:v>
                </c:pt>
                <c:pt idx="4">
                  <c:v>9.4580296357794788E-2</c:v>
                </c:pt>
                <c:pt idx="5">
                  <c:v>9.6587347793258102E-2</c:v>
                </c:pt>
                <c:pt idx="6">
                  <c:v>9.8350499264159716E-2</c:v>
                </c:pt>
                <c:pt idx="7">
                  <c:v>9.9883951255387543E-2</c:v>
                </c:pt>
                <c:pt idx="8">
                  <c:v>0.10120122274451444</c:v>
                </c:pt>
                <c:pt idx="9">
                  <c:v>0.10231518105510734</c:v>
                </c:pt>
                <c:pt idx="10">
                  <c:v>0.10323807047030992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58-B54D-A7B1-0E2ED842422F}"/>
            </c:ext>
          </c:extLst>
        </c:ser>
        <c:ser>
          <c:idx val="5"/>
          <c:order val="5"/>
          <c:tx>
            <c:strRef>
              <c:f>ana!$B$76:$C$76</c:f>
              <c:strCache>
                <c:ptCount val="2"/>
                <c:pt idx="0">
                  <c:v>Bio-Jeo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ana!$D$76:$N$76</c:f>
              <c:numCache>
                <c:formatCode>0%</c:formatCode>
                <c:ptCount val="11"/>
                <c:pt idx="0">
                  <c:v>2.5113984206422645E-2</c:v>
                </c:pt>
                <c:pt idx="1">
                  <c:v>2.4862052836766436E-2</c:v>
                </c:pt>
                <c:pt idx="2">
                  <c:v>2.4598441191798062E-2</c:v>
                </c:pt>
                <c:pt idx="3">
                  <c:v>2.4324227338099417E-2</c:v>
                </c:pt>
                <c:pt idx="4">
                  <c:v>2.4040429786522655E-2</c:v>
                </c:pt>
                <c:pt idx="5">
                  <c:v>2.3748010287290233E-2</c:v>
                </c:pt>
                <c:pt idx="6">
                  <c:v>2.3447876504159373E-2</c:v>
                </c:pt>
                <c:pt idx="7">
                  <c:v>2.314088457263383E-2</c:v>
                </c:pt>
                <c:pt idx="8">
                  <c:v>2.2827841547007077E-2</c:v>
                </c:pt>
                <c:pt idx="9">
                  <c:v>2.2509507740830183E-2</c:v>
                </c:pt>
                <c:pt idx="10">
                  <c:v>2.2186598965214036E-2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58-B54D-A7B1-0E2ED842422F}"/>
            </c:ext>
          </c:extLst>
        </c:ser>
        <c:ser>
          <c:idx val="6"/>
          <c:order val="6"/>
          <c:tx>
            <c:strRef>
              <c:f>ana!$B$77:$C$77</c:f>
              <c:strCache>
                <c:ptCount val="2"/>
                <c:pt idx="0">
                  <c:v>Hidro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ana!$D$77:$N$77</c:f>
              <c:numCache>
                <c:formatCode>0%</c:formatCode>
                <c:ptCount val="11"/>
                <c:pt idx="0">
                  <c:v>0.13943785596970296</c:v>
                </c:pt>
                <c:pt idx="1">
                  <c:v>0.13647395951430832</c:v>
                </c:pt>
                <c:pt idx="2">
                  <c:v>0.13357306375651626</c:v>
                </c:pt>
                <c:pt idx="3">
                  <c:v>0.13073382955106372</c:v>
                </c:pt>
                <c:pt idx="4">
                  <c:v>0.12795494621761114</c:v>
                </c:pt>
                <c:pt idx="5">
                  <c:v>0.12523513093569089</c:v>
                </c:pt>
                <c:pt idx="6">
                  <c:v>0.12257312815251678</c:v>
                </c:pt>
                <c:pt idx="7">
                  <c:v>0.11996770900338116</c:v>
                </c:pt>
                <c:pt idx="8">
                  <c:v>0.11741767074437209</c:v>
                </c:pt>
                <c:pt idx="9">
                  <c:v>0.11492183619714871</c:v>
                </c:pt>
                <c:pt idx="10">
                  <c:v>0.11247905320551851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58-B54D-A7B1-0E2ED842422F}"/>
            </c:ext>
          </c:extLst>
        </c:ser>
        <c:ser>
          <c:idx val="7"/>
          <c:order val="7"/>
          <c:tx>
            <c:strRef>
              <c:f>ana!$B$78:$C$78</c:f>
              <c:strCache>
                <c:ptCount val="2"/>
                <c:pt idx="0">
                  <c:v>Nükleer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ana!$D$70:$N$70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ana!$D$78:$N$78</c:f>
              <c:numCache>
                <c:formatCode>0%</c:formatCode>
                <c:ptCount val="11"/>
                <c:pt idx="0">
                  <c:v>8.8835016787842475E-2</c:v>
                </c:pt>
                <c:pt idx="1">
                  <c:v>8.7547552776424481E-2</c:v>
                </c:pt>
                <c:pt idx="2">
                  <c:v>8.6278747663722691E-2</c:v>
                </c:pt>
                <c:pt idx="3">
                  <c:v>8.5028331030915116E-2</c:v>
                </c:pt>
                <c:pt idx="4">
                  <c:v>8.3796036378293165E-2</c:v>
                </c:pt>
                <c:pt idx="5">
                  <c:v>8.2581601068462837E-2</c:v>
                </c:pt>
                <c:pt idx="6">
                  <c:v>8.1384766270369183E-2</c:v>
                </c:pt>
                <c:pt idx="7">
                  <c:v>8.0205276904131956E-2</c:v>
                </c:pt>
                <c:pt idx="8">
                  <c:v>7.9042881586680783E-2</c:v>
                </c:pt>
                <c:pt idx="9">
                  <c:v>7.7897332578178172E-2</c:v>
                </c:pt>
                <c:pt idx="10">
                  <c:v>7.6768385729219069E-2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58-B54D-A7B1-0E2ED8424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045647"/>
        <c:axId val="748047359"/>
      </c:lineChart>
      <c:catAx>
        <c:axId val="7480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7359"/>
        <c:crosses val="autoZero"/>
        <c:auto val="1"/>
        <c:lblAlgn val="ctr"/>
        <c:lblOffset val="100"/>
        <c:noMultiLvlLbl val="0"/>
      </c:catAx>
      <c:valAx>
        <c:axId val="748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0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Toplam Enerjideki Oran(5)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ana!$B$63:$C$63</c:f>
              <c:strCache>
                <c:ptCount val="2"/>
                <c:pt idx="0">
                  <c:v>Kömür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ana!$D$63:$N$63</c:f>
              <c:numCache>
                <c:formatCode>0%</c:formatCode>
                <c:ptCount val="11"/>
                <c:pt idx="0">
                  <c:v>0.27600055279106528</c:v>
                </c:pt>
                <c:pt idx="1">
                  <c:v>0.27445100136956485</c:v>
                </c:pt>
                <c:pt idx="2">
                  <c:v>0.27220613791993392</c:v>
                </c:pt>
                <c:pt idx="3">
                  <c:v>0.26916434485256452</c:v>
                </c:pt>
                <c:pt idx="4">
                  <c:v>0.26519899850647866</c:v>
                </c:pt>
                <c:pt idx="5">
                  <c:v>0.26014957771763453</c:v>
                </c:pt>
                <c:pt idx="6">
                  <c:v>0.25380874406503995</c:v>
                </c:pt>
                <c:pt idx="7">
                  <c:v>0.24590310083770239</c:v>
                </c:pt>
                <c:pt idx="8">
                  <c:v>0.23606371305625917</c:v>
                </c:pt>
                <c:pt idx="9">
                  <c:v>0.22377942494309555</c:v>
                </c:pt>
                <c:pt idx="10">
                  <c:v>0.20682718614669673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C34F-B432-B1AAD03C3546}"/>
            </c:ext>
          </c:extLst>
        </c:ser>
        <c:ser>
          <c:idx val="1"/>
          <c:order val="1"/>
          <c:tx>
            <c:strRef>
              <c:f>ana!$B$64:$C$64</c:f>
              <c:strCache>
                <c:ptCount val="2"/>
                <c:pt idx="0">
                  <c:v>Gaz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ana!$D$64:$N$64</c:f>
              <c:numCache>
                <c:formatCode>0%</c:formatCode>
                <c:ptCount val="11"/>
                <c:pt idx="0">
                  <c:v>0.25544096835130686</c:v>
                </c:pt>
                <c:pt idx="1">
                  <c:v>0.25750407298307676</c:v>
                </c:pt>
                <c:pt idx="2">
                  <c:v>0.25889071935177338</c:v>
                </c:pt>
                <c:pt idx="3">
                  <c:v>0.25947583366985799</c:v>
                </c:pt>
                <c:pt idx="4">
                  <c:v>0.25910423927845316</c:v>
                </c:pt>
                <c:pt idx="5">
                  <c:v>0.2575801142552947</c:v>
                </c:pt>
                <c:pt idx="6">
                  <c:v>0.25465166621238478</c:v>
                </c:pt>
                <c:pt idx="7">
                  <c:v>0.24998829995082189</c:v>
                </c:pt>
                <c:pt idx="8">
                  <c:v>0.24314562338091725</c:v>
                </c:pt>
                <c:pt idx="9">
                  <c:v>0.2335100183838994</c:v>
                </c:pt>
                <c:pt idx="10">
                  <c:v>0.21862936523090873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7-C34F-B432-B1AAD03C3546}"/>
            </c:ext>
          </c:extLst>
        </c:ser>
        <c:ser>
          <c:idx val="2"/>
          <c:order val="2"/>
          <c:tx>
            <c:strRef>
              <c:f>ana!$B$65:$C$65</c:f>
              <c:strCache>
                <c:ptCount val="2"/>
                <c:pt idx="0">
                  <c:v>Petrol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ana!$D$65:$N$65</c:f>
              <c:numCache>
                <c:formatCode>0%</c:formatCode>
                <c:ptCount val="11"/>
                <c:pt idx="0">
                  <c:v>0.33168274368447559</c:v>
                </c:pt>
                <c:pt idx="1">
                  <c:v>0.32597439001809747</c:v>
                </c:pt>
                <c:pt idx="2">
                  <c:v>0.32080790372221646</c:v>
                </c:pt>
                <c:pt idx="3">
                  <c:v>0.31626531548553549</c:v>
                </c:pt>
                <c:pt idx="4">
                  <c:v>0.31244707044166103</c:v>
                </c:pt>
                <c:pt idx="5">
                  <c:v>0.30947862709604074</c:v>
                </c:pt>
                <c:pt idx="6">
                  <c:v>0.30752005891409351</c:v>
                </c:pt>
                <c:pt idx="7">
                  <c:v>0.30678036697092548</c:v>
                </c:pt>
                <c:pt idx="8">
                  <c:v>0.30753942236527271</c:v>
                </c:pt>
                <c:pt idx="9">
                  <c:v>0.31018272614620579</c:v>
                </c:pt>
                <c:pt idx="10">
                  <c:v>0.315843284300169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7-C34F-B432-B1AAD03C3546}"/>
            </c:ext>
          </c:extLst>
        </c:ser>
        <c:ser>
          <c:idx val="3"/>
          <c:order val="3"/>
          <c:tx>
            <c:strRef>
              <c:f>ana!$B$66:$C$66</c:f>
              <c:strCache>
                <c:ptCount val="2"/>
                <c:pt idx="0">
                  <c:v>Yenilenebilir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ana!$D$66:$N$66</c:f>
              <c:numCache>
                <c:formatCode>0%</c:formatCode>
                <c:ptCount val="11"/>
                <c:pt idx="0">
                  <c:v>8.4704021604370808E-2</c:v>
                </c:pt>
                <c:pt idx="1">
                  <c:v>8.9391683319899509E-2</c:v>
                </c:pt>
                <c:pt idx="2">
                  <c:v>9.4801632296901084E-2</c:v>
                </c:pt>
                <c:pt idx="3">
                  <c:v>0.10105626206964059</c:v>
                </c:pt>
                <c:pt idx="4">
                  <c:v>0.10830897090786318</c:v>
                </c:pt>
                <c:pt idx="5">
                  <c:v>0.1167550256243515</c:v>
                </c:pt>
                <c:pt idx="6">
                  <c:v>0.12664734221783142</c:v>
                </c:pt>
                <c:pt idx="7">
                  <c:v>0.1383199841037285</c:v>
                </c:pt>
                <c:pt idx="8">
                  <c:v>0.15222416327773594</c:v>
                </c:pt>
                <c:pt idx="9">
                  <c:v>0.16898525034458101</c:v>
                </c:pt>
                <c:pt idx="10">
                  <c:v>0.1924609221992841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7-C34F-B432-B1AAD03C3546}"/>
            </c:ext>
          </c:extLst>
        </c:ser>
        <c:ser>
          <c:idx val="4"/>
          <c:order val="4"/>
          <c:tx>
            <c:strRef>
              <c:f>ana!$B$67:$C$67</c:f>
              <c:strCache>
                <c:ptCount val="2"/>
                <c:pt idx="0">
                  <c:v>Nükleer</c:v>
                </c:pt>
                <c:pt idx="1">
                  <c:v>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ana!$D$62:$N$62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ana!$D$67:$N$67</c:f>
              <c:numCache>
                <c:formatCode>0%</c:formatCode>
                <c:ptCount val="11"/>
                <c:pt idx="0">
                  <c:v>5.2171713568781364E-2</c:v>
                </c:pt>
                <c:pt idx="1">
                  <c:v>5.2678852309361292E-2</c:v>
                </c:pt>
                <c:pt idx="2">
                  <c:v>5.329360670917524E-2</c:v>
                </c:pt>
                <c:pt idx="3">
                  <c:v>5.4038243922401308E-2</c:v>
                </c:pt>
                <c:pt idx="4">
                  <c:v>5.4940720865543968E-2</c:v>
                </c:pt>
                <c:pt idx="5">
                  <c:v>5.6036655306678639E-2</c:v>
                </c:pt>
                <c:pt idx="6">
                  <c:v>5.7372188590650373E-2</c:v>
                </c:pt>
                <c:pt idx="7">
                  <c:v>5.9008248136821699E-2</c:v>
                </c:pt>
                <c:pt idx="8">
                  <c:v>6.1027077919814945E-2</c:v>
                </c:pt>
                <c:pt idx="9">
                  <c:v>6.3542580182218186E-2</c:v>
                </c:pt>
                <c:pt idx="10">
                  <c:v>6.6239242122941397E-2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7-C34F-B432-B1AAD03C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51568"/>
        <c:axId val="579686224"/>
      </c:lineChart>
      <c:catAx>
        <c:axId val="5797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6224"/>
        <c:crosses val="autoZero"/>
        <c:auto val="1"/>
        <c:lblAlgn val="ctr"/>
        <c:lblOffset val="100"/>
        <c:noMultiLvlLbl val="0"/>
      </c:catAx>
      <c:valAx>
        <c:axId val="5796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5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Electricity Generation</a:t>
            </a:r>
            <a:r>
              <a:rPr lang="en-GB" baseline="0"/>
              <a:t> by Technology- TWh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english!$B$10:$C$10</c:f>
              <c:strCache>
                <c:ptCount val="2"/>
                <c:pt idx="0">
                  <c:v>Coal</c:v>
                </c:pt>
                <c:pt idx="1">
                  <c:v>(TWh)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english!$D$10:$N$10</c:f>
              <c:numCache>
                <c:formatCode>0.0</c:formatCode>
                <c:ptCount val="11"/>
                <c:pt idx="0">
                  <c:v>10665.620976229502</c:v>
                </c:pt>
                <c:pt idx="1">
                  <c:v>10713.712360123081</c:v>
                </c:pt>
                <c:pt idx="2">
                  <c:v>10713.575639919527</c:v>
                </c:pt>
                <c:pt idx="3">
                  <c:v>10656.831855747107</c:v>
                </c:pt>
                <c:pt idx="4">
                  <c:v>10533.907702997039</c:v>
                </c:pt>
                <c:pt idx="5">
                  <c:v>10333.871911876287</c:v>
                </c:pt>
                <c:pt idx="6">
                  <c:v>10044.249423681984</c:v>
                </c:pt>
                <c:pt idx="7">
                  <c:v>9650.8103598148755</c:v>
                </c:pt>
                <c:pt idx="8">
                  <c:v>9137.3303737889328</c:v>
                </c:pt>
                <c:pt idx="9">
                  <c:v>8485.3185160040503</c:v>
                </c:pt>
                <c:pt idx="10">
                  <c:v>7673.7082184567716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A-7545-A886-30561B277BA6}"/>
            </c:ext>
          </c:extLst>
        </c:ser>
        <c:ser>
          <c:idx val="2"/>
          <c:order val="1"/>
          <c:tx>
            <c:strRef>
              <c:f>english!$B$11:$C$11</c:f>
              <c:strCache>
                <c:ptCount val="2"/>
                <c:pt idx="0">
                  <c:v>Gas</c:v>
                </c:pt>
                <c:pt idx="1">
                  <c:v>(TWh)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english!$D$11:$N$11</c:f>
              <c:numCache>
                <c:formatCode>0.0</c:formatCode>
                <c:ptCount val="11"/>
                <c:pt idx="0">
                  <c:v>7232.8728296959025</c:v>
                </c:pt>
                <c:pt idx="1">
                  <c:v>7365.5189047086951</c:v>
                </c:pt>
                <c:pt idx="2">
                  <c:v>7466.1565468619365</c:v>
                </c:pt>
                <c:pt idx="3">
                  <c:v>7527.5141847715549</c:v>
                </c:pt>
                <c:pt idx="4">
                  <c:v>7541.1265858769575</c:v>
                </c:pt>
                <c:pt idx="5">
                  <c:v>7497.1528214840664</c:v>
                </c:pt>
                <c:pt idx="6">
                  <c:v>7384.1670667456619</c:v>
                </c:pt>
                <c:pt idx="7">
                  <c:v>7188.9182139295426</c:v>
                </c:pt>
                <c:pt idx="8">
                  <c:v>6896.0536843629698</c:v>
                </c:pt>
                <c:pt idx="9">
                  <c:v>6487.8021443008993</c:v>
                </c:pt>
                <c:pt idx="10">
                  <c:v>5943.6090498584808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A-7545-A886-30561B277BA6}"/>
            </c:ext>
          </c:extLst>
        </c:ser>
        <c:ser>
          <c:idx val="3"/>
          <c:order val="2"/>
          <c:tx>
            <c:strRef>
              <c:f>english!$B$12:$C$12</c:f>
              <c:strCache>
                <c:ptCount val="2"/>
                <c:pt idx="0">
                  <c:v>Oil</c:v>
                </c:pt>
                <c:pt idx="1">
                  <c:v>(TWh)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english!$D$12:$N$12</c:f>
              <c:numCache>
                <c:formatCode>0.0</c:formatCode>
                <c:ptCount val="11"/>
                <c:pt idx="0">
                  <c:v>628.85633343159316</c:v>
                </c:pt>
                <c:pt idx="1">
                  <c:v>596.54259165673227</c:v>
                </c:pt>
                <c:pt idx="2">
                  <c:v>561.14022855926498</c:v>
                </c:pt>
                <c:pt idx="3">
                  <c:v>522.71368777471355</c:v>
                </c:pt>
                <c:pt idx="4">
                  <c:v>481.3918227830415</c:v>
                </c:pt>
                <c:pt idx="5">
                  <c:v>437.38322413399021</c:v>
                </c:pt>
                <c:pt idx="6">
                  <c:v>390.99449199412862</c:v>
                </c:pt>
                <c:pt idx="7">
                  <c:v>342.65197420601004</c:v>
                </c:pt>
                <c:pt idx="8">
                  <c:v>292.92757779204715</c:v>
                </c:pt>
                <c:pt idx="9">
                  <c:v>242.56936394224388</c:v>
                </c:pt>
                <c:pt idx="10">
                  <c:v>192.53775529770394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A-7545-A886-30561B277BA6}"/>
            </c:ext>
          </c:extLst>
        </c:ser>
        <c:ser>
          <c:idx val="8"/>
          <c:order val="3"/>
          <c:tx>
            <c:strRef>
              <c:f>english!$B$17:$C$17</c:f>
              <c:strCache>
                <c:ptCount val="2"/>
                <c:pt idx="0">
                  <c:v>Nuclear</c:v>
                </c:pt>
                <c:pt idx="1">
                  <c:v>(TWh)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english!$D$17:$N$17</c:f>
              <c:numCache>
                <c:formatCode>0.0</c:formatCode>
                <c:ptCount val="11"/>
                <c:pt idx="0">
                  <c:v>2873.8013674200001</c:v>
                </c:pt>
                <c:pt idx="1">
                  <c:v>2931.2773947684</c:v>
                </c:pt>
                <c:pt idx="2">
                  <c:v>2989.902942663768</c:v>
                </c:pt>
                <c:pt idx="3">
                  <c:v>3049.7010015170436</c:v>
                </c:pt>
                <c:pt idx="4">
                  <c:v>3110.6950215473844</c:v>
                </c:pt>
                <c:pt idx="5">
                  <c:v>3172.9089219783323</c:v>
                </c:pt>
                <c:pt idx="6">
                  <c:v>3236.3671004178991</c:v>
                </c:pt>
                <c:pt idx="7">
                  <c:v>3301.094442426257</c:v>
                </c:pt>
                <c:pt idx="8">
                  <c:v>3367.1163312747822</c:v>
                </c:pt>
                <c:pt idx="9">
                  <c:v>3434.458657900278</c:v>
                </c:pt>
                <c:pt idx="10">
                  <c:v>3503.1478310582838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A-7545-A886-30561B277BA6}"/>
            </c:ext>
          </c:extLst>
        </c:ser>
        <c:ser>
          <c:idx val="6"/>
          <c:order val="4"/>
          <c:tx>
            <c:strRef>
              <c:f>english!$B$15:$C$15</c:f>
              <c:strCache>
                <c:ptCount val="2"/>
                <c:pt idx="0">
                  <c:v>Bio-Geo</c:v>
                </c:pt>
                <c:pt idx="1">
                  <c:v>(TWh)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english!$D$15:$N$15</c:f>
              <c:numCache>
                <c:formatCode>0.0</c:formatCode>
                <c:ptCount val="11"/>
                <c:pt idx="0">
                  <c:v>812.43415900000002</c:v>
                </c:pt>
                <c:pt idx="1">
                  <c:v>832.43415900000002</c:v>
                </c:pt>
                <c:pt idx="2">
                  <c:v>852.43415900000002</c:v>
                </c:pt>
                <c:pt idx="3">
                  <c:v>872.43415900000002</c:v>
                </c:pt>
                <c:pt idx="4">
                  <c:v>892.43415900000002</c:v>
                </c:pt>
                <c:pt idx="5">
                  <c:v>912.43415900000002</c:v>
                </c:pt>
                <c:pt idx="6">
                  <c:v>932.43415900000002</c:v>
                </c:pt>
                <c:pt idx="7">
                  <c:v>952.43415900000002</c:v>
                </c:pt>
                <c:pt idx="8">
                  <c:v>972.43415900000002</c:v>
                </c:pt>
                <c:pt idx="9">
                  <c:v>992.43415900000002</c:v>
                </c:pt>
                <c:pt idx="10">
                  <c:v>1012.434159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A-7545-A886-30561B277BA6}"/>
            </c:ext>
          </c:extLst>
        </c:ser>
        <c:ser>
          <c:idx val="7"/>
          <c:order val="5"/>
          <c:tx>
            <c:strRef>
              <c:f>english!$B$16:$C$16</c:f>
              <c:strCache>
                <c:ptCount val="2"/>
                <c:pt idx="0">
                  <c:v>Hydro</c:v>
                </c:pt>
                <c:pt idx="1">
                  <c:v>(TWh)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english!$D$16:$N$16</c:f>
              <c:numCache>
                <c:formatCode>0.0</c:formatCode>
                <c:ptCount val="11"/>
                <c:pt idx="0">
                  <c:v>4510.7967065829998</c:v>
                </c:pt>
                <c:pt idx="1">
                  <c:v>4569.4370637685788</c:v>
                </c:pt>
                <c:pt idx="2">
                  <c:v>4628.8397455975701</c:v>
                </c:pt>
                <c:pt idx="3">
                  <c:v>4689.0146622903376</c:v>
                </c:pt>
                <c:pt idx="4">
                  <c:v>4749.9718529001111</c:v>
                </c:pt>
                <c:pt idx="5">
                  <c:v>4811.7214869878117</c:v>
                </c:pt>
                <c:pt idx="6">
                  <c:v>4874.2738663186528</c:v>
                </c:pt>
                <c:pt idx="7">
                  <c:v>4937.6394265807949</c:v>
                </c:pt>
                <c:pt idx="8">
                  <c:v>5001.8287391263448</c:v>
                </c:pt>
                <c:pt idx="9">
                  <c:v>5066.8525127349867</c:v>
                </c:pt>
                <c:pt idx="10">
                  <c:v>5132.7215954005414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1A-7545-A886-30561B277BA6}"/>
            </c:ext>
          </c:extLst>
        </c:ser>
        <c:ser>
          <c:idx val="5"/>
          <c:order val="6"/>
          <c:tx>
            <c:strRef>
              <c:f>english!$B$14:$C$14</c:f>
              <c:strCache>
                <c:ptCount val="2"/>
                <c:pt idx="0">
                  <c:v>Wind</c:v>
                </c:pt>
                <c:pt idx="1">
                  <c:v>(TWh)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english!$D$14:$N$14</c:f>
              <c:numCache>
                <c:formatCode>0.0</c:formatCode>
                <c:ptCount val="11"/>
                <c:pt idx="0">
                  <c:v>2711.0307090000001</c:v>
                </c:pt>
                <c:pt idx="1">
                  <c:v>2911.0307090000001</c:v>
                </c:pt>
                <c:pt idx="2">
                  <c:v>3111.0307090000001</c:v>
                </c:pt>
                <c:pt idx="3">
                  <c:v>3311.0307090000001</c:v>
                </c:pt>
                <c:pt idx="4">
                  <c:v>3511.0307090000001</c:v>
                </c:pt>
                <c:pt idx="5">
                  <c:v>3711.0307090000001</c:v>
                </c:pt>
                <c:pt idx="6">
                  <c:v>3911.0307090000001</c:v>
                </c:pt>
                <c:pt idx="7">
                  <c:v>4111.0307090000006</c:v>
                </c:pt>
                <c:pt idx="8">
                  <c:v>4311.0307090000006</c:v>
                </c:pt>
                <c:pt idx="9">
                  <c:v>4511.0307090000006</c:v>
                </c:pt>
                <c:pt idx="10">
                  <c:v>4711.0307090000006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1A-7545-A886-30561B277BA6}"/>
            </c:ext>
          </c:extLst>
        </c:ser>
        <c:ser>
          <c:idx val="4"/>
          <c:order val="7"/>
          <c:tx>
            <c:strRef>
              <c:f>english!$B$13:$C$13</c:f>
              <c:strCache>
                <c:ptCount val="2"/>
                <c:pt idx="0">
                  <c:v>Sun</c:v>
                </c:pt>
                <c:pt idx="1">
                  <c:v>(TWh)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english!$D$8:$N$8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english!$D$13:$N$13</c:f>
              <c:numCache>
                <c:formatCode>0.0</c:formatCode>
                <c:ptCount val="11"/>
                <c:pt idx="0">
                  <c:v>2649.8610811400013</c:v>
                </c:pt>
                <c:pt idx="1">
                  <c:v>3294.1267140196019</c:v>
                </c:pt>
                <c:pt idx="2">
                  <c:v>4059.3895355023474</c:v>
                </c:pt>
                <c:pt idx="3">
                  <c:v>4962.5891519926772</c:v>
                </c:pt>
                <c:pt idx="4">
                  <c:v>6023.0367147916531</c:v>
                </c:pt>
                <c:pt idx="5">
                  <c:v>7262.7469363824857</c:v>
                </c:pt>
                <c:pt idx="6">
                  <c:v>8706.8165889960346</c:v>
                </c:pt>
                <c:pt idx="7">
                  <c:v>10383.855992975481</c:v>
                </c:pt>
                <c:pt idx="8">
                  <c:v>12326.48091351205</c:v>
                </c:pt>
                <c:pt idx="9">
                  <c:v>14571.873322923739</c:v>
                </c:pt>
                <c:pt idx="10">
                  <c:v>17162.420669653064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1A-7545-A886-30561B27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65215"/>
        <c:axId val="536167631"/>
      </c:areaChart>
      <c:catAx>
        <c:axId val="536365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67631"/>
        <c:crosses val="autoZero"/>
        <c:auto val="1"/>
        <c:lblAlgn val="ctr"/>
        <c:lblOffset val="100"/>
        <c:noMultiLvlLbl val="0"/>
      </c:catAx>
      <c:valAx>
        <c:axId val="53616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65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Total Energy Supply- EJ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areaChart>
        <c:grouping val="stacked"/>
        <c:varyColors val="0"/>
        <c:ser>
          <c:idx val="5"/>
          <c:order val="0"/>
          <c:tx>
            <c:strRef>
              <c:f>english!$B$25:$C$25</c:f>
              <c:strCache>
                <c:ptCount val="2"/>
                <c:pt idx="0">
                  <c:v>Nuclear</c:v>
                </c:pt>
                <c:pt idx="1">
                  <c:v>EJ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english!$D$25:$N$25</c:f>
              <c:numCache>
                <c:formatCode>0.0</c:formatCode>
                <c:ptCount val="11"/>
                <c:pt idx="0">
                  <c:v>31.350299117184782</c:v>
                </c:pt>
                <c:pt idx="1">
                  <c:v>31.977305099528476</c:v>
                </c:pt>
                <c:pt idx="2">
                  <c:v>32.616851201519047</c:v>
                </c:pt>
                <c:pt idx="3">
                  <c:v>33.269188225549428</c:v>
                </c:pt>
                <c:pt idx="4">
                  <c:v>33.934571990060419</c:v>
                </c:pt>
                <c:pt idx="5">
                  <c:v>34.613263429861625</c:v>
                </c:pt>
                <c:pt idx="6">
                  <c:v>35.305528698458865</c:v>
                </c:pt>
                <c:pt idx="7">
                  <c:v>36.011639272428042</c:v>
                </c:pt>
                <c:pt idx="8">
                  <c:v>36.7318720578766</c:v>
                </c:pt>
                <c:pt idx="9">
                  <c:v>37.466509499034132</c:v>
                </c:pt>
                <c:pt idx="10">
                  <c:v>38.215839689014821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7-6041-B5F2-ADE11B604049}"/>
            </c:ext>
          </c:extLst>
        </c:ser>
        <c:ser>
          <c:idx val="1"/>
          <c:order val="1"/>
          <c:tx>
            <c:strRef>
              <c:f>english!$B$21:$C$21</c:f>
              <c:strCache>
                <c:ptCount val="2"/>
                <c:pt idx="0">
                  <c:v>Coal</c:v>
                </c:pt>
                <c:pt idx="1">
                  <c:v>EJ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english!$D$21:$N$21</c:f>
              <c:numCache>
                <c:formatCode>0.0</c:formatCode>
                <c:ptCount val="11"/>
                <c:pt idx="0">
                  <c:v>165.85040618036876</c:v>
                </c:pt>
                <c:pt idx="1">
                  <c:v>166.59822719991391</c:v>
                </c:pt>
                <c:pt idx="2">
                  <c:v>166.59610120074865</c:v>
                </c:pt>
                <c:pt idx="3">
                  <c:v>165.71373535686752</c:v>
                </c:pt>
                <c:pt idx="4">
                  <c:v>163.80226478160395</c:v>
                </c:pt>
                <c:pt idx="5">
                  <c:v>160.69170822967627</c:v>
                </c:pt>
                <c:pt idx="6">
                  <c:v>156.18807853825484</c:v>
                </c:pt>
                <c:pt idx="7">
                  <c:v>150.07010109512132</c:v>
                </c:pt>
                <c:pt idx="8">
                  <c:v>142.08548731241791</c:v>
                </c:pt>
                <c:pt idx="9">
                  <c:v>131.94670292386297</c:v>
                </c:pt>
                <c:pt idx="10">
                  <c:v>119.32616279700279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7-6041-B5F2-ADE11B604049}"/>
            </c:ext>
          </c:extLst>
        </c:ser>
        <c:ser>
          <c:idx val="2"/>
          <c:order val="2"/>
          <c:tx>
            <c:strRef>
              <c:f>english!$B$22:$C$22</c:f>
              <c:strCache>
                <c:ptCount val="2"/>
                <c:pt idx="0">
                  <c:v>Gas</c:v>
                </c:pt>
                <c:pt idx="1">
                  <c:v>EJ</c:v>
                </c:pt>
              </c:strCache>
            </c:strRef>
          </c:tx>
          <c:spPr>
            <a:solidFill>
              <a:schemeClr val="tx2">
                <a:lumMod val="10000"/>
                <a:lumOff val="90000"/>
              </a:schemeClr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english!$D$22:$N$22</c:f>
              <c:numCache>
                <c:formatCode>0.0</c:formatCode>
                <c:ptCount val="11"/>
                <c:pt idx="0">
                  <c:v>153.49602719180646</c:v>
                </c:pt>
                <c:pt idx="1">
                  <c:v>156.31104219572794</c:v>
                </c:pt>
                <c:pt idx="2">
                  <c:v>158.44677423750403</c:v>
                </c:pt>
                <c:pt idx="3">
                  <c:v>159.74890602922196</c:v>
                </c:pt>
                <c:pt idx="4">
                  <c:v>160.0377884054808</c:v>
                </c:pt>
                <c:pt idx="5">
                  <c:v>159.10457717753488</c:v>
                </c:pt>
                <c:pt idx="6">
                  <c:v>156.70679349047646</c:v>
                </c:pt>
                <c:pt idx="7">
                  <c:v>152.56322233601276</c:v>
                </c:pt>
                <c:pt idx="8">
                  <c:v>146.34805128955097</c:v>
                </c:pt>
                <c:pt idx="9">
                  <c:v>137.68413710635369</c:v>
                </c:pt>
                <c:pt idx="10">
                  <c:v>126.13527125609669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7-6041-B5F2-ADE11B604049}"/>
            </c:ext>
          </c:extLst>
        </c:ser>
        <c:ser>
          <c:idx val="3"/>
          <c:order val="3"/>
          <c:tx>
            <c:strRef>
              <c:f>english!$B$23:$C$23</c:f>
              <c:strCache>
                <c:ptCount val="2"/>
                <c:pt idx="0">
                  <c:v>Oil</c:v>
                </c:pt>
                <c:pt idx="1">
                  <c:v>EJ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english!$D$23:$N$23</c:f>
              <c:numCache>
                <c:formatCode>0.0</c:formatCode>
                <c:ptCount val="11"/>
                <c:pt idx="0">
                  <c:v>199.31017241379308</c:v>
                </c:pt>
                <c:pt idx="1">
                  <c:v>197.87413862068962</c:v>
                </c:pt>
                <c:pt idx="2">
                  <c:v>196.34144330068963</c:v>
                </c:pt>
                <c:pt idx="3">
                  <c:v>194.71192152747307</c:v>
                </c:pt>
                <c:pt idx="4">
                  <c:v>192.98541114766365</c:v>
                </c:pt>
                <c:pt idx="5">
                  <c:v>191.16175273063575</c:v>
                </c:pt>
                <c:pt idx="6">
                  <c:v>189.24078951927277</c:v>
                </c:pt>
                <c:pt idx="7">
                  <c:v>187.22236738165799</c:v>
                </c:pt>
                <c:pt idx="8">
                  <c:v>185.10633476368034</c:v>
                </c:pt>
                <c:pt idx="9">
                  <c:v>182.89254264253631</c:v>
                </c:pt>
                <c:pt idx="10">
                  <c:v>182.22153413628467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7-6041-B5F2-ADE11B604049}"/>
            </c:ext>
          </c:extLst>
        </c:ser>
        <c:ser>
          <c:idx val="4"/>
          <c:order val="4"/>
          <c:tx>
            <c:strRef>
              <c:f>english!$B$24:$C$24</c:f>
              <c:strCache>
                <c:ptCount val="2"/>
                <c:pt idx="0">
                  <c:v>Renewable</c:v>
                </c:pt>
                <c:pt idx="1">
                  <c:v>EJ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english!$D$19:$N$19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english!$D$24:$N$24</c:f>
              <c:numCache>
                <c:formatCode>0.0</c:formatCode>
                <c:ptCount val="11"/>
                <c:pt idx="0">
                  <c:v>50.89916033186438</c:v>
                </c:pt>
                <c:pt idx="1">
                  <c:v>54.262858919059759</c:v>
                </c:pt>
                <c:pt idx="2">
                  <c:v>58.020669367772243</c:v>
                </c:pt>
                <c:pt idx="3">
                  <c:v>62.216303864226745</c:v>
                </c:pt>
                <c:pt idx="4">
                  <c:v>66.897894904529338</c:v>
                </c:pt>
                <c:pt idx="5">
                  <c:v>72.118373885428355</c:v>
                </c:pt>
                <c:pt idx="6">
                  <c:v>77.935869017621187</c:v>
                </c:pt>
                <c:pt idx="7">
                  <c:v>84.414120550770605</c:v>
                </c:pt>
                <c:pt idx="8">
                  <c:v>91.62291035762685</c:v>
                </c:pt>
                <c:pt idx="9">
                  <c:v>99.638501758599631</c:v>
                </c:pt>
                <c:pt idx="10">
                  <c:v>111.03774006829155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E7-6041-B5F2-ADE11B604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90911"/>
        <c:axId val="664792623"/>
      </c:areaChart>
      <c:catAx>
        <c:axId val="664790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2623"/>
        <c:crosses val="autoZero"/>
        <c:auto val="1"/>
        <c:lblAlgn val="ctr"/>
        <c:lblOffset val="100"/>
        <c:noMultiLvlLbl val="0"/>
      </c:catAx>
      <c:valAx>
        <c:axId val="66479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790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Petrol Liquids</a:t>
            </a:r>
            <a:r>
              <a:rPr lang="en-GB" baseline="0"/>
              <a:t> Demand - mb/d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english!$B$42:$C$42</c:f>
              <c:strCache>
                <c:ptCount val="2"/>
                <c:pt idx="0">
                  <c:v>Petrol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english!$D$42:$N$42</c:f>
              <c:numCache>
                <c:formatCode>0.0</c:formatCode>
                <c:ptCount val="11"/>
                <c:pt idx="0">
                  <c:v>23.710344827586209</c:v>
                </c:pt>
                <c:pt idx="1">
                  <c:v>23.365517241379312</c:v>
                </c:pt>
                <c:pt idx="2">
                  <c:v>22.96551724137931</c:v>
                </c:pt>
                <c:pt idx="3">
                  <c:v>22.510344827586209</c:v>
                </c:pt>
                <c:pt idx="4">
                  <c:v>22</c:v>
                </c:pt>
                <c:pt idx="5">
                  <c:v>21.434482758620689</c:v>
                </c:pt>
                <c:pt idx="6">
                  <c:v>20.813793103448276</c:v>
                </c:pt>
                <c:pt idx="7">
                  <c:v>20.137931034482758</c:v>
                </c:pt>
                <c:pt idx="8">
                  <c:v>19.406896551724138</c:v>
                </c:pt>
                <c:pt idx="9">
                  <c:v>18.620689655172413</c:v>
                </c:pt>
                <c:pt idx="10">
                  <c:v>18.620689655172413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A-1849-9DDA-3F3B0058FDDF}"/>
            </c:ext>
          </c:extLst>
        </c:ser>
        <c:ser>
          <c:idx val="1"/>
          <c:order val="1"/>
          <c:tx>
            <c:strRef>
              <c:f>english!$B$43:$C$43</c:f>
              <c:strCache>
                <c:ptCount val="2"/>
                <c:pt idx="0">
                  <c:v>Diesel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english!$D$43:$N$43</c:f>
              <c:numCache>
                <c:formatCode>0.0</c:formatCode>
                <c:ptCount val="11"/>
                <c:pt idx="0">
                  <c:v>27</c:v>
                </c:pt>
                <c:pt idx="1">
                  <c:v>26.73</c:v>
                </c:pt>
                <c:pt idx="2">
                  <c:v>26.462700000000002</c:v>
                </c:pt>
                <c:pt idx="3">
                  <c:v>26.198073000000001</c:v>
                </c:pt>
                <c:pt idx="4">
                  <c:v>25.93609227</c:v>
                </c:pt>
                <c:pt idx="5">
                  <c:v>25.676731347299999</c:v>
                </c:pt>
                <c:pt idx="6">
                  <c:v>25.419964033827</c:v>
                </c:pt>
                <c:pt idx="7">
                  <c:v>25.165764393488729</c:v>
                </c:pt>
                <c:pt idx="8">
                  <c:v>24.914106749553842</c:v>
                </c:pt>
                <c:pt idx="9">
                  <c:v>24.664965682058302</c:v>
                </c:pt>
                <c:pt idx="10">
                  <c:v>24.418316025237718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A-1849-9DDA-3F3B0058FDDF}"/>
            </c:ext>
          </c:extLst>
        </c:ser>
        <c:ser>
          <c:idx val="2"/>
          <c:order val="2"/>
          <c:tx>
            <c:strRef>
              <c:f>english!$B$44:$C$44</c:f>
              <c:strCache>
                <c:ptCount val="2"/>
                <c:pt idx="0">
                  <c:v>Kerosene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english!$D$44:$N$44</c:f>
              <c:numCache>
                <c:formatCode>0.0</c:formatCode>
                <c:ptCount val="11"/>
                <c:pt idx="0">
                  <c:v>7.3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7.3</c:v>
                </c:pt>
                <c:pt idx="5">
                  <c:v>7.3</c:v>
                </c:pt>
                <c:pt idx="6">
                  <c:v>7.3</c:v>
                </c:pt>
                <c:pt idx="7">
                  <c:v>7.3</c:v>
                </c:pt>
                <c:pt idx="8">
                  <c:v>7.3</c:v>
                </c:pt>
                <c:pt idx="9">
                  <c:v>7.3</c:v>
                </c:pt>
                <c:pt idx="10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A-1849-9DDA-3F3B0058FDDF}"/>
            </c:ext>
          </c:extLst>
        </c:ser>
        <c:ser>
          <c:idx val="3"/>
          <c:order val="3"/>
          <c:tx>
            <c:strRef>
              <c:f>english!$B$45:$C$45</c:f>
              <c:strCache>
                <c:ptCount val="2"/>
                <c:pt idx="0">
                  <c:v>LPG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english!$D$45:$N$45</c:f>
              <c:numCache>
                <c:formatCode>0.0</c:formatCode>
                <c:ptCount val="11"/>
                <c:pt idx="0">
                  <c:v>14.6</c:v>
                </c:pt>
                <c:pt idx="1">
                  <c:v>14.6</c:v>
                </c:pt>
                <c:pt idx="2">
                  <c:v>14.6</c:v>
                </c:pt>
                <c:pt idx="3">
                  <c:v>14.6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14.6</c:v>
                </c:pt>
                <c:pt idx="8">
                  <c:v>14.6</c:v>
                </c:pt>
                <c:pt idx="9">
                  <c:v>14.6</c:v>
                </c:pt>
                <c:pt idx="10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A-1849-9DDA-3F3B0058FDDF}"/>
            </c:ext>
          </c:extLst>
        </c:ser>
        <c:ser>
          <c:idx val="4"/>
          <c:order val="4"/>
          <c:tx>
            <c:strRef>
              <c:f>english!$B$46:$C$46</c:f>
              <c:strCache>
                <c:ptCount val="2"/>
                <c:pt idx="0">
                  <c:v>Fuel Oil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english!$D$46:$N$46</c:f>
              <c:numCache>
                <c:formatCode>0.0</c:formatCode>
                <c:ptCount val="11"/>
                <c:pt idx="0">
                  <c:v>7.2</c:v>
                </c:pt>
                <c:pt idx="1">
                  <c:v>7.056</c:v>
                </c:pt>
                <c:pt idx="2">
                  <c:v>6.9148800000000001</c:v>
                </c:pt>
                <c:pt idx="3">
                  <c:v>6.7765823999999997</c:v>
                </c:pt>
                <c:pt idx="4">
                  <c:v>6.6410507519999999</c:v>
                </c:pt>
                <c:pt idx="5">
                  <c:v>6.5082297369599997</c:v>
                </c:pt>
                <c:pt idx="6">
                  <c:v>6.3780651422207999</c:v>
                </c:pt>
                <c:pt idx="7">
                  <c:v>6.2505038393763837</c:v>
                </c:pt>
                <c:pt idx="8">
                  <c:v>6.1254937625888557</c:v>
                </c:pt>
                <c:pt idx="9">
                  <c:v>6.0029838873370789</c:v>
                </c:pt>
                <c:pt idx="10">
                  <c:v>5.8829242095903371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A-1849-9DDA-3F3B0058FDDF}"/>
            </c:ext>
          </c:extLst>
        </c:ser>
        <c:ser>
          <c:idx val="5"/>
          <c:order val="5"/>
          <c:tx>
            <c:strRef>
              <c:f>english!$B$47:$C$47</c:f>
              <c:strCache>
                <c:ptCount val="2"/>
                <c:pt idx="0">
                  <c:v>Other</c:v>
                </c:pt>
                <c:pt idx="1">
                  <c:v>mb/d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english!$D$41:$N$41</c:f>
              <c:numCache>
                <c:formatCode>General</c:formatCode>
                <c:ptCount val="11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  <c:pt idx="5">
                  <c:v>2030</c:v>
                </c:pt>
                <c:pt idx="6">
                  <c:v>2031</c:v>
                </c:pt>
                <c:pt idx="7">
                  <c:v>2032</c:v>
                </c:pt>
                <c:pt idx="8">
                  <c:v>2033</c:v>
                </c:pt>
                <c:pt idx="9">
                  <c:v>2034</c:v>
                </c:pt>
                <c:pt idx="10">
                  <c:v>2035</c:v>
                </c:pt>
              </c:numCache>
            </c:numRef>
          </c:cat>
          <c:val>
            <c:numRef>
              <c:f>english!$D$47:$N$47</c:f>
              <c:numCache>
                <c:formatCode>0.0</c:formatCode>
                <c:ptCount val="11"/>
                <c:pt idx="0">
                  <c:v>22.4</c:v>
                </c:pt>
                <c:pt idx="1">
                  <c:v>22.422399999999996</c:v>
                </c:pt>
                <c:pt idx="2">
                  <c:v>22.444822399999993</c:v>
                </c:pt>
                <c:pt idx="3">
                  <c:v>22.46726722239999</c:v>
                </c:pt>
                <c:pt idx="4">
                  <c:v>22.489734489622386</c:v>
                </c:pt>
                <c:pt idx="5">
                  <c:v>22.512224224112007</c:v>
                </c:pt>
                <c:pt idx="6">
                  <c:v>22.534736448336115</c:v>
                </c:pt>
                <c:pt idx="7">
                  <c:v>22.557271184784447</c:v>
                </c:pt>
                <c:pt idx="8">
                  <c:v>22.579828455969228</c:v>
                </c:pt>
                <c:pt idx="9">
                  <c:v>22.602408284425195</c:v>
                </c:pt>
                <c:pt idx="10">
                  <c:v>22.625010692709619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A-1849-9DDA-3F3B0058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853551"/>
        <c:axId val="793855263"/>
      </c:lineChart>
      <c:catAx>
        <c:axId val="793853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5263"/>
        <c:crosses val="autoZero"/>
        <c:auto val="1"/>
        <c:lblAlgn val="ctr"/>
        <c:lblOffset val="100"/>
        <c:noMultiLvlLbl val="0"/>
      </c:catAx>
      <c:valAx>
        <c:axId val="793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0181308585139046E-2"/>
          <c:y val="0.16222562041797811"/>
          <c:w val="0.89999991223705123"/>
          <c:h val="7.12670303940846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6</xdr:row>
      <xdr:rowOff>203679</xdr:rowOff>
    </xdr:from>
    <xdr:to>
      <xdr:col>20</xdr:col>
      <xdr:colOff>766793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3BEC0-0506-D64A-A9B4-0DFA8F726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10809</xdr:colOff>
      <xdr:row>25</xdr:row>
      <xdr:rowOff>148617</xdr:rowOff>
    </xdr:from>
    <xdr:to>
      <xdr:col>20</xdr:col>
      <xdr:colOff>754812</xdr:colOff>
      <xdr:row>44</xdr:row>
      <xdr:rowOff>189148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672D3-6149-0AE6-145B-F0234BD88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37829</xdr:colOff>
      <xdr:row>45</xdr:row>
      <xdr:rowOff>13241</xdr:rowOff>
    </xdr:from>
    <xdr:to>
      <xdr:col>20</xdr:col>
      <xdr:colOff>756594</xdr:colOff>
      <xdr:row>59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9C16A-08B5-B5DC-90F3-2C3BE0F33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31272</xdr:colOff>
      <xdr:row>3</xdr:row>
      <xdr:rowOff>240344</xdr:rowOff>
    </xdr:from>
    <xdr:to>
      <xdr:col>6</xdr:col>
      <xdr:colOff>247172</xdr:colOff>
      <xdr:row>3</xdr:row>
      <xdr:rowOff>240344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BE6A28E-F1CE-80C7-8058-A4612DBFB6B9}"/>
            </a:ext>
          </a:extLst>
        </xdr:cNvPr>
        <xdr:cNvCxnSpPr/>
      </xdr:nvCxnSpPr>
      <xdr:spPr>
        <a:xfrm flipH="1">
          <a:off x="5363906" y="1701527"/>
          <a:ext cx="10420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4</xdr:row>
      <xdr:rowOff>295923</xdr:rowOff>
    </xdr:from>
    <xdr:to>
      <xdr:col>6</xdr:col>
      <xdr:colOff>241300</xdr:colOff>
      <xdr:row>4</xdr:row>
      <xdr:rowOff>295923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E9FA7B9-4289-5E45-A705-5605A4381BAF}"/>
            </a:ext>
          </a:extLst>
        </xdr:cNvPr>
        <xdr:cNvCxnSpPr/>
      </xdr:nvCxnSpPr>
      <xdr:spPr>
        <a:xfrm flipH="1">
          <a:off x="5358034" y="2289686"/>
          <a:ext cx="10420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241300</xdr:colOff>
      <xdr:row>3</xdr:row>
      <xdr:rowOff>241300</xdr:rowOff>
    </xdr:from>
    <xdr:ext cx="1612900" cy="593368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5460455-23E0-78A3-71E2-CACB4055100C}"/>
            </a:ext>
          </a:extLst>
        </xdr:cNvPr>
        <xdr:cNvSpPr txBox="1"/>
      </xdr:nvSpPr>
      <xdr:spPr>
        <a:xfrm>
          <a:off x="6400800" y="1524000"/>
          <a:ext cx="1612900" cy="59336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sadece bu 2 rakamı</a:t>
          </a:r>
          <a:r>
            <a:rPr lang="en-GB" sz="1600" baseline="0"/>
            <a:t> değiştirin</a:t>
          </a:r>
          <a:endParaRPr lang="en-GB" sz="1600"/>
        </a:p>
      </xdr:txBody>
    </xdr:sp>
    <xdr:clientData/>
  </xdr:oneCellAnchor>
  <xdr:twoCellAnchor>
    <xdr:from>
      <xdr:col>14</xdr:col>
      <xdr:colOff>46879</xdr:colOff>
      <xdr:row>80</xdr:row>
      <xdr:rowOff>9722</xdr:rowOff>
    </xdr:from>
    <xdr:to>
      <xdr:col>20</xdr:col>
      <xdr:colOff>782674</xdr:colOff>
      <xdr:row>94</xdr:row>
      <xdr:rowOff>106401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52BD92-77C7-C53F-A4ED-8238CA66E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39120</xdr:colOff>
      <xdr:row>68</xdr:row>
      <xdr:rowOff>200728</xdr:rowOff>
    </xdr:from>
    <xdr:to>
      <xdr:col>20</xdr:col>
      <xdr:colOff>775720</xdr:colOff>
      <xdr:row>79</xdr:row>
      <xdr:rowOff>149185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F14190-433E-4A3F-0234-B3E38C674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14377</xdr:colOff>
      <xdr:row>59</xdr:row>
      <xdr:rowOff>173967</xdr:rowOff>
    </xdr:from>
    <xdr:to>
      <xdr:col>20</xdr:col>
      <xdr:colOff>754813</xdr:colOff>
      <xdr:row>69</xdr:row>
      <xdr:rowOff>83868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54E60E-AF70-184A-A9D8-AB4462CDD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6</xdr:row>
      <xdr:rowOff>203679</xdr:rowOff>
    </xdr:from>
    <xdr:to>
      <xdr:col>20</xdr:col>
      <xdr:colOff>766793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6D870-5ED2-E942-BC10-5A48BC1AD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10809</xdr:colOff>
      <xdr:row>25</xdr:row>
      <xdr:rowOff>148617</xdr:rowOff>
    </xdr:from>
    <xdr:to>
      <xdr:col>20</xdr:col>
      <xdr:colOff>754812</xdr:colOff>
      <xdr:row>44</xdr:row>
      <xdr:rowOff>189148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4FA0E2-A3C9-DE45-8890-C06A08A0C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37829</xdr:colOff>
      <xdr:row>45</xdr:row>
      <xdr:rowOff>13241</xdr:rowOff>
    </xdr:from>
    <xdr:to>
      <xdr:col>20</xdr:col>
      <xdr:colOff>756594</xdr:colOff>
      <xdr:row>59</xdr:row>
      <xdr:rowOff>175638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DDCE5D-1300-2A4B-BDC0-9EF8DEADD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31272</xdr:colOff>
      <xdr:row>3</xdr:row>
      <xdr:rowOff>240344</xdr:rowOff>
    </xdr:from>
    <xdr:to>
      <xdr:col>6</xdr:col>
      <xdr:colOff>247172</xdr:colOff>
      <xdr:row>3</xdr:row>
      <xdr:rowOff>240344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7A3E827-7017-BB48-AC8B-63C97CAD3AEC}"/>
            </a:ext>
          </a:extLst>
        </xdr:cNvPr>
        <xdr:cNvCxnSpPr/>
      </xdr:nvCxnSpPr>
      <xdr:spPr>
        <a:xfrm flipH="1">
          <a:off x="5365272" y="1700844"/>
          <a:ext cx="1041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4</xdr:row>
      <xdr:rowOff>295923</xdr:rowOff>
    </xdr:from>
    <xdr:to>
      <xdr:col>6</xdr:col>
      <xdr:colOff>241300</xdr:colOff>
      <xdr:row>4</xdr:row>
      <xdr:rowOff>295923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7997D5D-016D-CD4D-A22B-CB2A48C8C769}"/>
            </a:ext>
          </a:extLst>
        </xdr:cNvPr>
        <xdr:cNvCxnSpPr/>
      </xdr:nvCxnSpPr>
      <xdr:spPr>
        <a:xfrm flipH="1">
          <a:off x="5359400" y="2289823"/>
          <a:ext cx="10414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241300</xdr:colOff>
      <xdr:row>3</xdr:row>
      <xdr:rowOff>241300</xdr:rowOff>
    </xdr:from>
    <xdr:ext cx="1612900" cy="59336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CDCD05E-F4C5-8A47-98C5-33EB2E2E8E00}"/>
            </a:ext>
          </a:extLst>
        </xdr:cNvPr>
        <xdr:cNvSpPr txBox="1"/>
      </xdr:nvSpPr>
      <xdr:spPr>
        <a:xfrm>
          <a:off x="6421967" y="1694744"/>
          <a:ext cx="1612900" cy="59336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600"/>
            <a:t>Change these</a:t>
          </a:r>
        </a:p>
        <a:p>
          <a:r>
            <a:rPr lang="en-GB" sz="1600"/>
            <a:t> 2 cells</a:t>
          </a:r>
        </a:p>
      </xdr:txBody>
    </xdr:sp>
    <xdr:clientData/>
  </xdr:oneCellAnchor>
  <xdr:twoCellAnchor>
    <xdr:from>
      <xdr:col>14</xdr:col>
      <xdr:colOff>46879</xdr:colOff>
      <xdr:row>80</xdr:row>
      <xdr:rowOff>9722</xdr:rowOff>
    </xdr:from>
    <xdr:to>
      <xdr:col>20</xdr:col>
      <xdr:colOff>782674</xdr:colOff>
      <xdr:row>94</xdr:row>
      <xdr:rowOff>106401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D7B69-973D-9946-A08F-27F0E978C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39120</xdr:colOff>
      <xdr:row>68</xdr:row>
      <xdr:rowOff>200728</xdr:rowOff>
    </xdr:from>
    <xdr:to>
      <xdr:col>20</xdr:col>
      <xdr:colOff>775720</xdr:colOff>
      <xdr:row>79</xdr:row>
      <xdr:rowOff>149185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4EEE8A-9213-624C-8C4F-909CB4384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14377</xdr:colOff>
      <xdr:row>59</xdr:row>
      <xdr:rowOff>173967</xdr:rowOff>
    </xdr:from>
    <xdr:to>
      <xdr:col>20</xdr:col>
      <xdr:colOff>754813</xdr:colOff>
      <xdr:row>69</xdr:row>
      <xdr:rowOff>83868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85591E-BAB4-2F41-8F6D-F9A25D7D3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9D142-3990-9640-B692-999BDBD55492}">
  <dimension ref="A1:AA95"/>
  <sheetViews>
    <sheetView tabSelected="1" zoomScale="54" workbookViewId="0">
      <selection activeCell="AI12" sqref="AI12"/>
    </sheetView>
  </sheetViews>
  <sheetFormatPr baseColWidth="10" defaultRowHeight="16" x14ac:dyDescent="0.2"/>
  <cols>
    <col min="1" max="1" width="19.83203125" customWidth="1"/>
    <col min="2" max="2" width="17.6640625" customWidth="1"/>
    <col min="22" max="27" width="10.83203125" style="35"/>
  </cols>
  <sheetData>
    <row r="1" spans="1:27" s="48" customFormat="1" ht="31" customHeight="1" x14ac:dyDescent="0.4">
      <c r="A1" s="50" t="s">
        <v>89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s="47" customFormat="1" ht="37" customHeight="1" x14ac:dyDescent="0.35">
      <c r="A2" s="45" t="s">
        <v>90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47" customHeight="1" thickBot="1" x14ac:dyDescent="0.25">
      <c r="A3" s="49" t="s">
        <v>88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7" s="22" customFormat="1" ht="42" customHeight="1" x14ac:dyDescent="0.3">
      <c r="A4" s="44"/>
      <c r="B4" s="27" t="s">
        <v>68</v>
      </c>
      <c r="C4" s="23"/>
      <c r="D4" s="29"/>
      <c r="E4" s="24">
        <v>3.5000000000000003E-2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s="22" customFormat="1" ht="42" customHeight="1" thickBot="1" x14ac:dyDescent="0.35">
      <c r="A5" s="44"/>
      <c r="B5" s="28" t="s">
        <v>69</v>
      </c>
      <c r="C5" s="25"/>
      <c r="D5" s="30"/>
      <c r="E5" s="26">
        <v>0.14000000000000001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x14ac:dyDescent="0.2"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7" s="35" customFormat="1" x14ac:dyDescent="0.2"/>
    <row r="8" spans="1:27" x14ac:dyDescent="0.2">
      <c r="A8" s="32" t="s">
        <v>73</v>
      </c>
      <c r="D8" s="32">
        <v>2025</v>
      </c>
      <c r="E8" s="32">
        <f>D8+1</f>
        <v>2026</v>
      </c>
      <c r="F8" s="32">
        <f t="shared" ref="F8:N8" si="0">E8+1</f>
        <v>2027</v>
      </c>
      <c r="G8" s="32">
        <f t="shared" si="0"/>
        <v>2028</v>
      </c>
      <c r="H8" s="32">
        <f t="shared" si="0"/>
        <v>2029</v>
      </c>
      <c r="I8" s="32">
        <f t="shared" si="0"/>
        <v>2030</v>
      </c>
      <c r="J8" s="32">
        <f t="shared" si="0"/>
        <v>2031</v>
      </c>
      <c r="K8" s="32">
        <f t="shared" si="0"/>
        <v>2032</v>
      </c>
      <c r="L8" s="32">
        <f>K8+1</f>
        <v>2033</v>
      </c>
      <c r="M8" s="32">
        <f t="shared" si="0"/>
        <v>2034</v>
      </c>
      <c r="N8" s="32">
        <f t="shared" si="0"/>
        <v>2035</v>
      </c>
    </row>
    <row r="9" spans="1:27" x14ac:dyDescent="0.2">
      <c r="B9" s="37" t="s">
        <v>70</v>
      </c>
      <c r="C9" s="38" t="s">
        <v>71</v>
      </c>
      <c r="D9" s="60">
        <f>model!N20</f>
        <v>32349.871383299997</v>
      </c>
      <c r="E9" s="61">
        <f>model!O20</f>
        <v>33482.11688171549</v>
      </c>
      <c r="F9" s="61">
        <f>model!P20</f>
        <v>34653.990972575528</v>
      </c>
      <c r="G9" s="61">
        <f>model!Q20</f>
        <v>35866.880656615671</v>
      </c>
      <c r="H9" s="61">
        <f>model!R20</f>
        <v>37122.221479597218</v>
      </c>
      <c r="I9" s="61">
        <f>model!S20</f>
        <v>38421.499231383117</v>
      </c>
      <c r="J9" s="61">
        <f>model!T20</f>
        <v>39766.251704481525</v>
      </c>
      <c r="K9" s="61">
        <f>model!U20</f>
        <v>41158.070514138373</v>
      </c>
      <c r="L9" s="61">
        <f>model!V20</f>
        <v>42598.602982133212</v>
      </c>
      <c r="M9" s="61">
        <f>model!W20</f>
        <v>44089.554086507873</v>
      </c>
      <c r="N9" s="62">
        <f>model!X20</f>
        <v>45632.688479535645</v>
      </c>
    </row>
    <row r="10" spans="1:27" x14ac:dyDescent="0.2">
      <c r="B10" s="39" t="s">
        <v>5</v>
      </c>
      <c r="C10" s="33" t="s">
        <v>71</v>
      </c>
      <c r="D10" s="63">
        <f>model!N25</f>
        <v>10665.620976229502</v>
      </c>
      <c r="E10" s="21">
        <f>model!O25</f>
        <v>10713.712360123081</v>
      </c>
      <c r="F10" s="21">
        <f>model!P25</f>
        <v>10713.575639919527</v>
      </c>
      <c r="G10" s="21">
        <f>model!Q25</f>
        <v>10656.831855747107</v>
      </c>
      <c r="H10" s="21">
        <f>model!R25</f>
        <v>10533.907702997039</v>
      </c>
      <c r="I10" s="21">
        <f>model!S25</f>
        <v>10333.871911876287</v>
      </c>
      <c r="J10" s="21">
        <f>model!T25</f>
        <v>10044.249423681984</v>
      </c>
      <c r="K10" s="21">
        <f>model!U25</f>
        <v>9650.8103598148755</v>
      </c>
      <c r="L10" s="21">
        <f>model!V25</f>
        <v>9137.3303737889328</v>
      </c>
      <c r="M10" s="21">
        <f>model!W25</f>
        <v>8485.3185160040503</v>
      </c>
      <c r="N10" s="64">
        <f>model!X25</f>
        <v>7673.7082184567716</v>
      </c>
    </row>
    <row r="11" spans="1:27" x14ac:dyDescent="0.2">
      <c r="B11" s="39" t="s">
        <v>6</v>
      </c>
      <c r="C11" s="33" t="s">
        <v>71</v>
      </c>
      <c r="D11" s="63">
        <f>model!N26</f>
        <v>7232.8728296959025</v>
      </c>
      <c r="E11" s="21">
        <f>model!O26</f>
        <v>7365.5189047086951</v>
      </c>
      <c r="F11" s="21">
        <f>model!P26</f>
        <v>7466.1565468619365</v>
      </c>
      <c r="G11" s="21">
        <f>model!Q26</f>
        <v>7527.5141847715549</v>
      </c>
      <c r="H11" s="21">
        <f>model!R26</f>
        <v>7541.1265858769575</v>
      </c>
      <c r="I11" s="21">
        <f>model!S26</f>
        <v>7497.1528214840664</v>
      </c>
      <c r="J11" s="21">
        <f>model!T26</f>
        <v>7384.1670667456619</v>
      </c>
      <c r="K11" s="21">
        <f>model!U26</f>
        <v>7188.9182139295426</v>
      </c>
      <c r="L11" s="21">
        <f>model!V26</f>
        <v>6896.0536843629698</v>
      </c>
      <c r="M11" s="21">
        <f>model!W26</f>
        <v>6487.8021443008993</v>
      </c>
      <c r="N11" s="64">
        <f>model!X26</f>
        <v>5943.6090498584808</v>
      </c>
    </row>
    <row r="12" spans="1:27" x14ac:dyDescent="0.2">
      <c r="B12" s="39" t="s">
        <v>7</v>
      </c>
      <c r="C12" s="33" t="s">
        <v>71</v>
      </c>
      <c r="D12" s="63">
        <f>model!N27</f>
        <v>628.85633343159316</v>
      </c>
      <c r="E12" s="21">
        <f>model!O27</f>
        <v>596.54259165673227</v>
      </c>
      <c r="F12" s="21">
        <f>model!P27</f>
        <v>561.14022855926498</v>
      </c>
      <c r="G12" s="21">
        <f>model!Q27</f>
        <v>522.71368777471355</v>
      </c>
      <c r="H12" s="21">
        <f>model!R27</f>
        <v>481.3918227830415</v>
      </c>
      <c r="I12" s="21">
        <f>model!S27</f>
        <v>437.38322413399021</v>
      </c>
      <c r="J12" s="21">
        <f>model!T27</f>
        <v>390.99449199412862</v>
      </c>
      <c r="K12" s="21">
        <f>model!U27</f>
        <v>342.65197420601004</v>
      </c>
      <c r="L12" s="21">
        <f>model!V27</f>
        <v>292.92757779204715</v>
      </c>
      <c r="M12" s="21">
        <f>model!W27</f>
        <v>242.56936394224388</v>
      </c>
      <c r="N12" s="64">
        <f>model!X27</f>
        <v>192.53775529770394</v>
      </c>
    </row>
    <row r="13" spans="1:27" x14ac:dyDescent="0.2">
      <c r="B13" s="39" t="s">
        <v>51</v>
      </c>
      <c r="C13" s="33" t="s">
        <v>71</v>
      </c>
      <c r="D13" s="63">
        <f>model!N80</f>
        <v>2649.8610811400013</v>
      </c>
      <c r="E13" s="21">
        <f>model!O80</f>
        <v>3294.1267140196019</v>
      </c>
      <c r="F13" s="21">
        <f>model!P80</f>
        <v>4059.3895355023474</v>
      </c>
      <c r="G13" s="21">
        <f>model!Q80</f>
        <v>4962.5891519926772</v>
      </c>
      <c r="H13" s="21">
        <f>model!R80</f>
        <v>6023.0367147916531</v>
      </c>
      <c r="I13" s="21">
        <f>model!S80</f>
        <v>7262.7469363824857</v>
      </c>
      <c r="J13" s="21">
        <f>model!T80</f>
        <v>8706.8165889960346</v>
      </c>
      <c r="K13" s="21">
        <f>model!U80</f>
        <v>10383.855992975481</v>
      </c>
      <c r="L13" s="21">
        <f>model!V80</f>
        <v>12326.48091351205</v>
      </c>
      <c r="M13" s="21">
        <f>model!W80</f>
        <v>14571.873322923739</v>
      </c>
      <c r="N13" s="64">
        <f>model!X80</f>
        <v>17162.420669653064</v>
      </c>
    </row>
    <row r="14" spans="1:27" x14ac:dyDescent="0.2">
      <c r="B14" s="39" t="s">
        <v>52</v>
      </c>
      <c r="C14" s="33" t="s">
        <v>71</v>
      </c>
      <c r="D14" s="63">
        <f>model!N81</f>
        <v>2711.0307090000001</v>
      </c>
      <c r="E14" s="21">
        <f>model!O81</f>
        <v>2911.0307090000001</v>
      </c>
      <c r="F14" s="21">
        <f>model!P81</f>
        <v>3111.0307090000001</v>
      </c>
      <c r="G14" s="21">
        <f>model!Q81</f>
        <v>3311.0307090000001</v>
      </c>
      <c r="H14" s="21">
        <f>model!R81</f>
        <v>3511.0307090000001</v>
      </c>
      <c r="I14" s="21">
        <f>model!S81</f>
        <v>3711.0307090000001</v>
      </c>
      <c r="J14" s="21">
        <f>model!T81</f>
        <v>3911.0307090000001</v>
      </c>
      <c r="K14" s="21">
        <f>model!U81</f>
        <v>4111.0307090000006</v>
      </c>
      <c r="L14" s="21">
        <f>model!V81</f>
        <v>4311.0307090000006</v>
      </c>
      <c r="M14" s="21">
        <f>model!W81</f>
        <v>4511.0307090000006</v>
      </c>
      <c r="N14" s="64">
        <f>model!X81</f>
        <v>4711.0307090000006</v>
      </c>
    </row>
    <row r="15" spans="1:27" x14ac:dyDescent="0.2">
      <c r="B15" s="39" t="s">
        <v>72</v>
      </c>
      <c r="C15" s="33" t="s">
        <v>71</v>
      </c>
      <c r="D15" s="63">
        <f>model!N82</f>
        <v>812.43415900000002</v>
      </c>
      <c r="E15" s="21">
        <f>model!O82</f>
        <v>832.43415900000002</v>
      </c>
      <c r="F15" s="21">
        <f>model!P82</f>
        <v>852.43415900000002</v>
      </c>
      <c r="G15" s="21">
        <f>model!Q82</f>
        <v>872.43415900000002</v>
      </c>
      <c r="H15" s="21">
        <f>model!R82</f>
        <v>892.43415900000002</v>
      </c>
      <c r="I15" s="21">
        <f>model!S82</f>
        <v>912.43415900000002</v>
      </c>
      <c r="J15" s="21">
        <f>model!T82</f>
        <v>932.43415900000002</v>
      </c>
      <c r="K15" s="21">
        <f>model!U82</f>
        <v>952.43415900000002</v>
      </c>
      <c r="L15" s="21">
        <f>model!V82</f>
        <v>972.43415900000002</v>
      </c>
      <c r="M15" s="21">
        <f>model!W82</f>
        <v>992.43415900000002</v>
      </c>
      <c r="N15" s="64">
        <f>model!X82</f>
        <v>1012.434159</v>
      </c>
    </row>
    <row r="16" spans="1:27" x14ac:dyDescent="0.2">
      <c r="B16" s="39" t="s">
        <v>2</v>
      </c>
      <c r="C16" s="33" t="s">
        <v>71</v>
      </c>
      <c r="D16" s="63">
        <f>model!N22</f>
        <v>4510.7967065829998</v>
      </c>
      <c r="E16" s="21">
        <f>model!O22</f>
        <v>4569.4370637685788</v>
      </c>
      <c r="F16" s="21">
        <f>model!P22</f>
        <v>4628.8397455975701</v>
      </c>
      <c r="G16" s="21">
        <f>model!Q22</f>
        <v>4689.0146622903376</v>
      </c>
      <c r="H16" s="21">
        <f>model!R22</f>
        <v>4749.9718529001111</v>
      </c>
      <c r="I16" s="21">
        <f>model!S22</f>
        <v>4811.7214869878117</v>
      </c>
      <c r="J16" s="21">
        <f>model!T22</f>
        <v>4874.2738663186528</v>
      </c>
      <c r="K16" s="21">
        <f>model!U22</f>
        <v>4937.6394265807949</v>
      </c>
      <c r="L16" s="21">
        <f>model!V22</f>
        <v>5001.8287391263448</v>
      </c>
      <c r="M16" s="21">
        <f>model!W22</f>
        <v>5066.8525127349867</v>
      </c>
      <c r="N16" s="64">
        <f>model!X22</f>
        <v>5132.7215954005414</v>
      </c>
    </row>
    <row r="17" spans="1:14" x14ac:dyDescent="0.2">
      <c r="B17" s="40" t="s">
        <v>3</v>
      </c>
      <c r="C17" s="41" t="s">
        <v>71</v>
      </c>
      <c r="D17" s="65">
        <f>model!N23</f>
        <v>2873.8013674200001</v>
      </c>
      <c r="E17" s="66">
        <f>model!O23</f>
        <v>2931.2773947684</v>
      </c>
      <c r="F17" s="66">
        <f>model!P23</f>
        <v>2989.902942663768</v>
      </c>
      <c r="G17" s="66">
        <f>model!Q23</f>
        <v>3049.7010015170436</v>
      </c>
      <c r="H17" s="66">
        <f>model!R23</f>
        <v>3110.6950215473844</v>
      </c>
      <c r="I17" s="66">
        <f>model!S23</f>
        <v>3172.9089219783323</v>
      </c>
      <c r="J17" s="66">
        <f>model!T23</f>
        <v>3236.3671004178991</v>
      </c>
      <c r="K17" s="66">
        <f>model!U23</f>
        <v>3301.094442426257</v>
      </c>
      <c r="L17" s="66">
        <f>model!V23</f>
        <v>3367.1163312747822</v>
      </c>
      <c r="M17" s="66">
        <f>model!W23</f>
        <v>3434.458657900278</v>
      </c>
      <c r="N17" s="67">
        <f>model!X23</f>
        <v>3503.1478310582838</v>
      </c>
    </row>
    <row r="18" spans="1:14" s="35" customFormat="1" x14ac:dyDescent="0.2">
      <c r="C18" s="36"/>
    </row>
    <row r="19" spans="1:14" x14ac:dyDescent="0.2">
      <c r="A19" s="32" t="s">
        <v>74</v>
      </c>
      <c r="C19" s="34"/>
      <c r="D19" s="32">
        <v>2025</v>
      </c>
      <c r="E19" s="32">
        <f>D19+1</f>
        <v>2026</v>
      </c>
      <c r="F19" s="32">
        <f t="shared" ref="F19:N19" si="1">E19+1</f>
        <v>2027</v>
      </c>
      <c r="G19" s="32">
        <f t="shared" si="1"/>
        <v>2028</v>
      </c>
      <c r="H19" s="32">
        <f t="shared" si="1"/>
        <v>2029</v>
      </c>
      <c r="I19" s="32">
        <f t="shared" si="1"/>
        <v>2030</v>
      </c>
      <c r="J19" s="32">
        <f t="shared" si="1"/>
        <v>2031</v>
      </c>
      <c r="K19" s="32">
        <f t="shared" si="1"/>
        <v>2032</v>
      </c>
      <c r="L19" s="32">
        <f>K19+1</f>
        <v>2033</v>
      </c>
      <c r="M19" s="32">
        <f t="shared" si="1"/>
        <v>2034</v>
      </c>
      <c r="N19" s="32">
        <f t="shared" si="1"/>
        <v>2035</v>
      </c>
    </row>
    <row r="20" spans="1:14" x14ac:dyDescent="0.2">
      <c r="B20" s="37" t="s">
        <v>9</v>
      </c>
      <c r="C20" s="38" t="s">
        <v>20</v>
      </c>
      <c r="D20" s="60">
        <f>model!N41</f>
        <v>600.90606523501754</v>
      </c>
      <c r="E20" s="61">
        <f>model!O41</f>
        <v>607.02357203491977</v>
      </c>
      <c r="F20" s="61">
        <f>model!P41</f>
        <v>612.02183930823355</v>
      </c>
      <c r="G20" s="61">
        <f>model!Q41</f>
        <v>615.66005500333881</v>
      </c>
      <c r="H20" s="61">
        <f>model!R41</f>
        <v>617.65793122933815</v>
      </c>
      <c r="I20" s="61">
        <f>model!S41</f>
        <v>617.68967545313683</v>
      </c>
      <c r="J20" s="61">
        <f>model!T41</f>
        <v>615.3770592640841</v>
      </c>
      <c r="K20" s="61">
        <f>model!U41</f>
        <v>610.28145063599072</v>
      </c>
      <c r="L20" s="61">
        <f>model!V41</f>
        <v>601.89465578115266</v>
      </c>
      <c r="M20" s="61">
        <f>model!W41</f>
        <v>589.62839393038678</v>
      </c>
      <c r="N20" s="62">
        <f>model!X41</f>
        <v>576.93654794669055</v>
      </c>
    </row>
    <row r="21" spans="1:14" x14ac:dyDescent="0.2">
      <c r="B21" s="39" t="s">
        <v>5</v>
      </c>
      <c r="C21" s="33" t="s">
        <v>20</v>
      </c>
      <c r="D21" s="63">
        <f>model!N42</f>
        <v>165.85040618036876</v>
      </c>
      <c r="E21" s="21">
        <f>model!O42</f>
        <v>166.59822719991391</v>
      </c>
      <c r="F21" s="21">
        <f>model!P42</f>
        <v>166.59610120074865</v>
      </c>
      <c r="G21" s="21">
        <f>model!Q42</f>
        <v>165.71373535686752</v>
      </c>
      <c r="H21" s="21">
        <f>model!R42</f>
        <v>163.80226478160395</v>
      </c>
      <c r="I21" s="21">
        <f>model!S42</f>
        <v>160.69170822967627</v>
      </c>
      <c r="J21" s="21">
        <f>model!T42</f>
        <v>156.18807853825484</v>
      </c>
      <c r="K21" s="21">
        <f>model!U42</f>
        <v>150.07010109512132</v>
      </c>
      <c r="L21" s="21">
        <f>model!V42</f>
        <v>142.08548731241791</v>
      </c>
      <c r="M21" s="21">
        <f>model!W42</f>
        <v>131.94670292386297</v>
      </c>
      <c r="N21" s="64">
        <f>model!X42</f>
        <v>119.32616279700279</v>
      </c>
    </row>
    <row r="22" spans="1:14" x14ac:dyDescent="0.2">
      <c r="B22" s="39" t="s">
        <v>6</v>
      </c>
      <c r="C22" s="33" t="s">
        <v>20</v>
      </c>
      <c r="D22" s="63">
        <f>model!N43</f>
        <v>153.49602719180646</v>
      </c>
      <c r="E22" s="21">
        <f>model!O43</f>
        <v>156.31104219572794</v>
      </c>
      <c r="F22" s="21">
        <f>model!P43</f>
        <v>158.44677423750403</v>
      </c>
      <c r="G22" s="21">
        <f>model!Q43</f>
        <v>159.74890602922196</v>
      </c>
      <c r="H22" s="21">
        <f>model!R43</f>
        <v>160.0377884054808</v>
      </c>
      <c r="I22" s="21">
        <f>model!S43</f>
        <v>159.10457717753488</v>
      </c>
      <c r="J22" s="21">
        <f>model!T43</f>
        <v>156.70679349047646</v>
      </c>
      <c r="K22" s="21">
        <f>model!U43</f>
        <v>152.56322233601276</v>
      </c>
      <c r="L22" s="21">
        <f>model!V43</f>
        <v>146.34805128955097</v>
      </c>
      <c r="M22" s="21">
        <f>model!W43</f>
        <v>137.68413710635369</v>
      </c>
      <c r="N22" s="64">
        <f>model!X43</f>
        <v>126.13527125609669</v>
      </c>
    </row>
    <row r="23" spans="1:14" x14ac:dyDescent="0.2">
      <c r="B23" s="39" t="s">
        <v>7</v>
      </c>
      <c r="C23" s="33" t="s">
        <v>20</v>
      </c>
      <c r="D23" s="63">
        <f>model!N44</f>
        <v>199.31017241379308</v>
      </c>
      <c r="E23" s="21">
        <f>model!O44</f>
        <v>197.87413862068962</v>
      </c>
      <c r="F23" s="21">
        <f>model!P44</f>
        <v>196.34144330068963</v>
      </c>
      <c r="G23" s="21">
        <f>model!Q44</f>
        <v>194.71192152747307</v>
      </c>
      <c r="H23" s="21">
        <f>model!R44</f>
        <v>192.98541114766365</v>
      </c>
      <c r="I23" s="21">
        <f>model!S44</f>
        <v>191.16175273063575</v>
      </c>
      <c r="J23" s="21">
        <f>model!T44</f>
        <v>189.24078951927277</v>
      </c>
      <c r="K23" s="21">
        <f>model!U44</f>
        <v>187.22236738165799</v>
      </c>
      <c r="L23" s="21">
        <f>model!V44</f>
        <v>185.10633476368034</v>
      </c>
      <c r="M23" s="21">
        <f>model!W44</f>
        <v>182.89254264253631</v>
      </c>
      <c r="N23" s="64">
        <f>model!X44</f>
        <v>182.22153413628467</v>
      </c>
    </row>
    <row r="24" spans="1:14" x14ac:dyDescent="0.2">
      <c r="B24" s="39" t="s">
        <v>1</v>
      </c>
      <c r="C24" s="33" t="s">
        <v>20</v>
      </c>
      <c r="D24" s="63">
        <f>model!N45</f>
        <v>50.89916033186438</v>
      </c>
      <c r="E24" s="21">
        <f>model!O45</f>
        <v>54.262858919059759</v>
      </c>
      <c r="F24" s="21">
        <f>model!P45</f>
        <v>58.020669367772243</v>
      </c>
      <c r="G24" s="21">
        <f>model!Q45</f>
        <v>62.216303864226745</v>
      </c>
      <c r="H24" s="21">
        <f>model!R45</f>
        <v>66.897894904529338</v>
      </c>
      <c r="I24" s="21">
        <f>model!S45</f>
        <v>72.118373885428355</v>
      </c>
      <c r="J24" s="21">
        <f>model!T45</f>
        <v>77.935869017621187</v>
      </c>
      <c r="K24" s="21">
        <f>model!U45</f>
        <v>84.414120550770605</v>
      </c>
      <c r="L24" s="21">
        <f>model!V45</f>
        <v>91.62291035762685</v>
      </c>
      <c r="M24" s="21">
        <f>model!W45</f>
        <v>99.638501758599631</v>
      </c>
      <c r="N24" s="64">
        <f>model!X45</f>
        <v>111.03774006829155</v>
      </c>
    </row>
    <row r="25" spans="1:14" x14ac:dyDescent="0.2">
      <c r="B25" s="40" t="s">
        <v>3</v>
      </c>
      <c r="C25" s="41" t="s">
        <v>20</v>
      </c>
      <c r="D25" s="65">
        <f>model!N46</f>
        <v>31.350299117184782</v>
      </c>
      <c r="E25" s="66">
        <f>model!O46</f>
        <v>31.977305099528476</v>
      </c>
      <c r="F25" s="66">
        <f>model!P46</f>
        <v>32.616851201519047</v>
      </c>
      <c r="G25" s="66">
        <f>model!Q46</f>
        <v>33.269188225549428</v>
      </c>
      <c r="H25" s="66">
        <f>model!R46</f>
        <v>33.934571990060419</v>
      </c>
      <c r="I25" s="66">
        <f>model!S46</f>
        <v>34.613263429861625</v>
      </c>
      <c r="J25" s="66">
        <f>model!T46</f>
        <v>35.305528698458865</v>
      </c>
      <c r="K25" s="66">
        <f>model!U46</f>
        <v>36.011639272428042</v>
      </c>
      <c r="L25" s="66">
        <f>model!V46</f>
        <v>36.7318720578766</v>
      </c>
      <c r="M25" s="66">
        <f>model!W46</f>
        <v>37.466509499034132</v>
      </c>
      <c r="N25" s="67">
        <f>model!X46</f>
        <v>38.215839689014821</v>
      </c>
    </row>
    <row r="26" spans="1:14" s="35" customFormat="1" x14ac:dyDescent="0.2">
      <c r="C26" s="36"/>
    </row>
    <row r="27" spans="1:14" x14ac:dyDescent="0.2">
      <c r="A27" s="32" t="s">
        <v>75</v>
      </c>
      <c r="C27" s="34"/>
      <c r="D27" s="32">
        <v>2025</v>
      </c>
      <c r="E27" s="32">
        <f>D27+1</f>
        <v>2026</v>
      </c>
      <c r="F27" s="32">
        <f t="shared" ref="F27:N27" si="2">E27+1</f>
        <v>2027</v>
      </c>
      <c r="G27" s="32">
        <f t="shared" si="2"/>
        <v>2028</v>
      </c>
      <c r="H27" s="32">
        <f t="shared" si="2"/>
        <v>2029</v>
      </c>
      <c r="I27" s="32">
        <f t="shared" si="2"/>
        <v>2030</v>
      </c>
      <c r="J27" s="32">
        <f t="shared" si="2"/>
        <v>2031</v>
      </c>
      <c r="K27" s="32">
        <f t="shared" si="2"/>
        <v>2032</v>
      </c>
      <c r="L27" s="32">
        <f>K27+1</f>
        <v>2033</v>
      </c>
      <c r="M27" s="32">
        <f t="shared" si="2"/>
        <v>2034</v>
      </c>
      <c r="N27" s="32">
        <f t="shared" si="2"/>
        <v>2035</v>
      </c>
    </row>
    <row r="28" spans="1:14" x14ac:dyDescent="0.2">
      <c r="B28" s="37" t="s">
        <v>30</v>
      </c>
      <c r="C28" s="38" t="s">
        <v>29</v>
      </c>
      <c r="D28" s="60">
        <f>model!N58</f>
        <v>102.2103448275862</v>
      </c>
      <c r="E28" s="61">
        <f>model!O58</f>
        <v>101.4739172413793</v>
      </c>
      <c r="F28" s="61">
        <f>model!P58</f>
        <v>100.6879196413793</v>
      </c>
      <c r="G28" s="61">
        <f>model!Q58</f>
        <v>99.852267449986186</v>
      </c>
      <c r="H28" s="61">
        <f>model!R58</f>
        <v>98.966877511622386</v>
      </c>
      <c r="I28" s="61">
        <f>model!S58</f>
        <v>98.031668066992694</v>
      </c>
      <c r="J28" s="61">
        <f>model!T58</f>
        <v>97.046558727832192</v>
      </c>
      <c r="K28" s="61">
        <f>model!U58</f>
        <v>96.011470452132301</v>
      </c>
      <c r="L28" s="61">
        <f>model!V58</f>
        <v>94.92632551983607</v>
      </c>
      <c r="M28" s="61">
        <f>model!W58</f>
        <v>93.791047508992989</v>
      </c>
      <c r="N28" s="62">
        <f>model!X58</f>
        <v>93.446940582710084</v>
      </c>
    </row>
    <row r="29" spans="1:14" x14ac:dyDescent="0.2">
      <c r="B29" s="39" t="s">
        <v>7</v>
      </c>
      <c r="C29" s="33" t="s">
        <v>29</v>
      </c>
      <c r="D29" s="63">
        <f>model!N59</f>
        <v>97.671405626357384</v>
      </c>
      <c r="E29" s="21">
        <f>model!O59</f>
        <v>96.534037991284748</v>
      </c>
      <c r="F29" s="21">
        <f>model!P59</f>
        <v>95.280160525370192</v>
      </c>
      <c r="G29" s="21">
        <f>model!Q59</f>
        <v>93.909692107314115</v>
      </c>
      <c r="H29" s="21">
        <f>model!R59</f>
        <v>92.422552979727826</v>
      </c>
      <c r="I29" s="21">
        <f>model!S59</f>
        <v>90.818664724445313</v>
      </c>
      <c r="J29" s="21">
        <f>model!T59</f>
        <v>89.097950238303085</v>
      </c>
      <c r="K29" s="21">
        <f>model!U59</f>
        <v>87.260333709378671</v>
      </c>
      <c r="L29" s="21">
        <f>model!V59</f>
        <v>85.305740593679062</v>
      </c>
      <c r="M29" s="21">
        <f>model!W59</f>
        <v>83.234097592270047</v>
      </c>
      <c r="N29" s="64">
        <f>model!X59</f>
        <v>82.904052745326737</v>
      </c>
    </row>
    <row r="30" spans="1:14" x14ac:dyDescent="0.2">
      <c r="B30" s="39" t="s">
        <v>6</v>
      </c>
      <c r="C30" s="33" t="s">
        <v>24</v>
      </c>
      <c r="D30" s="63">
        <f>model!N60</f>
        <v>4263.7788742080174</v>
      </c>
      <c r="E30" s="21">
        <f>model!O60</f>
        <v>4341.9737416836479</v>
      </c>
      <c r="F30" s="21">
        <f>model!P60</f>
        <v>4401.2996364790542</v>
      </c>
      <c r="G30" s="21">
        <f>model!Q60</f>
        <v>4437.469966920401</v>
      </c>
      <c r="H30" s="21">
        <f>model!R60</f>
        <v>4445.4944780139967</v>
      </c>
      <c r="I30" s="21">
        <f>model!S60</f>
        <v>4419.5719418305844</v>
      </c>
      <c r="J30" s="21">
        <f>model!T60</f>
        <v>4352.9668340838871</v>
      </c>
      <c r="K30" s="21">
        <f>model!U60</f>
        <v>4237.8676261408482</v>
      </c>
      <c r="L30" s="21">
        <f>model!V60</f>
        <v>4065.2239721498631</v>
      </c>
      <c r="M30" s="21">
        <f>model!W60</f>
        <v>3824.5596700301294</v>
      </c>
      <c r="N30" s="64">
        <f>model!X60</f>
        <v>3503.7578151921775</v>
      </c>
    </row>
    <row r="31" spans="1:14" x14ac:dyDescent="0.2">
      <c r="B31" s="42" t="s">
        <v>31</v>
      </c>
      <c r="C31" s="33" t="s">
        <v>24</v>
      </c>
      <c r="D31" s="63">
        <f>model!N61</f>
        <v>426.37788742080176</v>
      </c>
      <c r="E31" s="21">
        <f>model!O61</f>
        <v>434.19737416836483</v>
      </c>
      <c r="F31" s="21">
        <f>model!P61</f>
        <v>440.12996364790547</v>
      </c>
      <c r="G31" s="21">
        <f>model!Q61</f>
        <v>443.74699669204011</v>
      </c>
      <c r="H31" s="21">
        <f>model!R61</f>
        <v>444.54944780139971</v>
      </c>
      <c r="I31" s="21">
        <f>model!S61</f>
        <v>441.95719418305845</v>
      </c>
      <c r="J31" s="21">
        <f>model!T61</f>
        <v>435.29668340838873</v>
      </c>
      <c r="K31" s="21">
        <f>model!U61</f>
        <v>423.78676261408486</v>
      </c>
      <c r="L31" s="21">
        <f>model!V61</f>
        <v>406.52239721498631</v>
      </c>
      <c r="M31" s="21">
        <f>model!W61</f>
        <v>382.45596700301297</v>
      </c>
      <c r="N31" s="64">
        <f>model!X61</f>
        <v>350.37578151921775</v>
      </c>
    </row>
    <row r="32" spans="1:14" x14ac:dyDescent="0.2">
      <c r="B32" s="39" t="s">
        <v>25</v>
      </c>
      <c r="C32" s="33" t="s">
        <v>24</v>
      </c>
      <c r="D32" s="63">
        <f>model!N62</f>
        <v>469.0156761628819</v>
      </c>
      <c r="E32" s="21">
        <f>model!O62</f>
        <v>477.61711158520126</v>
      </c>
      <c r="F32" s="21">
        <f>model!P62</f>
        <v>484.14296001269599</v>
      </c>
      <c r="G32" s="21">
        <f>model!Q62</f>
        <v>488.12169636124412</v>
      </c>
      <c r="H32" s="21">
        <f>model!R62</f>
        <v>489.00439258153966</v>
      </c>
      <c r="I32" s="21">
        <f>model!S62</f>
        <v>486.15291360136428</v>
      </c>
      <c r="J32" s="21">
        <f>model!T62</f>
        <v>478.82635174922757</v>
      </c>
      <c r="K32" s="21">
        <f>model!U62</f>
        <v>466.16543887549329</v>
      </c>
      <c r="L32" s="21">
        <f>model!V62</f>
        <v>447.17463693648494</v>
      </c>
      <c r="M32" s="21">
        <f>model!W62</f>
        <v>420.70156370331421</v>
      </c>
      <c r="N32" s="64">
        <f>model!X62</f>
        <v>385.41335967113952</v>
      </c>
    </row>
    <row r="33" spans="1:15" x14ac:dyDescent="0.2">
      <c r="B33" s="43" t="s">
        <v>26</v>
      </c>
      <c r="C33" s="33" t="s">
        <v>24</v>
      </c>
      <c r="D33" s="63">
        <f>model!N63</f>
        <v>1507.5394617732923</v>
      </c>
      <c r="E33" s="21">
        <f>model!O63</f>
        <v>1535.1867323999948</v>
      </c>
      <c r="F33" s="21">
        <f>model!P63</f>
        <v>1556.1625217520398</v>
      </c>
      <c r="G33" s="21">
        <f>model!Q63</f>
        <v>1568.9512244719569</v>
      </c>
      <c r="H33" s="21">
        <f>model!R63</f>
        <v>1571.7884417601729</v>
      </c>
      <c r="I33" s="21">
        <f>model!S63</f>
        <v>1562.6230400358636</v>
      </c>
      <c r="J33" s="21">
        <f>model!T63</f>
        <v>1539.0735476146695</v>
      </c>
      <c r="K33" s="21">
        <f>model!U63</f>
        <v>1498.3780511754435</v>
      </c>
      <c r="L33" s="21">
        <f>model!V63</f>
        <v>1437.3366301977926</v>
      </c>
      <c r="M33" s="21">
        <f>model!W63</f>
        <v>1352.2452257911748</v>
      </c>
      <c r="N33" s="64">
        <f>model!X63</f>
        <v>1238.8196777394808</v>
      </c>
    </row>
    <row r="34" spans="1:15" x14ac:dyDescent="0.2">
      <c r="B34" s="40" t="s">
        <v>27</v>
      </c>
      <c r="C34" s="41" t="s">
        <v>28</v>
      </c>
      <c r="D34" s="65">
        <f>model!N64</f>
        <v>8308.1434172806294</v>
      </c>
      <c r="E34" s="66">
        <f>model!O64</f>
        <v>8345.6049129979274</v>
      </c>
      <c r="F34" s="66">
        <f>model!P64</f>
        <v>8345.4984127705429</v>
      </c>
      <c r="G34" s="66">
        <f>model!Q64</f>
        <v>8301.2970017139924</v>
      </c>
      <c r="H34" s="66">
        <f>model!R64</f>
        <v>8205.5434124226249</v>
      </c>
      <c r="I34" s="66">
        <f>model!S64</f>
        <v>8049.7225703990489</v>
      </c>
      <c r="J34" s="66">
        <f>model!T64</f>
        <v>7824.1168439110461</v>
      </c>
      <c r="K34" s="66">
        <f>model!U64</f>
        <v>7517.6416582792262</v>
      </c>
      <c r="L34" s="66">
        <f>model!V64</f>
        <v>7117.6588185257251</v>
      </c>
      <c r="M34" s="66">
        <f>model!W64</f>
        <v>6609.7645256085762</v>
      </c>
      <c r="N34" s="67">
        <f>model!X64</f>
        <v>5977.5486643856175</v>
      </c>
    </row>
    <row r="35" spans="1:15" s="35" customFormat="1" x14ac:dyDescent="0.2">
      <c r="C35" s="36"/>
    </row>
    <row r="36" spans="1:15" x14ac:dyDescent="0.2">
      <c r="A36" s="32" t="s">
        <v>41</v>
      </c>
      <c r="C36" s="34"/>
      <c r="D36" s="68">
        <v>2025</v>
      </c>
      <c r="E36" s="68">
        <f>D36+1</f>
        <v>2026</v>
      </c>
      <c r="F36" s="68">
        <f t="shared" ref="F36:N36" si="3">E36+1</f>
        <v>2027</v>
      </c>
      <c r="G36" s="68">
        <f t="shared" si="3"/>
        <v>2028</v>
      </c>
      <c r="H36" s="68">
        <f t="shared" si="3"/>
        <v>2029</v>
      </c>
      <c r="I36" s="68">
        <f t="shared" si="3"/>
        <v>2030</v>
      </c>
      <c r="J36" s="68">
        <f t="shared" si="3"/>
        <v>2031</v>
      </c>
      <c r="K36" s="68">
        <f t="shared" si="3"/>
        <v>2032</v>
      </c>
      <c r="L36" s="68">
        <f>K36+1</f>
        <v>2033</v>
      </c>
      <c r="M36" s="68">
        <f t="shared" si="3"/>
        <v>2034</v>
      </c>
      <c r="N36" s="68">
        <f t="shared" si="3"/>
        <v>2035</v>
      </c>
    </row>
    <row r="37" spans="1:15" x14ac:dyDescent="0.2">
      <c r="B37" s="37" t="s">
        <v>42</v>
      </c>
      <c r="C37" s="38" t="s">
        <v>29</v>
      </c>
      <c r="D37" s="60">
        <f>model!N67</f>
        <v>43.43939655172413</v>
      </c>
      <c r="E37" s="61">
        <f>model!O67</f>
        <v>43.126414827586203</v>
      </c>
      <c r="F37" s="61">
        <f>model!P67</f>
        <v>42.792365847586197</v>
      </c>
      <c r="G37" s="61">
        <f>model!Q67</f>
        <v>42.437213666244126</v>
      </c>
      <c r="H37" s="61">
        <f>model!R67</f>
        <v>42.060922942439511</v>
      </c>
      <c r="I37" s="61">
        <f>model!S67</f>
        <v>41.663458928471897</v>
      </c>
      <c r="J37" s="61">
        <f>model!T67</f>
        <v>41.244787459328677</v>
      </c>
      <c r="K37" s="61">
        <f>model!U67</f>
        <v>40.804874942156225</v>
      </c>
      <c r="L37" s="61">
        <f>model!V67</f>
        <v>40.343688345930332</v>
      </c>
      <c r="M37" s="61">
        <f>model!W67</f>
        <v>39.861195191322018</v>
      </c>
      <c r="N37" s="61">
        <f>model!X67</f>
        <v>39.714949747651787</v>
      </c>
      <c r="O37" s="69"/>
    </row>
    <row r="38" spans="1:15" x14ac:dyDescent="0.2">
      <c r="B38" s="40" t="s">
        <v>44</v>
      </c>
      <c r="C38" s="41" t="s">
        <v>29</v>
      </c>
      <c r="D38" s="65">
        <f>model!N68</f>
        <v>26.268058620689654</v>
      </c>
      <c r="E38" s="66">
        <f>model!O68</f>
        <v>26.07879673103448</v>
      </c>
      <c r="F38" s="66">
        <f>model!P68</f>
        <v>25.876795347834481</v>
      </c>
      <c r="G38" s="66">
        <f>model!Q68</f>
        <v>25.662032734646452</v>
      </c>
      <c r="H38" s="66">
        <f>model!R68</f>
        <v>25.434487520486954</v>
      </c>
      <c r="I38" s="66">
        <f>model!S68</f>
        <v>25.194138693217123</v>
      </c>
      <c r="J38" s="66">
        <f>model!T68</f>
        <v>24.940965593052873</v>
      </c>
      <c r="K38" s="66">
        <f>model!U68</f>
        <v>24.674947906198003</v>
      </c>
      <c r="L38" s="66">
        <f>model!V68</f>
        <v>24.39606565859787</v>
      </c>
      <c r="M38" s="66">
        <f>model!W68</f>
        <v>24.104299209811199</v>
      </c>
      <c r="N38" s="66">
        <f>model!X68</f>
        <v>24.015863729756493</v>
      </c>
      <c r="O38" s="70"/>
    </row>
    <row r="39" spans="1:15" x14ac:dyDescent="0.2">
      <c r="C39" s="34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5" s="35" customFormat="1" x14ac:dyDescent="0.2">
      <c r="C40" s="36"/>
    </row>
    <row r="41" spans="1:15" x14ac:dyDescent="0.2">
      <c r="A41" s="32" t="s">
        <v>44</v>
      </c>
      <c r="C41" s="34"/>
      <c r="D41" s="32">
        <v>2025</v>
      </c>
      <c r="E41" s="32">
        <f>D41+1</f>
        <v>2026</v>
      </c>
      <c r="F41" s="32">
        <f t="shared" ref="F41:N41" si="4">E41+1</f>
        <v>2027</v>
      </c>
      <c r="G41" s="32">
        <f t="shared" si="4"/>
        <v>2028</v>
      </c>
      <c r="H41" s="32">
        <f t="shared" si="4"/>
        <v>2029</v>
      </c>
      <c r="I41" s="32">
        <f t="shared" si="4"/>
        <v>2030</v>
      </c>
      <c r="J41" s="32">
        <f t="shared" si="4"/>
        <v>2031</v>
      </c>
      <c r="K41" s="32">
        <f t="shared" si="4"/>
        <v>2032</v>
      </c>
      <c r="L41" s="32">
        <f>K41+1</f>
        <v>2033</v>
      </c>
      <c r="M41" s="32">
        <f t="shared" si="4"/>
        <v>2034</v>
      </c>
      <c r="N41" s="32">
        <f t="shared" si="4"/>
        <v>2035</v>
      </c>
    </row>
    <row r="42" spans="1:15" x14ac:dyDescent="0.2">
      <c r="B42" s="37" t="s">
        <v>45</v>
      </c>
      <c r="C42" s="38" t="s">
        <v>29</v>
      </c>
      <c r="D42" s="60">
        <f>model!N71</f>
        <v>23.710344827586209</v>
      </c>
      <c r="E42" s="61">
        <f>model!O71</f>
        <v>23.365517241379312</v>
      </c>
      <c r="F42" s="61">
        <f>model!P71</f>
        <v>22.96551724137931</v>
      </c>
      <c r="G42" s="61">
        <f>model!Q71</f>
        <v>22.510344827586209</v>
      </c>
      <c r="H42" s="61">
        <f>model!R71</f>
        <v>22</v>
      </c>
      <c r="I42" s="61">
        <f>model!S71</f>
        <v>21.434482758620689</v>
      </c>
      <c r="J42" s="61">
        <f>model!T71</f>
        <v>20.813793103448276</v>
      </c>
      <c r="K42" s="61">
        <f>model!U71</f>
        <v>20.137931034482758</v>
      </c>
      <c r="L42" s="61">
        <f>model!V71</f>
        <v>19.406896551724138</v>
      </c>
      <c r="M42" s="61">
        <f>model!W71</f>
        <v>18.620689655172413</v>
      </c>
      <c r="N42" s="62">
        <f>model!X71</f>
        <v>18.620689655172413</v>
      </c>
    </row>
    <row r="43" spans="1:15" x14ac:dyDescent="0.2">
      <c r="B43" s="39" t="s">
        <v>46</v>
      </c>
      <c r="C43" s="33" t="s">
        <v>29</v>
      </c>
      <c r="D43" s="63">
        <f>model!N72</f>
        <v>27</v>
      </c>
      <c r="E43" s="21">
        <f>model!O72</f>
        <v>26.73</v>
      </c>
      <c r="F43" s="21">
        <f>model!P72</f>
        <v>26.462700000000002</v>
      </c>
      <c r="G43" s="21">
        <f>model!Q72</f>
        <v>26.198073000000001</v>
      </c>
      <c r="H43" s="21">
        <f>model!R72</f>
        <v>25.93609227</v>
      </c>
      <c r="I43" s="21">
        <f>model!S72</f>
        <v>25.676731347299999</v>
      </c>
      <c r="J43" s="21">
        <f>model!T72</f>
        <v>25.419964033827</v>
      </c>
      <c r="K43" s="21">
        <f>model!U72</f>
        <v>25.165764393488729</v>
      </c>
      <c r="L43" s="21">
        <f>model!V72</f>
        <v>24.914106749553842</v>
      </c>
      <c r="M43" s="21">
        <f>model!W72</f>
        <v>24.664965682058302</v>
      </c>
      <c r="N43" s="64">
        <f>model!X72</f>
        <v>24.418316025237718</v>
      </c>
    </row>
    <row r="44" spans="1:15" x14ac:dyDescent="0.2">
      <c r="B44" s="39" t="s">
        <v>47</v>
      </c>
      <c r="C44" s="33" t="s">
        <v>29</v>
      </c>
      <c r="D44" s="63">
        <f>model!N73</f>
        <v>7.3</v>
      </c>
      <c r="E44" s="21">
        <f>model!O73</f>
        <v>7.3</v>
      </c>
      <c r="F44" s="21">
        <f>model!P73</f>
        <v>7.3</v>
      </c>
      <c r="G44" s="21">
        <f>model!Q73</f>
        <v>7.3</v>
      </c>
      <c r="H44" s="21">
        <f>model!R73</f>
        <v>7.3</v>
      </c>
      <c r="I44" s="21">
        <f>model!S73</f>
        <v>7.3</v>
      </c>
      <c r="J44" s="21">
        <f>model!T73</f>
        <v>7.3</v>
      </c>
      <c r="K44" s="21">
        <f>model!U73</f>
        <v>7.3</v>
      </c>
      <c r="L44" s="21">
        <f>model!V73</f>
        <v>7.3</v>
      </c>
      <c r="M44" s="21">
        <f>model!W73</f>
        <v>7.3</v>
      </c>
      <c r="N44" s="64">
        <f>model!X73</f>
        <v>7.3</v>
      </c>
    </row>
    <row r="45" spans="1:15" x14ac:dyDescent="0.2">
      <c r="B45" s="39" t="s">
        <v>48</v>
      </c>
      <c r="C45" s="33" t="s">
        <v>29</v>
      </c>
      <c r="D45" s="63">
        <f>model!N74</f>
        <v>14.6</v>
      </c>
      <c r="E45" s="21">
        <f>model!O74</f>
        <v>14.6</v>
      </c>
      <c r="F45" s="21">
        <f>model!P74</f>
        <v>14.6</v>
      </c>
      <c r="G45" s="21">
        <f>model!Q74</f>
        <v>14.6</v>
      </c>
      <c r="H45" s="21">
        <f>model!R74</f>
        <v>14.6</v>
      </c>
      <c r="I45" s="21">
        <f>model!S74</f>
        <v>14.6</v>
      </c>
      <c r="J45" s="21">
        <f>model!T74</f>
        <v>14.6</v>
      </c>
      <c r="K45" s="21">
        <f>model!U74</f>
        <v>14.6</v>
      </c>
      <c r="L45" s="21">
        <f>model!V74</f>
        <v>14.6</v>
      </c>
      <c r="M45" s="21">
        <f>model!W74</f>
        <v>14.6</v>
      </c>
      <c r="N45" s="64">
        <f>model!X74</f>
        <v>14.6</v>
      </c>
    </row>
    <row r="46" spans="1:15" x14ac:dyDescent="0.2">
      <c r="B46" s="39" t="s">
        <v>49</v>
      </c>
      <c r="C46" s="33" t="s">
        <v>29</v>
      </c>
      <c r="D46" s="63">
        <f>model!N75</f>
        <v>7.2</v>
      </c>
      <c r="E46" s="21">
        <f>model!O75</f>
        <v>7.056</v>
      </c>
      <c r="F46" s="21">
        <f>model!P75</f>
        <v>6.9148800000000001</v>
      </c>
      <c r="G46" s="21">
        <f>model!Q75</f>
        <v>6.7765823999999997</v>
      </c>
      <c r="H46" s="21">
        <f>model!R75</f>
        <v>6.6410507519999999</v>
      </c>
      <c r="I46" s="21">
        <f>model!S75</f>
        <v>6.5082297369599997</v>
      </c>
      <c r="J46" s="21">
        <f>model!T75</f>
        <v>6.3780651422207999</v>
      </c>
      <c r="K46" s="21">
        <f>model!U75</f>
        <v>6.2505038393763837</v>
      </c>
      <c r="L46" s="21">
        <f>model!V75</f>
        <v>6.1254937625888557</v>
      </c>
      <c r="M46" s="21">
        <f>model!W75</f>
        <v>6.0029838873370789</v>
      </c>
      <c r="N46" s="64">
        <f>model!X75</f>
        <v>5.8829242095903371</v>
      </c>
    </row>
    <row r="47" spans="1:15" x14ac:dyDescent="0.2">
      <c r="B47" s="40" t="s">
        <v>8</v>
      </c>
      <c r="C47" s="41" t="s">
        <v>29</v>
      </c>
      <c r="D47" s="65">
        <f>model!N76</f>
        <v>22.4</v>
      </c>
      <c r="E47" s="66">
        <f>model!O76</f>
        <v>22.422399999999996</v>
      </c>
      <c r="F47" s="66">
        <f>model!P76</f>
        <v>22.444822399999993</v>
      </c>
      <c r="G47" s="66">
        <f>model!Q76</f>
        <v>22.46726722239999</v>
      </c>
      <c r="H47" s="66">
        <f>model!R76</f>
        <v>22.489734489622386</v>
      </c>
      <c r="I47" s="66">
        <f>model!S76</f>
        <v>22.512224224112007</v>
      </c>
      <c r="J47" s="66">
        <f>model!T76</f>
        <v>22.534736448336115</v>
      </c>
      <c r="K47" s="66">
        <f>model!U76</f>
        <v>22.557271184784447</v>
      </c>
      <c r="L47" s="66">
        <f>model!V76</f>
        <v>22.579828455969228</v>
      </c>
      <c r="M47" s="66">
        <f>model!W76</f>
        <v>22.602408284425195</v>
      </c>
      <c r="N47" s="67">
        <f>model!X76</f>
        <v>22.625010692709619</v>
      </c>
    </row>
    <row r="48" spans="1:15" s="35" customFormat="1" x14ac:dyDescent="0.2">
      <c r="C48" s="36"/>
    </row>
    <row r="49" spans="1:21" x14ac:dyDescent="0.2">
      <c r="C49" s="34"/>
    </row>
    <row r="50" spans="1:21" x14ac:dyDescent="0.2">
      <c r="A50" s="32" t="s">
        <v>86</v>
      </c>
      <c r="C50" s="34"/>
      <c r="D50" s="32">
        <v>2025</v>
      </c>
      <c r="E50" s="32">
        <f>D50+1</f>
        <v>2026</v>
      </c>
      <c r="F50" s="32">
        <f t="shared" ref="F50" si="5">E50+1</f>
        <v>2027</v>
      </c>
      <c r="G50" s="32">
        <f t="shared" ref="G50" si="6">F50+1</f>
        <v>2028</v>
      </c>
      <c r="H50" s="32">
        <f t="shared" ref="H50" si="7">G50+1</f>
        <v>2029</v>
      </c>
      <c r="I50" s="32">
        <f t="shared" ref="I50" si="8">H50+1</f>
        <v>2030</v>
      </c>
      <c r="J50" s="32">
        <f t="shared" ref="J50" si="9">I50+1</f>
        <v>2031</v>
      </c>
      <c r="K50" s="32">
        <f t="shared" ref="K50" si="10">J50+1</f>
        <v>2032</v>
      </c>
      <c r="L50" s="32">
        <f>K50+1</f>
        <v>2033</v>
      </c>
      <c r="M50" s="32">
        <f t="shared" ref="M50" si="11">L50+1</f>
        <v>2034</v>
      </c>
      <c r="N50" s="32">
        <f t="shared" ref="N50" si="12">M50+1</f>
        <v>2035</v>
      </c>
    </row>
    <row r="51" spans="1:21" x14ac:dyDescent="0.2">
      <c r="B51" s="37" t="s">
        <v>85</v>
      </c>
      <c r="C51" s="38" t="s">
        <v>87</v>
      </c>
      <c r="D51" s="60">
        <f>elektrikliarabalar!D4</f>
        <v>17</v>
      </c>
      <c r="E51" s="61">
        <f>D51+4</f>
        <v>21</v>
      </c>
      <c r="F51" s="61">
        <f t="shared" ref="F51:N51" si="13">E51+4</f>
        <v>25</v>
      </c>
      <c r="G51" s="61">
        <f t="shared" si="13"/>
        <v>29</v>
      </c>
      <c r="H51" s="61">
        <f t="shared" si="13"/>
        <v>33</v>
      </c>
      <c r="I51" s="61">
        <f t="shared" si="13"/>
        <v>37</v>
      </c>
      <c r="J51" s="61">
        <f t="shared" si="13"/>
        <v>41</v>
      </c>
      <c r="K51" s="61">
        <f t="shared" si="13"/>
        <v>45</v>
      </c>
      <c r="L51" s="61">
        <f t="shared" si="13"/>
        <v>49</v>
      </c>
      <c r="M51" s="61">
        <f t="shared" si="13"/>
        <v>53</v>
      </c>
      <c r="N51" s="62">
        <f t="shared" si="13"/>
        <v>57</v>
      </c>
    </row>
    <row r="52" spans="1:21" x14ac:dyDescent="0.2">
      <c r="B52" s="39" t="s">
        <v>84</v>
      </c>
      <c r="C52" s="33" t="s">
        <v>87</v>
      </c>
      <c r="D52" s="63">
        <f>elektrikliarabalar!D5</f>
        <v>58</v>
      </c>
      <c r="E52" s="21">
        <f>elektrikliarabalar!E5</f>
        <v>79</v>
      </c>
      <c r="F52" s="21">
        <f>elektrikliarabalar!F5</f>
        <v>104</v>
      </c>
      <c r="G52" s="21">
        <f>elektrikliarabalar!G5</f>
        <v>133</v>
      </c>
      <c r="H52" s="21">
        <f>elektrikliarabalar!H5</f>
        <v>166</v>
      </c>
      <c r="I52" s="21">
        <f>elektrikliarabalar!I5</f>
        <v>203</v>
      </c>
      <c r="J52" s="21">
        <f>elektrikliarabalar!J5</f>
        <v>244</v>
      </c>
      <c r="K52" s="21">
        <f>elektrikliarabalar!K5</f>
        <v>289</v>
      </c>
      <c r="L52" s="21">
        <f>elektrikliarabalar!L5</f>
        <v>338</v>
      </c>
      <c r="M52" s="21">
        <f>elektrikliarabalar!M5</f>
        <v>391</v>
      </c>
      <c r="N52" s="64">
        <f>elektrikliarabalar!N5</f>
        <v>448</v>
      </c>
    </row>
    <row r="53" spans="1:21" x14ac:dyDescent="0.2">
      <c r="B53" s="39" t="s">
        <v>83</v>
      </c>
      <c r="C53" s="33" t="s">
        <v>82</v>
      </c>
      <c r="D53" s="54">
        <f>elektrikliarabalar!D6</f>
        <v>0.04</v>
      </c>
      <c r="E53" s="55">
        <f>elektrikliarabalar!E6</f>
        <v>5.3943325367019464E-2</v>
      </c>
      <c r="F53" s="55">
        <f>elektrikliarabalar!F6</f>
        <v>7.0310889060910195E-2</v>
      </c>
      <c r="G53" s="55">
        <f>elektrikliarabalar!G6</f>
        <v>8.9026544603018426E-2</v>
      </c>
      <c r="H53" s="55">
        <f>elektrikliarabalar!H6</f>
        <v>0.11001568081665346</v>
      </c>
      <c r="I53" s="55">
        <f>elektrikliarabalar!I6</f>
        <v>0.13320519626494484</v>
      </c>
      <c r="J53" s="55">
        <f>elektrikliarabalar!J6</f>
        <v>0.15852347407036307</v>
      </c>
      <c r="K53" s="55">
        <f>elektrikliarabalar!K6</f>
        <v>0.18590035711059461</v>
      </c>
      <c r="L53" s="55">
        <f>elektrikliarabalar!L6</f>
        <v>0.21526712358553213</v>
      </c>
      <c r="M53" s="55">
        <f>elektrikliarabalar!M6</f>
        <v>0.24655646295021108</v>
      </c>
      <c r="N53" s="56">
        <f>elektrikliarabalar!N6</f>
        <v>0.27970245220859069</v>
      </c>
    </row>
    <row r="54" spans="1:21" x14ac:dyDescent="0.2">
      <c r="B54" s="39" t="s">
        <v>81</v>
      </c>
      <c r="C54" s="33" t="s">
        <v>87</v>
      </c>
      <c r="D54" s="63">
        <f>elektrikliarabalar!D7</f>
        <v>1450</v>
      </c>
      <c r="E54" s="21">
        <f>elektrikliarabalar!E7</f>
        <v>1464.5</v>
      </c>
      <c r="F54" s="21">
        <f>elektrikliarabalar!F7</f>
        <v>1479.145</v>
      </c>
      <c r="G54" s="21">
        <f>elektrikliarabalar!G7</f>
        <v>1493.9364499999999</v>
      </c>
      <c r="H54" s="21">
        <f>elektrikliarabalar!H7</f>
        <v>1508.8758144999999</v>
      </c>
      <c r="I54" s="21">
        <f>elektrikliarabalar!I7</f>
        <v>1523.9645726449999</v>
      </c>
      <c r="J54" s="21">
        <f>elektrikliarabalar!J7</f>
        <v>1539.2042183714498</v>
      </c>
      <c r="K54" s="21">
        <f>elektrikliarabalar!K7</f>
        <v>1554.5962605551642</v>
      </c>
      <c r="L54" s="21">
        <f>elektrikliarabalar!L7</f>
        <v>1570.142223160716</v>
      </c>
      <c r="M54" s="21">
        <f>elektrikliarabalar!M7</f>
        <v>1585.8436453923232</v>
      </c>
      <c r="N54" s="64">
        <f>elektrikliarabalar!N7</f>
        <v>1601.7020818462465</v>
      </c>
    </row>
    <row r="55" spans="1:21" x14ac:dyDescent="0.2">
      <c r="B55" s="39" t="s">
        <v>79</v>
      </c>
      <c r="C55" s="33" t="s">
        <v>76</v>
      </c>
      <c r="D55" s="63">
        <f>elektrikliarabalar!D8</f>
        <v>1</v>
      </c>
      <c r="E55" s="21">
        <f>elektrikliarabalar!E8</f>
        <v>1.3620689655172413</v>
      </c>
      <c r="F55" s="21">
        <f>elektrikliarabalar!F8</f>
        <v>1.7931034482758621</v>
      </c>
      <c r="G55" s="21">
        <f>elektrikliarabalar!G8</f>
        <v>2.2931034482758621</v>
      </c>
      <c r="H55" s="21">
        <f>elektrikliarabalar!H8</f>
        <v>2.8620689655172415</v>
      </c>
      <c r="I55" s="21">
        <f>elektrikliarabalar!I8</f>
        <v>3.5</v>
      </c>
      <c r="J55" s="21">
        <f>elektrikliarabalar!J8</f>
        <v>4.2068965517241379</v>
      </c>
      <c r="K55" s="21">
        <f>elektrikliarabalar!K8</f>
        <v>4.9827586206896548</v>
      </c>
      <c r="L55" s="21">
        <f>elektrikliarabalar!L8</f>
        <v>5.8275862068965516</v>
      </c>
      <c r="M55" s="21">
        <f>elektrikliarabalar!M8</f>
        <v>6.7413793103448274</v>
      </c>
      <c r="N55" s="64">
        <f>elektrikliarabalar!N8</f>
        <v>7.7241379310344831</v>
      </c>
    </row>
    <row r="56" spans="1:21" x14ac:dyDescent="0.2">
      <c r="B56" s="39" t="s">
        <v>78</v>
      </c>
      <c r="C56" s="33" t="s">
        <v>76</v>
      </c>
      <c r="D56" s="63">
        <f>elektrikliarabalar!D9</f>
        <v>0.8</v>
      </c>
      <c r="E56" s="21">
        <f>elektrikliarabalar!E9</f>
        <v>1.0896551724137931</v>
      </c>
      <c r="F56" s="21">
        <f>elektrikliarabalar!F9</f>
        <v>1.4344827586206899</v>
      </c>
      <c r="G56" s="21">
        <f>elektrikliarabalar!G9</f>
        <v>1.8344827586206898</v>
      </c>
      <c r="H56" s="21">
        <f>elektrikliarabalar!H9</f>
        <v>2.2896551724137932</v>
      </c>
      <c r="I56" s="21">
        <f>elektrikliarabalar!I9</f>
        <v>2.8000000000000003</v>
      </c>
      <c r="J56" s="21">
        <f>elektrikliarabalar!J9</f>
        <v>3.3655172413793104</v>
      </c>
      <c r="K56" s="21">
        <f>elektrikliarabalar!K9</f>
        <v>3.9862068965517241</v>
      </c>
      <c r="L56" s="21">
        <f>elektrikliarabalar!L9</f>
        <v>4.6620689655172418</v>
      </c>
      <c r="M56" s="21">
        <f>elektrikliarabalar!M9</f>
        <v>5.3931034482758626</v>
      </c>
      <c r="N56" s="64">
        <f>elektrikliarabalar!N9</f>
        <v>6.179310344827587</v>
      </c>
    </row>
    <row r="57" spans="1:21" x14ac:dyDescent="0.2">
      <c r="B57" s="39" t="s">
        <v>77</v>
      </c>
      <c r="C57" s="33" t="s">
        <v>76</v>
      </c>
      <c r="D57" s="63">
        <f>elektrikliarabalar!D10</f>
        <v>0.2</v>
      </c>
      <c r="E57" s="21">
        <f>elektrikliarabalar!E10</f>
        <v>0.27241379310344827</v>
      </c>
      <c r="F57" s="21">
        <f>elektrikliarabalar!F10</f>
        <v>0.35862068965517246</v>
      </c>
      <c r="G57" s="21">
        <f>elektrikliarabalar!G10</f>
        <v>0.45862068965517244</v>
      </c>
      <c r="H57" s="21">
        <f>elektrikliarabalar!H10</f>
        <v>0.57241379310344831</v>
      </c>
      <c r="I57" s="21">
        <f>elektrikliarabalar!I10</f>
        <v>0.70000000000000007</v>
      </c>
      <c r="J57" s="21">
        <f>elektrikliarabalar!J10</f>
        <v>0.8413793103448276</v>
      </c>
      <c r="K57" s="21">
        <f>elektrikliarabalar!K10</f>
        <v>0.99655172413793103</v>
      </c>
      <c r="L57" s="21">
        <f>elektrikliarabalar!L10</f>
        <v>1.1655172413793105</v>
      </c>
      <c r="M57" s="21">
        <f>elektrikliarabalar!M10</f>
        <v>1.3482758620689657</v>
      </c>
      <c r="N57" s="64">
        <f>elektrikliarabalar!N10</f>
        <v>1.5448275862068968</v>
      </c>
    </row>
    <row r="58" spans="1:21" x14ac:dyDescent="0.2">
      <c r="B58" s="40" t="s">
        <v>70</v>
      </c>
      <c r="C58" s="41" t="s">
        <v>71</v>
      </c>
      <c r="D58" s="65">
        <f>elektrikliarabalar!D11</f>
        <v>174</v>
      </c>
      <c r="E58" s="66">
        <f>elektrikliarabalar!E11</f>
        <v>237</v>
      </c>
      <c r="F58" s="66">
        <f>elektrikliarabalar!F11</f>
        <v>312</v>
      </c>
      <c r="G58" s="66">
        <f>elektrikliarabalar!G11</f>
        <v>399</v>
      </c>
      <c r="H58" s="66">
        <f>elektrikliarabalar!H11</f>
        <v>498</v>
      </c>
      <c r="I58" s="66">
        <f>elektrikliarabalar!I11</f>
        <v>609</v>
      </c>
      <c r="J58" s="66">
        <f>elektrikliarabalar!J11</f>
        <v>732</v>
      </c>
      <c r="K58" s="66">
        <f>elektrikliarabalar!K11</f>
        <v>867</v>
      </c>
      <c r="L58" s="66">
        <f>elektrikliarabalar!L11</f>
        <v>1014</v>
      </c>
      <c r="M58" s="66">
        <f>elektrikliarabalar!M11</f>
        <v>1173</v>
      </c>
      <c r="N58" s="67">
        <f>elektrikliarabalar!N11</f>
        <v>1344</v>
      </c>
    </row>
    <row r="59" spans="1:21" s="35" customFormat="1" x14ac:dyDescent="0.2"/>
    <row r="60" spans="1:2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x14ac:dyDescent="0.2">
      <c r="A62" s="32" t="s">
        <v>91</v>
      </c>
      <c r="C62" s="34"/>
      <c r="D62" s="32">
        <v>2025</v>
      </c>
      <c r="E62" s="32">
        <f>D62+1</f>
        <v>2026</v>
      </c>
      <c r="F62" s="32">
        <f t="shared" ref="F62" si="14">E62+1</f>
        <v>2027</v>
      </c>
      <c r="G62" s="32">
        <f t="shared" ref="G62" si="15">F62+1</f>
        <v>2028</v>
      </c>
      <c r="H62" s="32">
        <f t="shared" ref="H62" si="16">G62+1</f>
        <v>2029</v>
      </c>
      <c r="I62" s="32">
        <f t="shared" ref="I62" si="17">H62+1</f>
        <v>2030</v>
      </c>
      <c r="J62" s="32">
        <f t="shared" ref="J62" si="18">I62+1</f>
        <v>2031</v>
      </c>
      <c r="K62" s="32">
        <f t="shared" ref="K62" si="19">J62+1</f>
        <v>2032</v>
      </c>
      <c r="L62" s="32">
        <f>K62+1</f>
        <v>2033</v>
      </c>
      <c r="M62" s="32">
        <f t="shared" ref="M62" si="20">L62+1</f>
        <v>2034</v>
      </c>
      <c r="N62" s="32">
        <f t="shared" ref="N62" si="21">M62+1</f>
        <v>2035</v>
      </c>
      <c r="O62" s="35"/>
      <c r="P62" s="35"/>
      <c r="Q62" s="35"/>
      <c r="R62" s="35"/>
      <c r="S62" s="35"/>
      <c r="T62" s="35"/>
      <c r="U62" s="35"/>
    </row>
    <row r="63" spans="1:21" x14ac:dyDescent="0.2">
      <c r="A63" s="35"/>
      <c r="B63" s="37" t="s">
        <v>5</v>
      </c>
      <c r="C63" s="38" t="s">
        <v>11</v>
      </c>
      <c r="D63" s="51">
        <f>D21/D$20</f>
        <v>0.27600055279106528</v>
      </c>
      <c r="E63" s="52">
        <f t="shared" ref="E63:N63" si="22">E21/E$20</f>
        <v>0.27445100136956485</v>
      </c>
      <c r="F63" s="52">
        <f t="shared" si="22"/>
        <v>0.27220613791993392</v>
      </c>
      <c r="G63" s="52">
        <f t="shared" si="22"/>
        <v>0.26916434485256452</v>
      </c>
      <c r="H63" s="52">
        <f t="shared" si="22"/>
        <v>0.26519899850647866</v>
      </c>
      <c r="I63" s="52">
        <f t="shared" si="22"/>
        <v>0.26014957771763453</v>
      </c>
      <c r="J63" s="52">
        <f t="shared" si="22"/>
        <v>0.25380874406503995</v>
      </c>
      <c r="K63" s="52">
        <f t="shared" si="22"/>
        <v>0.24590310083770239</v>
      </c>
      <c r="L63" s="52">
        <f t="shared" si="22"/>
        <v>0.23606371305625917</v>
      </c>
      <c r="M63" s="52">
        <f t="shared" si="22"/>
        <v>0.22377942494309555</v>
      </c>
      <c r="N63" s="53">
        <f t="shared" si="22"/>
        <v>0.20682718614669673</v>
      </c>
      <c r="O63" s="35"/>
      <c r="P63" s="35"/>
      <c r="Q63" s="35"/>
      <c r="R63" s="35"/>
      <c r="S63" s="35"/>
      <c r="T63" s="35"/>
      <c r="U63" s="35"/>
    </row>
    <row r="64" spans="1:21" x14ac:dyDescent="0.2">
      <c r="A64" s="35"/>
      <c r="B64" s="39" t="s">
        <v>6</v>
      </c>
      <c r="C64" s="33" t="s">
        <v>11</v>
      </c>
      <c r="D64" s="54">
        <f t="shared" ref="D64:N67" si="23">D22/D$20</f>
        <v>0.25544096835130686</v>
      </c>
      <c r="E64" s="55">
        <f t="shared" si="23"/>
        <v>0.25750407298307676</v>
      </c>
      <c r="F64" s="55">
        <f t="shared" si="23"/>
        <v>0.25889071935177338</v>
      </c>
      <c r="G64" s="55">
        <f t="shared" si="23"/>
        <v>0.25947583366985799</v>
      </c>
      <c r="H64" s="55">
        <f t="shared" si="23"/>
        <v>0.25910423927845316</v>
      </c>
      <c r="I64" s="55">
        <f t="shared" si="23"/>
        <v>0.2575801142552947</v>
      </c>
      <c r="J64" s="55">
        <f t="shared" si="23"/>
        <v>0.25465166621238478</v>
      </c>
      <c r="K64" s="55">
        <f t="shared" si="23"/>
        <v>0.24998829995082189</v>
      </c>
      <c r="L64" s="55">
        <f t="shared" si="23"/>
        <v>0.24314562338091725</v>
      </c>
      <c r="M64" s="55">
        <f t="shared" si="23"/>
        <v>0.2335100183838994</v>
      </c>
      <c r="N64" s="56">
        <f t="shared" si="23"/>
        <v>0.21862936523090873</v>
      </c>
      <c r="O64" s="35"/>
      <c r="P64" s="35"/>
      <c r="Q64" s="35"/>
      <c r="R64" s="35"/>
      <c r="S64" s="35"/>
      <c r="T64" s="35"/>
      <c r="U64" s="35"/>
    </row>
    <row r="65" spans="1:21" x14ac:dyDescent="0.2">
      <c r="A65" s="35"/>
      <c r="B65" s="39" t="s">
        <v>7</v>
      </c>
      <c r="C65" s="33" t="s">
        <v>11</v>
      </c>
      <c r="D65" s="54">
        <f t="shared" si="23"/>
        <v>0.33168274368447559</v>
      </c>
      <c r="E65" s="55">
        <f t="shared" si="23"/>
        <v>0.32597439001809747</v>
      </c>
      <c r="F65" s="55">
        <f t="shared" si="23"/>
        <v>0.32080790372221646</v>
      </c>
      <c r="G65" s="55">
        <f t="shared" si="23"/>
        <v>0.31626531548553549</v>
      </c>
      <c r="H65" s="55">
        <f t="shared" si="23"/>
        <v>0.31244707044166103</v>
      </c>
      <c r="I65" s="55">
        <f t="shared" si="23"/>
        <v>0.30947862709604074</v>
      </c>
      <c r="J65" s="55">
        <f t="shared" si="23"/>
        <v>0.30752005891409351</v>
      </c>
      <c r="K65" s="55">
        <f t="shared" si="23"/>
        <v>0.30678036697092548</v>
      </c>
      <c r="L65" s="55">
        <f t="shared" si="23"/>
        <v>0.30753942236527271</v>
      </c>
      <c r="M65" s="55">
        <f t="shared" si="23"/>
        <v>0.31018272614620579</v>
      </c>
      <c r="N65" s="56">
        <f t="shared" si="23"/>
        <v>0.315843284300169</v>
      </c>
      <c r="O65" s="35"/>
      <c r="P65" s="35"/>
      <c r="Q65" s="35"/>
      <c r="R65" s="35"/>
      <c r="S65" s="35"/>
      <c r="T65" s="35"/>
      <c r="U65" s="35"/>
    </row>
    <row r="66" spans="1:21" x14ac:dyDescent="0.2">
      <c r="A66" s="35"/>
      <c r="B66" s="39" t="s">
        <v>1</v>
      </c>
      <c r="C66" s="33" t="s">
        <v>11</v>
      </c>
      <c r="D66" s="54">
        <f t="shared" si="23"/>
        <v>8.4704021604370808E-2</v>
      </c>
      <c r="E66" s="55">
        <f t="shared" si="23"/>
        <v>8.9391683319899509E-2</v>
      </c>
      <c r="F66" s="55">
        <f t="shared" si="23"/>
        <v>9.4801632296901084E-2</v>
      </c>
      <c r="G66" s="55">
        <f t="shared" si="23"/>
        <v>0.10105626206964059</v>
      </c>
      <c r="H66" s="55">
        <f t="shared" si="23"/>
        <v>0.10830897090786318</v>
      </c>
      <c r="I66" s="55">
        <f t="shared" si="23"/>
        <v>0.1167550256243515</v>
      </c>
      <c r="J66" s="55">
        <f t="shared" si="23"/>
        <v>0.12664734221783142</v>
      </c>
      <c r="K66" s="55">
        <f t="shared" si="23"/>
        <v>0.1383199841037285</v>
      </c>
      <c r="L66" s="55">
        <f t="shared" si="23"/>
        <v>0.15222416327773594</v>
      </c>
      <c r="M66" s="55">
        <f t="shared" si="23"/>
        <v>0.16898525034458101</v>
      </c>
      <c r="N66" s="56">
        <f t="shared" si="23"/>
        <v>0.1924609221992841</v>
      </c>
      <c r="O66" s="35"/>
      <c r="P66" s="35"/>
      <c r="Q66" s="35"/>
      <c r="R66" s="35"/>
      <c r="S66" s="35"/>
      <c r="T66" s="35"/>
      <c r="U66" s="35"/>
    </row>
    <row r="67" spans="1:21" x14ac:dyDescent="0.2">
      <c r="A67" s="35"/>
      <c r="B67" s="40" t="s">
        <v>3</v>
      </c>
      <c r="C67" s="41" t="s">
        <v>11</v>
      </c>
      <c r="D67" s="57">
        <f t="shared" si="23"/>
        <v>5.2171713568781364E-2</v>
      </c>
      <c r="E67" s="58">
        <f t="shared" si="23"/>
        <v>5.2678852309361292E-2</v>
      </c>
      <c r="F67" s="58">
        <f t="shared" si="23"/>
        <v>5.329360670917524E-2</v>
      </c>
      <c r="G67" s="58">
        <f t="shared" si="23"/>
        <v>5.4038243922401308E-2</v>
      </c>
      <c r="H67" s="58">
        <f t="shared" si="23"/>
        <v>5.4940720865543968E-2</v>
      </c>
      <c r="I67" s="58">
        <f t="shared" si="23"/>
        <v>5.6036655306678639E-2</v>
      </c>
      <c r="J67" s="58">
        <f t="shared" si="23"/>
        <v>5.7372188590650373E-2</v>
      </c>
      <c r="K67" s="58">
        <f t="shared" si="23"/>
        <v>5.9008248136821699E-2</v>
      </c>
      <c r="L67" s="58">
        <f t="shared" si="23"/>
        <v>6.1027077919814945E-2</v>
      </c>
      <c r="M67" s="58">
        <f t="shared" si="23"/>
        <v>6.3542580182218186E-2</v>
      </c>
      <c r="N67" s="59">
        <f t="shared" si="23"/>
        <v>6.6239242122941397E-2</v>
      </c>
      <c r="O67" s="35"/>
      <c r="P67" s="35"/>
      <c r="Q67" s="35"/>
      <c r="R67" s="35"/>
      <c r="S67" s="35"/>
      <c r="T67" s="35"/>
      <c r="U67" s="35"/>
    </row>
    <row r="68" spans="1:2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spans="1:2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spans="1:21" x14ac:dyDescent="0.2">
      <c r="A70" s="32" t="s">
        <v>92</v>
      </c>
      <c r="D70" s="32">
        <v>2025</v>
      </c>
      <c r="E70" s="32">
        <f>D70+1</f>
        <v>2026</v>
      </c>
      <c r="F70" s="32">
        <f t="shared" ref="F70" si="24">E70+1</f>
        <v>2027</v>
      </c>
      <c r="G70" s="32">
        <f t="shared" ref="G70" si="25">F70+1</f>
        <v>2028</v>
      </c>
      <c r="H70" s="32">
        <f t="shared" ref="H70" si="26">G70+1</f>
        <v>2029</v>
      </c>
      <c r="I70" s="32">
        <f t="shared" ref="I70" si="27">H70+1</f>
        <v>2030</v>
      </c>
      <c r="J70" s="32">
        <f t="shared" ref="J70" si="28">I70+1</f>
        <v>2031</v>
      </c>
      <c r="K70" s="32">
        <f t="shared" ref="K70" si="29">J70+1</f>
        <v>2032</v>
      </c>
      <c r="L70" s="32">
        <f>K70+1</f>
        <v>2033</v>
      </c>
      <c r="M70" s="32">
        <f t="shared" ref="M70" si="30">L70+1</f>
        <v>2034</v>
      </c>
      <c r="N70" s="32">
        <f t="shared" ref="N70" si="31">M70+1</f>
        <v>2035</v>
      </c>
      <c r="O70" s="35"/>
      <c r="P70" s="35"/>
      <c r="Q70" s="35"/>
      <c r="R70" s="35"/>
      <c r="S70" s="35"/>
      <c r="T70" s="35"/>
      <c r="U70" s="35"/>
    </row>
    <row r="71" spans="1:21" x14ac:dyDescent="0.2">
      <c r="A71" s="35"/>
      <c r="B71" s="37" t="s">
        <v>5</v>
      </c>
      <c r="C71" s="38" t="s">
        <v>11</v>
      </c>
      <c r="D71" s="51">
        <f>D10/D$9</f>
        <v>0.32969593139512221</v>
      </c>
      <c r="E71" s="52">
        <f t="shared" ref="E71:N71" si="32">E10/E$9</f>
        <v>0.31998312406506818</v>
      </c>
      <c r="F71" s="52">
        <f t="shared" si="32"/>
        <v>0.30915849341560792</v>
      </c>
      <c r="G71" s="52">
        <f t="shared" si="32"/>
        <v>0.29712179204470202</v>
      </c>
      <c r="H71" s="52">
        <f t="shared" si="32"/>
        <v>0.2837628590946959</v>
      </c>
      <c r="I71" s="52">
        <f t="shared" si="32"/>
        <v>0.26896066313402639</v>
      </c>
      <c r="J71" s="52">
        <f t="shared" si="32"/>
        <v>0.25258225236627041</v>
      </c>
      <c r="K71" s="52">
        <f t="shared" si="32"/>
        <v>0.23448160322529421</v>
      </c>
      <c r="L71" s="52">
        <f t="shared" si="32"/>
        <v>0.21449835755462049</v>
      </c>
      <c r="M71" s="52">
        <f t="shared" si="32"/>
        <v>0.19245643762590689</v>
      </c>
      <c r="N71" s="53">
        <f t="shared" si="32"/>
        <v>0.16816252721770072</v>
      </c>
      <c r="O71" s="35"/>
      <c r="P71" s="35"/>
      <c r="Q71" s="35"/>
      <c r="R71" s="35"/>
      <c r="S71" s="35"/>
      <c r="T71" s="35"/>
      <c r="U71" s="35"/>
    </row>
    <row r="72" spans="1:21" x14ac:dyDescent="0.2">
      <c r="A72" s="35"/>
      <c r="B72" s="39" t="s">
        <v>6</v>
      </c>
      <c r="C72" s="33" t="s">
        <v>11</v>
      </c>
      <c r="D72" s="54">
        <f t="shared" ref="D72:N78" si="33">D11/D$9</f>
        <v>0.22358273836692083</v>
      </c>
      <c r="E72" s="55">
        <f t="shared" si="33"/>
        <v>0.21998366861717122</v>
      </c>
      <c r="F72" s="55">
        <f t="shared" si="33"/>
        <v>0.21544867812687152</v>
      </c>
      <c r="G72" s="55">
        <f t="shared" si="33"/>
        <v>0.20987367864071838</v>
      </c>
      <c r="H72" s="55">
        <f t="shared" si="33"/>
        <v>0.20314319254901392</v>
      </c>
      <c r="I72" s="55">
        <f t="shared" si="33"/>
        <v>0.19512910665808447</v>
      </c>
      <c r="J72" s="55">
        <f t="shared" si="33"/>
        <v>0.18568929054768044</v>
      </c>
      <c r="K72" s="55">
        <f t="shared" si="33"/>
        <v>0.17466606485986871</v>
      </c>
      <c r="L72" s="55">
        <f t="shared" si="33"/>
        <v>0.16188450328418813</v>
      </c>
      <c r="M72" s="55">
        <f t="shared" si="33"/>
        <v>0.14715055025440307</v>
      </c>
      <c r="N72" s="56">
        <f t="shared" si="33"/>
        <v>0.13024893443488303</v>
      </c>
      <c r="O72" s="35"/>
      <c r="P72" s="35"/>
      <c r="Q72" s="35"/>
      <c r="R72" s="35"/>
      <c r="S72" s="35"/>
      <c r="T72" s="35"/>
      <c r="U72" s="35"/>
    </row>
    <row r="73" spans="1:21" x14ac:dyDescent="0.2">
      <c r="A73" s="35"/>
      <c r="B73" s="39" t="s">
        <v>7</v>
      </c>
      <c r="C73" s="33" t="s">
        <v>11</v>
      </c>
      <c r="D73" s="54">
        <f t="shared" si="33"/>
        <v>1.9439222059974812E-2</v>
      </c>
      <c r="E73" s="55">
        <f t="shared" si="33"/>
        <v>1.7816752559707563E-2</v>
      </c>
      <c r="F73" s="55">
        <f t="shared" si="33"/>
        <v>1.619265812712135E-2</v>
      </c>
      <c r="G73" s="55">
        <f t="shared" si="33"/>
        <v>1.4573714753147863E-2</v>
      </c>
      <c r="H73" s="55">
        <f t="shared" si="33"/>
        <v>1.2967753641780834E-2</v>
      </c>
      <c r="I73" s="55">
        <f t="shared" si="33"/>
        <v>1.1383814605983169E-2</v>
      </c>
      <c r="J73" s="55">
        <f t="shared" si="33"/>
        <v>9.8323194979441537E-3</v>
      </c>
      <c r="K73" s="55">
        <f t="shared" si="33"/>
        <v>8.3252681655303622E-3</v>
      </c>
      <c r="L73" s="55">
        <f t="shared" si="33"/>
        <v>6.8764597260362595E-3</v>
      </c>
      <c r="M73" s="55">
        <f t="shared" si="33"/>
        <v>5.5017422826799259E-3</v>
      </c>
      <c r="N73" s="56">
        <f t="shared" si="33"/>
        <v>4.2192945827430059E-3</v>
      </c>
      <c r="O73" s="35"/>
      <c r="P73" s="35"/>
      <c r="Q73" s="35"/>
      <c r="R73" s="35"/>
      <c r="S73" s="35"/>
      <c r="T73" s="35"/>
      <c r="U73" s="35"/>
    </row>
    <row r="74" spans="1:21" x14ac:dyDescent="0.2">
      <c r="A74" s="35"/>
      <c r="B74" s="39" t="s">
        <v>51</v>
      </c>
      <c r="C74" s="33" t="s">
        <v>11</v>
      </c>
      <c r="D74" s="54">
        <f t="shared" si="33"/>
        <v>8.1912569287924328E-2</v>
      </c>
      <c r="E74" s="55">
        <f t="shared" si="33"/>
        <v>9.8384660852149322E-2</v>
      </c>
      <c r="F74" s="55">
        <f t="shared" si="33"/>
        <v>0.11714060694235381</v>
      </c>
      <c r="G74" s="55">
        <f t="shared" si="33"/>
        <v>0.13836132557787192</v>
      </c>
      <c r="H74" s="55">
        <f t="shared" si="33"/>
        <v>0.16224882226140427</v>
      </c>
      <c r="I74" s="55">
        <f t="shared" si="33"/>
        <v>0.18902820248227564</v>
      </c>
      <c r="J74" s="55">
        <f t="shared" si="33"/>
        <v>0.21894989383711025</v>
      </c>
      <c r="K74" s="55">
        <f t="shared" si="33"/>
        <v>0.25229209880984294</v>
      </c>
      <c r="L74" s="55">
        <f t="shared" si="33"/>
        <v>0.28936350139656097</v>
      </c>
      <c r="M74" s="55">
        <f t="shared" si="33"/>
        <v>0.33050625312137077</v>
      </c>
      <c r="N74" s="56">
        <f t="shared" si="33"/>
        <v>0.37609926658933746</v>
      </c>
      <c r="O74" s="35"/>
      <c r="P74" s="35"/>
      <c r="Q74" s="35"/>
      <c r="R74" s="35"/>
      <c r="S74" s="35"/>
      <c r="T74" s="35"/>
      <c r="U74" s="35"/>
    </row>
    <row r="75" spans="1:21" x14ac:dyDescent="0.2">
      <c r="A75" s="35"/>
      <c r="B75" s="39" t="s">
        <v>52</v>
      </c>
      <c r="C75" s="33" t="s">
        <v>11</v>
      </c>
      <c r="D75" s="54">
        <f t="shared" si="33"/>
        <v>8.3803446291273911E-2</v>
      </c>
      <c r="E75" s="55">
        <f t="shared" si="33"/>
        <v>8.694285129234787E-2</v>
      </c>
      <c r="F75" s="55">
        <f t="shared" si="33"/>
        <v>8.9774095903182041E-2</v>
      </c>
      <c r="G75" s="55">
        <f t="shared" si="33"/>
        <v>9.2314431820802303E-2</v>
      </c>
      <c r="H75" s="55">
        <f t="shared" si="33"/>
        <v>9.4580296357794788E-2</v>
      </c>
      <c r="I75" s="55">
        <f t="shared" si="33"/>
        <v>9.6587347793258102E-2</v>
      </c>
      <c r="J75" s="55">
        <f t="shared" si="33"/>
        <v>9.8350499264159716E-2</v>
      </c>
      <c r="K75" s="55">
        <f t="shared" si="33"/>
        <v>9.9883951255387543E-2</v>
      </c>
      <c r="L75" s="55">
        <f t="shared" si="33"/>
        <v>0.10120122274451444</v>
      </c>
      <c r="M75" s="55">
        <f t="shared" si="33"/>
        <v>0.10231518105510734</v>
      </c>
      <c r="N75" s="56">
        <f t="shared" si="33"/>
        <v>0.10323807047030992</v>
      </c>
      <c r="O75" s="35"/>
      <c r="P75" s="35"/>
      <c r="Q75" s="35"/>
      <c r="R75" s="35"/>
      <c r="S75" s="35"/>
      <c r="T75" s="35"/>
      <c r="U75" s="35"/>
    </row>
    <row r="76" spans="1:21" x14ac:dyDescent="0.2">
      <c r="A76" s="35"/>
      <c r="B76" s="39" t="s">
        <v>72</v>
      </c>
      <c r="C76" s="33" t="s">
        <v>11</v>
      </c>
      <c r="D76" s="54">
        <f t="shared" si="33"/>
        <v>2.5113984206422645E-2</v>
      </c>
      <c r="E76" s="55">
        <f t="shared" si="33"/>
        <v>2.4862052836766436E-2</v>
      </c>
      <c r="F76" s="55">
        <f t="shared" si="33"/>
        <v>2.4598441191798062E-2</v>
      </c>
      <c r="G76" s="55">
        <f t="shared" si="33"/>
        <v>2.4324227338099417E-2</v>
      </c>
      <c r="H76" s="55">
        <f t="shared" si="33"/>
        <v>2.4040429786522655E-2</v>
      </c>
      <c r="I76" s="55">
        <f t="shared" si="33"/>
        <v>2.3748010287290233E-2</v>
      </c>
      <c r="J76" s="55">
        <f t="shared" si="33"/>
        <v>2.3447876504159373E-2</v>
      </c>
      <c r="K76" s="55">
        <f t="shared" si="33"/>
        <v>2.314088457263383E-2</v>
      </c>
      <c r="L76" s="55">
        <f t="shared" si="33"/>
        <v>2.2827841547007077E-2</v>
      </c>
      <c r="M76" s="55">
        <f t="shared" si="33"/>
        <v>2.2509507740830183E-2</v>
      </c>
      <c r="N76" s="56">
        <f t="shared" si="33"/>
        <v>2.2186598965214036E-2</v>
      </c>
      <c r="O76" s="35"/>
      <c r="P76" s="35"/>
      <c r="Q76" s="35"/>
      <c r="R76" s="35"/>
      <c r="S76" s="35"/>
      <c r="T76" s="35"/>
      <c r="U76" s="35"/>
    </row>
    <row r="77" spans="1:21" x14ac:dyDescent="0.2">
      <c r="A77" s="35"/>
      <c r="B77" s="39" t="s">
        <v>2</v>
      </c>
      <c r="C77" s="33" t="s">
        <v>11</v>
      </c>
      <c r="D77" s="54">
        <f t="shared" si="33"/>
        <v>0.13943785596970296</v>
      </c>
      <c r="E77" s="55">
        <f t="shared" si="33"/>
        <v>0.13647395951430832</v>
      </c>
      <c r="F77" s="55">
        <f t="shared" si="33"/>
        <v>0.13357306375651626</v>
      </c>
      <c r="G77" s="55">
        <f t="shared" si="33"/>
        <v>0.13073382955106372</v>
      </c>
      <c r="H77" s="55">
        <f t="shared" si="33"/>
        <v>0.12795494621761114</v>
      </c>
      <c r="I77" s="55">
        <f t="shared" si="33"/>
        <v>0.12523513093569089</v>
      </c>
      <c r="J77" s="55">
        <f t="shared" si="33"/>
        <v>0.12257312815251678</v>
      </c>
      <c r="K77" s="55">
        <f t="shared" si="33"/>
        <v>0.11996770900338116</v>
      </c>
      <c r="L77" s="55">
        <f t="shared" si="33"/>
        <v>0.11741767074437209</v>
      </c>
      <c r="M77" s="55">
        <f t="shared" si="33"/>
        <v>0.11492183619714871</v>
      </c>
      <c r="N77" s="56">
        <f t="shared" si="33"/>
        <v>0.11247905320551851</v>
      </c>
      <c r="O77" s="35"/>
      <c r="P77" s="35"/>
      <c r="Q77" s="35"/>
      <c r="R77" s="35"/>
      <c r="S77" s="35"/>
      <c r="T77" s="35"/>
      <c r="U77" s="35"/>
    </row>
    <row r="78" spans="1:21" x14ac:dyDescent="0.2">
      <c r="B78" s="40" t="s">
        <v>3</v>
      </c>
      <c r="C78" s="41" t="s">
        <v>11</v>
      </c>
      <c r="D78" s="57">
        <f t="shared" si="33"/>
        <v>8.8835016787842475E-2</v>
      </c>
      <c r="E78" s="58">
        <f t="shared" si="33"/>
        <v>8.7547552776424481E-2</v>
      </c>
      <c r="F78" s="58">
        <f t="shared" si="33"/>
        <v>8.6278747663722691E-2</v>
      </c>
      <c r="G78" s="58">
        <f t="shared" si="33"/>
        <v>8.5028331030915116E-2</v>
      </c>
      <c r="H78" s="58">
        <f t="shared" si="33"/>
        <v>8.3796036378293165E-2</v>
      </c>
      <c r="I78" s="58">
        <f t="shared" si="33"/>
        <v>8.2581601068462837E-2</v>
      </c>
      <c r="J78" s="58">
        <f t="shared" si="33"/>
        <v>8.1384766270369183E-2</v>
      </c>
      <c r="K78" s="58">
        <f t="shared" si="33"/>
        <v>8.0205276904131956E-2</v>
      </c>
      <c r="L78" s="58">
        <f t="shared" si="33"/>
        <v>7.9042881586680783E-2</v>
      </c>
      <c r="M78" s="58">
        <f t="shared" si="33"/>
        <v>7.7897332578178172E-2</v>
      </c>
      <c r="N78" s="59">
        <f t="shared" si="33"/>
        <v>7.6768385729219069E-2</v>
      </c>
    </row>
    <row r="79" spans="1:21" x14ac:dyDescent="0.2">
      <c r="D79" s="9"/>
    </row>
    <row r="81" spans="1:14" x14ac:dyDescent="0.2">
      <c r="A81" t="s">
        <v>93</v>
      </c>
      <c r="C81" s="34"/>
      <c r="D81" s="68">
        <v>2025</v>
      </c>
      <c r="E81" s="68">
        <f>D81+1</f>
        <v>2026</v>
      </c>
      <c r="F81" s="68">
        <f t="shared" ref="F81" si="34">E81+1</f>
        <v>2027</v>
      </c>
      <c r="G81" s="68">
        <f t="shared" ref="G81" si="35">F81+1</f>
        <v>2028</v>
      </c>
      <c r="H81" s="68">
        <f t="shared" ref="H81" si="36">G81+1</f>
        <v>2029</v>
      </c>
      <c r="I81" s="68">
        <f t="shared" ref="I81" si="37">H81+1</f>
        <v>2030</v>
      </c>
      <c r="J81" s="68">
        <f t="shared" ref="J81" si="38">I81+1</f>
        <v>2031</v>
      </c>
      <c r="K81" s="68">
        <f t="shared" ref="K81" si="39">J81+1</f>
        <v>2032</v>
      </c>
      <c r="L81" s="68">
        <f>K81+1</f>
        <v>2033</v>
      </c>
      <c r="M81" s="68">
        <f t="shared" ref="M81" si="40">L81+1</f>
        <v>2034</v>
      </c>
      <c r="N81" s="68">
        <f t="shared" ref="N81" si="41">M81+1</f>
        <v>2035</v>
      </c>
    </row>
    <row r="82" spans="1:14" x14ac:dyDescent="0.2">
      <c r="B82" s="37" t="s">
        <v>9</v>
      </c>
      <c r="C82" s="71" t="s">
        <v>20</v>
      </c>
      <c r="D82" s="60">
        <f>SUM(D83:D87)</f>
        <v>39.785025880463223</v>
      </c>
      <c r="E82" s="61">
        <f t="shared" ref="E82:N82" si="42">SUM(E83:E87)</f>
        <v>39.910317840099864</v>
      </c>
      <c r="F82" s="61">
        <f t="shared" si="42"/>
        <v>39.916896195562074</v>
      </c>
      <c r="G82" s="61">
        <f t="shared" si="42"/>
        <v>39.783314087842278</v>
      </c>
      <c r="H82" s="61">
        <f t="shared" si="42"/>
        <v>39.484879459002769</v>
      </c>
      <c r="I82" s="61">
        <f t="shared" si="42"/>
        <v>38.993188052195762</v>
      </c>
      <c r="J82" s="61">
        <f t="shared" si="42"/>
        <v>38.275590061113334</v>
      </c>
      <c r="K82" s="61">
        <f t="shared" si="42"/>
        <v>37.294581033003844</v>
      </c>
      <c r="L82" s="61">
        <f t="shared" si="42"/>
        <v>36.007106300084963</v>
      </c>
      <c r="M82" s="61">
        <f t="shared" si="42"/>
        <v>34.363766696867089</v>
      </c>
      <c r="N82" s="62">
        <f t="shared" si="42"/>
        <v>32.430963313128132</v>
      </c>
    </row>
    <row r="83" spans="1:14" x14ac:dyDescent="0.2">
      <c r="B83" s="39" t="s">
        <v>5</v>
      </c>
      <c r="C83" s="34" t="s">
        <v>20</v>
      </c>
      <c r="D83" s="63">
        <f t="shared" ref="D83:N83" si="43">D21*$C91/1000</f>
        <v>16.08748939949577</v>
      </c>
      <c r="E83" s="21">
        <f t="shared" si="43"/>
        <v>16.160028038391648</v>
      </c>
      <c r="F83" s="21">
        <f t="shared" si="43"/>
        <v>16.159821816472618</v>
      </c>
      <c r="G83" s="21">
        <f t="shared" si="43"/>
        <v>16.074232329616148</v>
      </c>
      <c r="H83" s="21">
        <f t="shared" si="43"/>
        <v>15.888819683815584</v>
      </c>
      <c r="I83" s="21">
        <f t="shared" si="43"/>
        <v>15.587095698278597</v>
      </c>
      <c r="J83" s="21">
        <f t="shared" si="43"/>
        <v>15.15024361821072</v>
      </c>
      <c r="K83" s="21">
        <f t="shared" si="43"/>
        <v>14.556799806226767</v>
      </c>
      <c r="L83" s="21">
        <f t="shared" si="43"/>
        <v>13.782292269304536</v>
      </c>
      <c r="M83" s="21">
        <f t="shared" si="43"/>
        <v>12.798830183614708</v>
      </c>
      <c r="N83" s="64">
        <f t="shared" si="43"/>
        <v>11.574637791309272</v>
      </c>
    </row>
    <row r="84" spans="1:14" x14ac:dyDescent="0.2">
      <c r="B84" s="39" t="s">
        <v>6</v>
      </c>
      <c r="C84" s="34" t="s">
        <v>20</v>
      </c>
      <c r="D84" s="63">
        <f t="shared" ref="D84:N84" si="44">D22*$C92/1000</f>
        <v>8.749273549932969</v>
      </c>
      <c r="E84" s="21">
        <f t="shared" si="44"/>
        <v>8.9097294051564937</v>
      </c>
      <c r="F84" s="21">
        <f t="shared" si="44"/>
        <v>9.0314661315377283</v>
      </c>
      <c r="G84" s="21">
        <f t="shared" si="44"/>
        <v>9.105687643665652</v>
      </c>
      <c r="H84" s="21">
        <f t="shared" si="44"/>
        <v>9.1221539391124065</v>
      </c>
      <c r="I84" s="21">
        <f t="shared" si="44"/>
        <v>9.068960899119487</v>
      </c>
      <c r="J84" s="21">
        <f t="shared" si="44"/>
        <v>8.9322872289571595</v>
      </c>
      <c r="K84" s="21">
        <f t="shared" si="44"/>
        <v>8.6961036731527273</v>
      </c>
      <c r="L84" s="21">
        <f t="shared" si="44"/>
        <v>8.3418389235044046</v>
      </c>
      <c r="M84" s="21">
        <f t="shared" si="44"/>
        <v>7.8479958150621609</v>
      </c>
      <c r="N84" s="64">
        <f t="shared" si="44"/>
        <v>7.1897104615975111</v>
      </c>
    </row>
    <row r="85" spans="1:14" x14ac:dyDescent="0.2">
      <c r="B85" s="39" t="s">
        <v>7</v>
      </c>
      <c r="C85" s="34" t="s">
        <v>20</v>
      </c>
      <c r="D85" s="63">
        <f t="shared" ref="D85:N85" si="45">D23*$C93/1000</f>
        <v>14.948262931034481</v>
      </c>
      <c r="E85" s="21">
        <f t="shared" si="45"/>
        <v>14.840560396551721</v>
      </c>
      <c r="F85" s="21">
        <f t="shared" si="45"/>
        <v>14.725608247551722</v>
      </c>
      <c r="G85" s="21">
        <f t="shared" si="45"/>
        <v>14.60339411456048</v>
      </c>
      <c r="H85" s="21">
        <f t="shared" si="45"/>
        <v>14.473905836074774</v>
      </c>
      <c r="I85" s="21">
        <f t="shared" si="45"/>
        <v>14.337131454797682</v>
      </c>
      <c r="J85" s="21">
        <f t="shared" si="45"/>
        <v>14.193059213945457</v>
      </c>
      <c r="K85" s="21">
        <f t="shared" si="45"/>
        <v>14.04167755362435</v>
      </c>
      <c r="L85" s="21">
        <f t="shared" si="45"/>
        <v>13.882975107276025</v>
      </c>
      <c r="M85" s="21">
        <f t="shared" si="45"/>
        <v>13.716940698190223</v>
      </c>
      <c r="N85" s="64">
        <f t="shared" si="45"/>
        <v>13.666615060221352</v>
      </c>
    </row>
    <row r="86" spans="1:14" x14ac:dyDescent="0.2">
      <c r="B86" s="39" t="s">
        <v>1</v>
      </c>
      <c r="C86" s="34" t="s">
        <v>20</v>
      </c>
      <c r="D86" s="63">
        <f t="shared" ref="D86:N86" si="46">D24*$C94/1000</f>
        <v>0</v>
      </c>
      <c r="E86" s="21">
        <f t="shared" si="46"/>
        <v>0</v>
      </c>
      <c r="F86" s="21">
        <f t="shared" si="46"/>
        <v>0</v>
      </c>
      <c r="G86" s="21">
        <f t="shared" si="46"/>
        <v>0</v>
      </c>
      <c r="H86" s="21">
        <f t="shared" si="46"/>
        <v>0</v>
      </c>
      <c r="I86" s="21">
        <f t="shared" si="46"/>
        <v>0</v>
      </c>
      <c r="J86" s="21">
        <f t="shared" si="46"/>
        <v>0</v>
      </c>
      <c r="K86" s="21">
        <f t="shared" si="46"/>
        <v>0</v>
      </c>
      <c r="L86" s="21">
        <f t="shared" si="46"/>
        <v>0</v>
      </c>
      <c r="M86" s="21">
        <f t="shared" si="46"/>
        <v>0</v>
      </c>
      <c r="N86" s="64">
        <f t="shared" si="46"/>
        <v>0</v>
      </c>
    </row>
    <row r="87" spans="1:14" x14ac:dyDescent="0.2">
      <c r="B87" s="40" t="s">
        <v>3</v>
      </c>
      <c r="C87" s="72" t="s">
        <v>20</v>
      </c>
      <c r="D87" s="65">
        <f t="shared" ref="D87:N87" si="47">D25*$C95/1000</f>
        <v>0</v>
      </c>
      <c r="E87" s="66">
        <f t="shared" si="47"/>
        <v>0</v>
      </c>
      <c r="F87" s="66">
        <f t="shared" si="47"/>
        <v>0</v>
      </c>
      <c r="G87" s="66">
        <f t="shared" si="47"/>
        <v>0</v>
      </c>
      <c r="H87" s="66">
        <f t="shared" si="47"/>
        <v>0</v>
      </c>
      <c r="I87" s="66">
        <f t="shared" si="47"/>
        <v>0</v>
      </c>
      <c r="J87" s="66">
        <f t="shared" si="47"/>
        <v>0</v>
      </c>
      <c r="K87" s="66">
        <f t="shared" si="47"/>
        <v>0</v>
      </c>
      <c r="L87" s="66">
        <f t="shared" si="47"/>
        <v>0</v>
      </c>
      <c r="M87" s="66">
        <f t="shared" si="47"/>
        <v>0</v>
      </c>
      <c r="N87" s="67">
        <f t="shared" si="47"/>
        <v>0</v>
      </c>
    </row>
    <row r="90" spans="1:14" x14ac:dyDescent="0.2">
      <c r="A90" t="s">
        <v>95</v>
      </c>
    </row>
    <row r="91" spans="1:14" x14ac:dyDescent="0.2">
      <c r="B91" s="39" t="s">
        <v>5</v>
      </c>
      <c r="C91">
        <v>97</v>
      </c>
      <c r="D91" t="s">
        <v>94</v>
      </c>
    </row>
    <row r="92" spans="1:14" x14ac:dyDescent="0.2">
      <c r="B92" s="39" t="s">
        <v>6</v>
      </c>
      <c r="C92">
        <v>57</v>
      </c>
      <c r="D92" t="s">
        <v>94</v>
      </c>
    </row>
    <row r="93" spans="1:14" x14ac:dyDescent="0.2">
      <c r="B93" s="39" t="s">
        <v>7</v>
      </c>
      <c r="C93">
        <v>75</v>
      </c>
      <c r="D93" t="s">
        <v>94</v>
      </c>
    </row>
    <row r="94" spans="1:14" x14ac:dyDescent="0.2">
      <c r="B94" s="39" t="s">
        <v>1</v>
      </c>
      <c r="C94">
        <v>0</v>
      </c>
    </row>
    <row r="95" spans="1:14" x14ac:dyDescent="0.2">
      <c r="B95" s="40" t="s">
        <v>3</v>
      </c>
      <c r="C95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8E5C-8D86-2A46-A0FB-254B8068C3BB}">
  <dimension ref="A1:AA95"/>
  <sheetViews>
    <sheetView zoomScale="90" workbookViewId="0">
      <selection activeCell="D91" sqref="D91"/>
    </sheetView>
  </sheetViews>
  <sheetFormatPr baseColWidth="10" defaultRowHeight="16" x14ac:dyDescent="0.2"/>
  <cols>
    <col min="1" max="1" width="19.83203125" customWidth="1"/>
    <col min="2" max="2" width="17.6640625" customWidth="1"/>
    <col min="22" max="27" width="10.83203125" style="35"/>
    <col min="30" max="30" width="18.5" bestFit="1" customWidth="1"/>
  </cols>
  <sheetData>
    <row r="1" spans="1:27" s="48" customFormat="1" ht="31" customHeight="1" x14ac:dyDescent="0.4">
      <c r="A1" s="50" t="s">
        <v>96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s="47" customFormat="1" ht="37" customHeight="1" x14ac:dyDescent="0.35">
      <c r="A2" s="45" t="s">
        <v>98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47" customHeight="1" thickBot="1" x14ac:dyDescent="0.25">
      <c r="A3" s="49" t="s">
        <v>99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</row>
    <row r="4" spans="1:27" s="22" customFormat="1" ht="42" customHeight="1" x14ac:dyDescent="0.3">
      <c r="A4" s="44" t="s">
        <v>97</v>
      </c>
      <c r="B4" s="27" t="s">
        <v>100</v>
      </c>
      <c r="C4" s="23"/>
      <c r="D4" s="29"/>
      <c r="E4" s="24">
        <v>3.5000000000000003E-2</v>
      </c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</row>
    <row r="5" spans="1:27" s="22" customFormat="1" ht="42" customHeight="1" thickBot="1" x14ac:dyDescent="0.35">
      <c r="A5" s="44" t="s">
        <v>97</v>
      </c>
      <c r="B5" s="28" t="s">
        <v>101</v>
      </c>
      <c r="C5" s="25"/>
      <c r="D5" s="30"/>
      <c r="E5" s="26">
        <v>0.14000000000000001</v>
      </c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</row>
    <row r="6" spans="1:27" x14ac:dyDescent="0.2">
      <c r="A6" t="s">
        <v>97</v>
      </c>
      <c r="B6" t="s">
        <v>97</v>
      </c>
      <c r="C6" t="s">
        <v>97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</row>
    <row r="7" spans="1:27" s="35" customFormat="1" x14ac:dyDescent="0.2">
      <c r="A7" s="35" t="s">
        <v>97</v>
      </c>
      <c r="B7" s="35" t="s">
        <v>97</v>
      </c>
      <c r="C7" s="35" t="s">
        <v>97</v>
      </c>
    </row>
    <row r="8" spans="1:27" x14ac:dyDescent="0.2">
      <c r="A8" s="32" t="s">
        <v>102</v>
      </c>
      <c r="B8" t="s">
        <v>97</v>
      </c>
      <c r="C8" t="s">
        <v>97</v>
      </c>
      <c r="D8" s="32">
        <v>2025</v>
      </c>
      <c r="E8" s="32">
        <f>D8+1</f>
        <v>2026</v>
      </c>
      <c r="F8" s="32">
        <f t="shared" ref="F8:N8" si="0">E8+1</f>
        <v>2027</v>
      </c>
      <c r="G8" s="32">
        <f t="shared" si="0"/>
        <v>2028</v>
      </c>
      <c r="H8" s="32">
        <f t="shared" si="0"/>
        <v>2029</v>
      </c>
      <c r="I8" s="32">
        <f t="shared" si="0"/>
        <v>2030</v>
      </c>
      <c r="J8" s="32">
        <f t="shared" si="0"/>
        <v>2031</v>
      </c>
      <c r="K8" s="32">
        <f t="shared" si="0"/>
        <v>2032</v>
      </c>
      <c r="L8" s="32">
        <f>K8+1</f>
        <v>2033</v>
      </c>
      <c r="M8" s="32">
        <f t="shared" si="0"/>
        <v>2034</v>
      </c>
      <c r="N8" s="32">
        <f t="shared" si="0"/>
        <v>2035</v>
      </c>
    </row>
    <row r="9" spans="1:27" x14ac:dyDescent="0.2">
      <c r="A9" t="s">
        <v>97</v>
      </c>
      <c r="B9" s="37" t="s">
        <v>103</v>
      </c>
      <c r="C9" s="38" t="s">
        <v>71</v>
      </c>
      <c r="D9" s="60">
        <f>model!N20</f>
        <v>32349.871383299997</v>
      </c>
      <c r="E9" s="61">
        <f>model!O20</f>
        <v>33482.11688171549</v>
      </c>
      <c r="F9" s="61">
        <f>model!P20</f>
        <v>34653.990972575528</v>
      </c>
      <c r="G9" s="61">
        <f>model!Q20</f>
        <v>35866.880656615671</v>
      </c>
      <c r="H9" s="61">
        <f>model!R20</f>
        <v>37122.221479597218</v>
      </c>
      <c r="I9" s="61">
        <f>model!S20</f>
        <v>38421.499231383117</v>
      </c>
      <c r="J9" s="61">
        <f>model!T20</f>
        <v>39766.251704481525</v>
      </c>
      <c r="K9" s="61">
        <f>model!U20</f>
        <v>41158.070514138373</v>
      </c>
      <c r="L9" s="61">
        <f>model!V20</f>
        <v>42598.602982133212</v>
      </c>
      <c r="M9" s="61">
        <f>model!W20</f>
        <v>44089.554086507873</v>
      </c>
      <c r="N9" s="62">
        <f>model!X20</f>
        <v>45632.688479535645</v>
      </c>
    </row>
    <row r="10" spans="1:27" x14ac:dyDescent="0.2">
      <c r="A10" t="s">
        <v>97</v>
      </c>
      <c r="B10" s="39" t="s">
        <v>64</v>
      </c>
      <c r="C10" s="33" t="s">
        <v>71</v>
      </c>
      <c r="D10" s="63">
        <f>model!N25</f>
        <v>10665.620976229502</v>
      </c>
      <c r="E10" s="21">
        <f>model!O25</f>
        <v>10713.712360123081</v>
      </c>
      <c r="F10" s="21">
        <f>model!P25</f>
        <v>10713.575639919527</v>
      </c>
      <c r="G10" s="21">
        <f>model!Q25</f>
        <v>10656.831855747107</v>
      </c>
      <c r="H10" s="21">
        <f>model!R25</f>
        <v>10533.907702997039</v>
      </c>
      <c r="I10" s="21">
        <f>model!S25</f>
        <v>10333.871911876287</v>
      </c>
      <c r="J10" s="21">
        <f>model!T25</f>
        <v>10044.249423681984</v>
      </c>
      <c r="K10" s="21">
        <f>model!U25</f>
        <v>9650.8103598148755</v>
      </c>
      <c r="L10" s="21">
        <f>model!V25</f>
        <v>9137.3303737889328</v>
      </c>
      <c r="M10" s="21">
        <f>model!W25</f>
        <v>8485.3185160040503</v>
      </c>
      <c r="N10" s="64">
        <f>model!X25</f>
        <v>7673.7082184567716</v>
      </c>
    </row>
    <row r="11" spans="1:27" x14ac:dyDescent="0.2">
      <c r="A11" t="s">
        <v>97</v>
      </c>
      <c r="B11" s="39" t="s">
        <v>63</v>
      </c>
      <c r="C11" s="33" t="s">
        <v>71</v>
      </c>
      <c r="D11" s="63">
        <f>model!N26</f>
        <v>7232.8728296959025</v>
      </c>
      <c r="E11" s="21">
        <f>model!O26</f>
        <v>7365.5189047086951</v>
      </c>
      <c r="F11" s="21">
        <f>model!P26</f>
        <v>7466.1565468619365</v>
      </c>
      <c r="G11" s="21">
        <f>model!Q26</f>
        <v>7527.5141847715549</v>
      </c>
      <c r="H11" s="21">
        <f>model!R26</f>
        <v>7541.1265858769575</v>
      </c>
      <c r="I11" s="21">
        <f>model!S26</f>
        <v>7497.1528214840664</v>
      </c>
      <c r="J11" s="21">
        <f>model!T26</f>
        <v>7384.1670667456619</v>
      </c>
      <c r="K11" s="21">
        <f>model!U26</f>
        <v>7188.9182139295426</v>
      </c>
      <c r="L11" s="21">
        <f>model!V26</f>
        <v>6896.0536843629698</v>
      </c>
      <c r="M11" s="21">
        <f>model!W26</f>
        <v>6487.8021443008993</v>
      </c>
      <c r="N11" s="64">
        <f>model!X26</f>
        <v>5943.6090498584808</v>
      </c>
    </row>
    <row r="12" spans="1:27" x14ac:dyDescent="0.2">
      <c r="A12" t="s">
        <v>97</v>
      </c>
      <c r="B12" s="39" t="s">
        <v>21</v>
      </c>
      <c r="C12" s="33" t="s">
        <v>71</v>
      </c>
      <c r="D12" s="63">
        <f>model!N27</f>
        <v>628.85633343159316</v>
      </c>
      <c r="E12" s="21">
        <f>model!O27</f>
        <v>596.54259165673227</v>
      </c>
      <c r="F12" s="21">
        <f>model!P27</f>
        <v>561.14022855926498</v>
      </c>
      <c r="G12" s="21">
        <f>model!Q27</f>
        <v>522.71368777471355</v>
      </c>
      <c r="H12" s="21">
        <f>model!R27</f>
        <v>481.3918227830415</v>
      </c>
      <c r="I12" s="21">
        <f>model!S27</f>
        <v>437.38322413399021</v>
      </c>
      <c r="J12" s="21">
        <f>model!T27</f>
        <v>390.99449199412862</v>
      </c>
      <c r="K12" s="21">
        <f>model!U27</f>
        <v>342.65197420601004</v>
      </c>
      <c r="L12" s="21">
        <f>model!V27</f>
        <v>292.92757779204715</v>
      </c>
      <c r="M12" s="21">
        <f>model!W27</f>
        <v>242.56936394224388</v>
      </c>
      <c r="N12" s="64">
        <f>model!X27</f>
        <v>192.53775529770394</v>
      </c>
    </row>
    <row r="13" spans="1:27" x14ac:dyDescent="0.2">
      <c r="A13" t="s">
        <v>97</v>
      </c>
      <c r="B13" s="39" t="s">
        <v>104</v>
      </c>
      <c r="C13" s="33" t="s">
        <v>71</v>
      </c>
      <c r="D13" s="63">
        <f>model!N80</f>
        <v>2649.8610811400013</v>
      </c>
      <c r="E13" s="21">
        <f>model!O80</f>
        <v>3294.1267140196019</v>
      </c>
      <c r="F13" s="21">
        <f>model!P80</f>
        <v>4059.3895355023474</v>
      </c>
      <c r="G13" s="21">
        <f>model!Q80</f>
        <v>4962.5891519926772</v>
      </c>
      <c r="H13" s="21">
        <f>model!R80</f>
        <v>6023.0367147916531</v>
      </c>
      <c r="I13" s="21">
        <f>model!S80</f>
        <v>7262.7469363824857</v>
      </c>
      <c r="J13" s="21">
        <f>model!T80</f>
        <v>8706.8165889960346</v>
      </c>
      <c r="K13" s="21">
        <f>model!U80</f>
        <v>10383.855992975481</v>
      </c>
      <c r="L13" s="21">
        <f>model!V80</f>
        <v>12326.48091351205</v>
      </c>
      <c r="M13" s="21">
        <f>model!W80</f>
        <v>14571.873322923739</v>
      </c>
      <c r="N13" s="64">
        <f>model!X80</f>
        <v>17162.420669653064</v>
      </c>
    </row>
    <row r="14" spans="1:27" x14ac:dyDescent="0.2">
      <c r="A14" t="s">
        <v>97</v>
      </c>
      <c r="B14" s="39" t="s">
        <v>105</v>
      </c>
      <c r="C14" s="33" t="s">
        <v>71</v>
      </c>
      <c r="D14" s="63">
        <f>model!N81</f>
        <v>2711.0307090000001</v>
      </c>
      <c r="E14" s="21">
        <f>model!O81</f>
        <v>2911.0307090000001</v>
      </c>
      <c r="F14" s="21">
        <f>model!P81</f>
        <v>3111.0307090000001</v>
      </c>
      <c r="G14" s="21">
        <f>model!Q81</f>
        <v>3311.0307090000001</v>
      </c>
      <c r="H14" s="21">
        <f>model!R81</f>
        <v>3511.0307090000001</v>
      </c>
      <c r="I14" s="21">
        <f>model!S81</f>
        <v>3711.0307090000001</v>
      </c>
      <c r="J14" s="21">
        <f>model!T81</f>
        <v>3911.0307090000001</v>
      </c>
      <c r="K14" s="21">
        <f>model!U81</f>
        <v>4111.0307090000006</v>
      </c>
      <c r="L14" s="21">
        <f>model!V81</f>
        <v>4311.0307090000006</v>
      </c>
      <c r="M14" s="21">
        <f>model!W81</f>
        <v>4511.0307090000006</v>
      </c>
      <c r="N14" s="64">
        <f>model!X81</f>
        <v>4711.0307090000006</v>
      </c>
    </row>
    <row r="15" spans="1:27" x14ac:dyDescent="0.2">
      <c r="A15" t="s">
        <v>97</v>
      </c>
      <c r="B15" s="39" t="s">
        <v>53</v>
      </c>
      <c r="C15" s="33" t="s">
        <v>71</v>
      </c>
      <c r="D15" s="63">
        <f>model!N82</f>
        <v>812.43415900000002</v>
      </c>
      <c r="E15" s="21">
        <f>model!O82</f>
        <v>832.43415900000002</v>
      </c>
      <c r="F15" s="21">
        <f>model!P82</f>
        <v>852.43415900000002</v>
      </c>
      <c r="G15" s="21">
        <f>model!Q82</f>
        <v>872.43415900000002</v>
      </c>
      <c r="H15" s="21">
        <f>model!R82</f>
        <v>892.43415900000002</v>
      </c>
      <c r="I15" s="21">
        <f>model!S82</f>
        <v>912.43415900000002</v>
      </c>
      <c r="J15" s="21">
        <f>model!T82</f>
        <v>932.43415900000002</v>
      </c>
      <c r="K15" s="21">
        <f>model!U82</f>
        <v>952.43415900000002</v>
      </c>
      <c r="L15" s="21">
        <f>model!V82</f>
        <v>972.43415900000002</v>
      </c>
      <c r="M15" s="21">
        <f>model!W82</f>
        <v>992.43415900000002</v>
      </c>
      <c r="N15" s="64">
        <f>model!X82</f>
        <v>1012.434159</v>
      </c>
    </row>
    <row r="16" spans="1:27" x14ac:dyDescent="0.2">
      <c r="A16" t="s">
        <v>97</v>
      </c>
      <c r="B16" s="39" t="s">
        <v>106</v>
      </c>
      <c r="C16" s="33" t="s">
        <v>71</v>
      </c>
      <c r="D16" s="63">
        <f>model!N22</f>
        <v>4510.7967065829998</v>
      </c>
      <c r="E16" s="21">
        <f>model!O22</f>
        <v>4569.4370637685788</v>
      </c>
      <c r="F16" s="21">
        <f>model!P22</f>
        <v>4628.8397455975701</v>
      </c>
      <c r="G16" s="21">
        <f>model!Q22</f>
        <v>4689.0146622903376</v>
      </c>
      <c r="H16" s="21">
        <f>model!R22</f>
        <v>4749.9718529001111</v>
      </c>
      <c r="I16" s="21">
        <f>model!S22</f>
        <v>4811.7214869878117</v>
      </c>
      <c r="J16" s="21">
        <f>model!T22</f>
        <v>4874.2738663186528</v>
      </c>
      <c r="K16" s="21">
        <f>model!U22</f>
        <v>4937.6394265807949</v>
      </c>
      <c r="L16" s="21">
        <f>model!V22</f>
        <v>5001.8287391263448</v>
      </c>
      <c r="M16" s="21">
        <f>model!W22</f>
        <v>5066.8525127349867</v>
      </c>
      <c r="N16" s="64">
        <f>model!X22</f>
        <v>5132.7215954005414</v>
      </c>
    </row>
    <row r="17" spans="1:14" x14ac:dyDescent="0.2">
      <c r="A17" t="s">
        <v>97</v>
      </c>
      <c r="B17" s="40" t="s">
        <v>107</v>
      </c>
      <c r="C17" s="41" t="s">
        <v>71</v>
      </c>
      <c r="D17" s="65">
        <f>model!N23</f>
        <v>2873.8013674200001</v>
      </c>
      <c r="E17" s="66">
        <f>model!O23</f>
        <v>2931.2773947684</v>
      </c>
      <c r="F17" s="66">
        <f>model!P23</f>
        <v>2989.902942663768</v>
      </c>
      <c r="G17" s="66">
        <f>model!Q23</f>
        <v>3049.7010015170436</v>
      </c>
      <c r="H17" s="66">
        <f>model!R23</f>
        <v>3110.6950215473844</v>
      </c>
      <c r="I17" s="66">
        <f>model!S23</f>
        <v>3172.9089219783323</v>
      </c>
      <c r="J17" s="66">
        <f>model!T23</f>
        <v>3236.3671004178991</v>
      </c>
      <c r="K17" s="66">
        <f>model!U23</f>
        <v>3301.094442426257</v>
      </c>
      <c r="L17" s="66">
        <f>model!V23</f>
        <v>3367.1163312747822</v>
      </c>
      <c r="M17" s="66">
        <f>model!W23</f>
        <v>3434.458657900278</v>
      </c>
      <c r="N17" s="67">
        <f>model!X23</f>
        <v>3503.1478310582838</v>
      </c>
    </row>
    <row r="18" spans="1:14" s="35" customFormat="1" x14ac:dyDescent="0.2">
      <c r="A18" s="35" t="s">
        <v>97</v>
      </c>
      <c r="B18" s="35" t="s">
        <v>97</v>
      </c>
      <c r="C18" s="36" t="s">
        <v>97</v>
      </c>
    </row>
    <row r="19" spans="1:14" x14ac:dyDescent="0.2">
      <c r="A19" s="32" t="s">
        <v>108</v>
      </c>
      <c r="B19" t="s">
        <v>97</v>
      </c>
      <c r="C19" s="34" t="s">
        <v>97</v>
      </c>
      <c r="D19" s="32">
        <v>2025</v>
      </c>
      <c r="E19" s="32">
        <f>D19+1</f>
        <v>2026</v>
      </c>
      <c r="F19" s="32">
        <f t="shared" ref="F19:N19" si="1">E19+1</f>
        <v>2027</v>
      </c>
      <c r="G19" s="32">
        <f t="shared" si="1"/>
        <v>2028</v>
      </c>
      <c r="H19" s="32">
        <f t="shared" si="1"/>
        <v>2029</v>
      </c>
      <c r="I19" s="32">
        <f t="shared" si="1"/>
        <v>2030</v>
      </c>
      <c r="J19" s="32">
        <f t="shared" si="1"/>
        <v>2031</v>
      </c>
      <c r="K19" s="32">
        <f t="shared" si="1"/>
        <v>2032</v>
      </c>
      <c r="L19" s="32">
        <f>K19+1</f>
        <v>2033</v>
      </c>
      <c r="M19" s="32">
        <f t="shared" si="1"/>
        <v>2034</v>
      </c>
      <c r="N19" s="32">
        <f t="shared" si="1"/>
        <v>2035</v>
      </c>
    </row>
    <row r="20" spans="1:14" x14ac:dyDescent="0.2">
      <c r="A20" t="s">
        <v>97</v>
      </c>
      <c r="B20" s="37" t="s">
        <v>109</v>
      </c>
      <c r="C20" s="38" t="s">
        <v>20</v>
      </c>
      <c r="D20" s="60">
        <f>model!N41</f>
        <v>600.90606523501754</v>
      </c>
      <c r="E20" s="61">
        <f>model!O41</f>
        <v>607.02357203491977</v>
      </c>
      <c r="F20" s="61">
        <f>model!P41</f>
        <v>612.02183930823355</v>
      </c>
      <c r="G20" s="61">
        <f>model!Q41</f>
        <v>615.66005500333881</v>
      </c>
      <c r="H20" s="61">
        <f>model!R41</f>
        <v>617.65793122933815</v>
      </c>
      <c r="I20" s="61">
        <f>model!S41</f>
        <v>617.68967545313683</v>
      </c>
      <c r="J20" s="61">
        <f>model!T41</f>
        <v>615.3770592640841</v>
      </c>
      <c r="K20" s="61">
        <f>model!U41</f>
        <v>610.28145063599072</v>
      </c>
      <c r="L20" s="61">
        <f>model!V41</f>
        <v>601.89465578115266</v>
      </c>
      <c r="M20" s="61">
        <f>model!W41</f>
        <v>589.62839393038678</v>
      </c>
      <c r="N20" s="62">
        <f>model!X41</f>
        <v>576.93654794669055</v>
      </c>
    </row>
    <row r="21" spans="1:14" x14ac:dyDescent="0.2">
      <c r="A21" t="s">
        <v>97</v>
      </c>
      <c r="B21" s="39" t="s">
        <v>64</v>
      </c>
      <c r="C21" s="33" t="s">
        <v>20</v>
      </c>
      <c r="D21" s="63">
        <f>model!N42</f>
        <v>165.85040618036876</v>
      </c>
      <c r="E21" s="21">
        <f>model!O42</f>
        <v>166.59822719991391</v>
      </c>
      <c r="F21" s="21">
        <f>model!P42</f>
        <v>166.59610120074865</v>
      </c>
      <c r="G21" s="21">
        <f>model!Q42</f>
        <v>165.71373535686752</v>
      </c>
      <c r="H21" s="21">
        <f>model!R42</f>
        <v>163.80226478160395</v>
      </c>
      <c r="I21" s="21">
        <f>model!S42</f>
        <v>160.69170822967627</v>
      </c>
      <c r="J21" s="21">
        <f>model!T42</f>
        <v>156.18807853825484</v>
      </c>
      <c r="K21" s="21">
        <f>model!U42</f>
        <v>150.07010109512132</v>
      </c>
      <c r="L21" s="21">
        <f>model!V42</f>
        <v>142.08548731241791</v>
      </c>
      <c r="M21" s="21">
        <f>model!W42</f>
        <v>131.94670292386297</v>
      </c>
      <c r="N21" s="64">
        <f>model!X42</f>
        <v>119.32616279700279</v>
      </c>
    </row>
    <row r="22" spans="1:14" x14ac:dyDescent="0.2">
      <c r="A22" t="s">
        <v>97</v>
      </c>
      <c r="B22" s="39" t="s">
        <v>63</v>
      </c>
      <c r="C22" s="33" t="s">
        <v>20</v>
      </c>
      <c r="D22" s="63">
        <f>model!N43</f>
        <v>153.49602719180646</v>
      </c>
      <c r="E22" s="21">
        <f>model!O43</f>
        <v>156.31104219572794</v>
      </c>
      <c r="F22" s="21">
        <f>model!P43</f>
        <v>158.44677423750403</v>
      </c>
      <c r="G22" s="21">
        <f>model!Q43</f>
        <v>159.74890602922196</v>
      </c>
      <c r="H22" s="21">
        <f>model!R43</f>
        <v>160.0377884054808</v>
      </c>
      <c r="I22" s="21">
        <f>model!S43</f>
        <v>159.10457717753488</v>
      </c>
      <c r="J22" s="21">
        <f>model!T43</f>
        <v>156.70679349047646</v>
      </c>
      <c r="K22" s="21">
        <f>model!U43</f>
        <v>152.56322233601276</v>
      </c>
      <c r="L22" s="21">
        <f>model!V43</f>
        <v>146.34805128955097</v>
      </c>
      <c r="M22" s="21">
        <f>model!W43</f>
        <v>137.68413710635369</v>
      </c>
      <c r="N22" s="64">
        <f>model!X43</f>
        <v>126.13527125609669</v>
      </c>
    </row>
    <row r="23" spans="1:14" x14ac:dyDescent="0.2">
      <c r="A23" t="s">
        <v>97</v>
      </c>
      <c r="B23" s="39" t="s">
        <v>21</v>
      </c>
      <c r="C23" s="33" t="s">
        <v>20</v>
      </c>
      <c r="D23" s="63">
        <f>model!N44</f>
        <v>199.31017241379308</v>
      </c>
      <c r="E23" s="21">
        <f>model!O44</f>
        <v>197.87413862068962</v>
      </c>
      <c r="F23" s="21">
        <f>model!P44</f>
        <v>196.34144330068963</v>
      </c>
      <c r="G23" s="21">
        <f>model!Q44</f>
        <v>194.71192152747307</v>
      </c>
      <c r="H23" s="21">
        <f>model!R44</f>
        <v>192.98541114766365</v>
      </c>
      <c r="I23" s="21">
        <f>model!S44</f>
        <v>191.16175273063575</v>
      </c>
      <c r="J23" s="21">
        <f>model!T44</f>
        <v>189.24078951927277</v>
      </c>
      <c r="K23" s="21">
        <f>model!U44</f>
        <v>187.22236738165799</v>
      </c>
      <c r="L23" s="21">
        <f>model!V44</f>
        <v>185.10633476368034</v>
      </c>
      <c r="M23" s="21">
        <f>model!W44</f>
        <v>182.89254264253631</v>
      </c>
      <c r="N23" s="64">
        <f>model!X44</f>
        <v>182.22153413628467</v>
      </c>
    </row>
    <row r="24" spans="1:14" x14ac:dyDescent="0.2">
      <c r="A24" t="s">
        <v>97</v>
      </c>
      <c r="B24" s="39" t="s">
        <v>110</v>
      </c>
      <c r="C24" s="33" t="s">
        <v>20</v>
      </c>
      <c r="D24" s="63">
        <f>model!N45</f>
        <v>50.89916033186438</v>
      </c>
      <c r="E24" s="21">
        <f>model!O45</f>
        <v>54.262858919059759</v>
      </c>
      <c r="F24" s="21">
        <f>model!P45</f>
        <v>58.020669367772243</v>
      </c>
      <c r="G24" s="21">
        <f>model!Q45</f>
        <v>62.216303864226745</v>
      </c>
      <c r="H24" s="21">
        <f>model!R45</f>
        <v>66.897894904529338</v>
      </c>
      <c r="I24" s="21">
        <f>model!S45</f>
        <v>72.118373885428355</v>
      </c>
      <c r="J24" s="21">
        <f>model!T45</f>
        <v>77.935869017621187</v>
      </c>
      <c r="K24" s="21">
        <f>model!U45</f>
        <v>84.414120550770605</v>
      </c>
      <c r="L24" s="21">
        <f>model!V45</f>
        <v>91.62291035762685</v>
      </c>
      <c r="M24" s="21">
        <f>model!W45</f>
        <v>99.638501758599631</v>
      </c>
      <c r="N24" s="64">
        <f>model!X45</f>
        <v>111.03774006829155</v>
      </c>
    </row>
    <row r="25" spans="1:14" x14ac:dyDescent="0.2">
      <c r="A25" t="s">
        <v>97</v>
      </c>
      <c r="B25" s="40" t="s">
        <v>107</v>
      </c>
      <c r="C25" s="41" t="s">
        <v>20</v>
      </c>
      <c r="D25" s="65">
        <f>model!N46</f>
        <v>31.350299117184782</v>
      </c>
      <c r="E25" s="66">
        <f>model!O46</f>
        <v>31.977305099528476</v>
      </c>
      <c r="F25" s="66">
        <f>model!P46</f>
        <v>32.616851201519047</v>
      </c>
      <c r="G25" s="66">
        <f>model!Q46</f>
        <v>33.269188225549428</v>
      </c>
      <c r="H25" s="66">
        <f>model!R46</f>
        <v>33.934571990060419</v>
      </c>
      <c r="I25" s="66">
        <f>model!S46</f>
        <v>34.613263429861625</v>
      </c>
      <c r="J25" s="66">
        <f>model!T46</f>
        <v>35.305528698458865</v>
      </c>
      <c r="K25" s="66">
        <f>model!U46</f>
        <v>36.011639272428042</v>
      </c>
      <c r="L25" s="66">
        <f>model!V46</f>
        <v>36.7318720578766</v>
      </c>
      <c r="M25" s="66">
        <f>model!W46</f>
        <v>37.466509499034132</v>
      </c>
      <c r="N25" s="67">
        <f>model!X46</f>
        <v>38.215839689014821</v>
      </c>
    </row>
    <row r="26" spans="1:14" s="35" customFormat="1" x14ac:dyDescent="0.2">
      <c r="A26" s="35" t="s">
        <v>97</v>
      </c>
      <c r="B26" s="35" t="s">
        <v>97</v>
      </c>
      <c r="C26" s="36" t="s">
        <v>97</v>
      </c>
    </row>
    <row r="27" spans="1:14" x14ac:dyDescent="0.2">
      <c r="A27" s="32" t="s">
        <v>111</v>
      </c>
      <c r="B27" t="s">
        <v>97</v>
      </c>
      <c r="C27" s="34" t="s">
        <v>97</v>
      </c>
      <c r="D27" s="32">
        <v>2025</v>
      </c>
      <c r="E27" s="32">
        <f>D27+1</f>
        <v>2026</v>
      </c>
      <c r="F27" s="32">
        <f t="shared" ref="F27:N27" si="2">E27+1</f>
        <v>2027</v>
      </c>
      <c r="G27" s="32">
        <f t="shared" si="2"/>
        <v>2028</v>
      </c>
      <c r="H27" s="32">
        <f t="shared" si="2"/>
        <v>2029</v>
      </c>
      <c r="I27" s="32">
        <f t="shared" si="2"/>
        <v>2030</v>
      </c>
      <c r="J27" s="32">
        <f t="shared" si="2"/>
        <v>2031</v>
      </c>
      <c r="K27" s="32">
        <f t="shared" si="2"/>
        <v>2032</v>
      </c>
      <c r="L27" s="32">
        <f>K27+1</f>
        <v>2033</v>
      </c>
      <c r="M27" s="32">
        <f t="shared" si="2"/>
        <v>2034</v>
      </c>
      <c r="N27" s="32">
        <f t="shared" si="2"/>
        <v>2035</v>
      </c>
    </row>
    <row r="28" spans="1:14" x14ac:dyDescent="0.2">
      <c r="A28" t="s">
        <v>97</v>
      </c>
      <c r="B28" s="37" t="s">
        <v>112</v>
      </c>
      <c r="C28" s="38" t="s">
        <v>135</v>
      </c>
      <c r="D28" s="60">
        <f>model!N58</f>
        <v>102.2103448275862</v>
      </c>
      <c r="E28" s="61">
        <f>model!O58</f>
        <v>101.4739172413793</v>
      </c>
      <c r="F28" s="61">
        <f>model!P58</f>
        <v>100.6879196413793</v>
      </c>
      <c r="G28" s="61">
        <f>model!Q58</f>
        <v>99.852267449986186</v>
      </c>
      <c r="H28" s="61">
        <f>model!R58</f>
        <v>98.966877511622386</v>
      </c>
      <c r="I28" s="61">
        <f>model!S58</f>
        <v>98.031668066992694</v>
      </c>
      <c r="J28" s="61">
        <f>model!T58</f>
        <v>97.046558727832192</v>
      </c>
      <c r="K28" s="61">
        <f>model!U58</f>
        <v>96.011470452132301</v>
      </c>
      <c r="L28" s="61">
        <f>model!V58</f>
        <v>94.92632551983607</v>
      </c>
      <c r="M28" s="61">
        <f>model!W58</f>
        <v>93.791047508992989</v>
      </c>
      <c r="N28" s="62">
        <f>model!X58</f>
        <v>93.446940582710084</v>
      </c>
    </row>
    <row r="29" spans="1:14" x14ac:dyDescent="0.2">
      <c r="A29" t="s">
        <v>97</v>
      </c>
      <c r="B29" s="39" t="s">
        <v>21</v>
      </c>
      <c r="C29" s="33" t="s">
        <v>135</v>
      </c>
      <c r="D29" s="63">
        <f>model!N59</f>
        <v>97.671405626357384</v>
      </c>
      <c r="E29" s="21">
        <f>model!O59</f>
        <v>96.534037991284748</v>
      </c>
      <c r="F29" s="21">
        <f>model!P59</f>
        <v>95.280160525370192</v>
      </c>
      <c r="G29" s="21">
        <f>model!Q59</f>
        <v>93.909692107314115</v>
      </c>
      <c r="H29" s="21">
        <f>model!R59</f>
        <v>92.422552979727826</v>
      </c>
      <c r="I29" s="21">
        <f>model!S59</f>
        <v>90.818664724445313</v>
      </c>
      <c r="J29" s="21">
        <f>model!T59</f>
        <v>89.097950238303085</v>
      </c>
      <c r="K29" s="21">
        <f>model!U59</f>
        <v>87.260333709378671</v>
      </c>
      <c r="L29" s="21">
        <f>model!V59</f>
        <v>85.305740593679062</v>
      </c>
      <c r="M29" s="21">
        <f>model!W59</f>
        <v>83.234097592270047</v>
      </c>
      <c r="N29" s="64">
        <f>model!X59</f>
        <v>82.904052745326737</v>
      </c>
    </row>
    <row r="30" spans="1:14" x14ac:dyDescent="0.2">
      <c r="A30" t="s">
        <v>97</v>
      </c>
      <c r="B30" s="39" t="s">
        <v>63</v>
      </c>
      <c r="C30" s="33" t="s">
        <v>113</v>
      </c>
      <c r="D30" s="63">
        <f>model!N60</f>
        <v>4263.7788742080174</v>
      </c>
      <c r="E30" s="21">
        <f>model!O60</f>
        <v>4341.9737416836479</v>
      </c>
      <c r="F30" s="21">
        <f>model!P60</f>
        <v>4401.2996364790542</v>
      </c>
      <c r="G30" s="21">
        <f>model!Q60</f>
        <v>4437.469966920401</v>
      </c>
      <c r="H30" s="21">
        <f>model!R60</f>
        <v>4445.4944780139967</v>
      </c>
      <c r="I30" s="21">
        <f>model!S60</f>
        <v>4419.5719418305844</v>
      </c>
      <c r="J30" s="21">
        <f>model!T60</f>
        <v>4352.9668340838871</v>
      </c>
      <c r="K30" s="21">
        <f>model!U60</f>
        <v>4237.8676261408482</v>
      </c>
      <c r="L30" s="21">
        <f>model!V60</f>
        <v>4065.2239721498631</v>
      </c>
      <c r="M30" s="21">
        <f>model!W60</f>
        <v>3824.5596700301294</v>
      </c>
      <c r="N30" s="64">
        <f>model!X60</f>
        <v>3503.7578151921775</v>
      </c>
    </row>
    <row r="31" spans="1:14" x14ac:dyDescent="0.2">
      <c r="A31" t="s">
        <v>97</v>
      </c>
      <c r="B31" s="73" t="s">
        <v>114</v>
      </c>
      <c r="C31" s="33" t="s">
        <v>113</v>
      </c>
      <c r="D31" s="63">
        <f>model!N61</f>
        <v>426.37788742080176</v>
      </c>
      <c r="E31" s="21">
        <f>model!O61</f>
        <v>434.19737416836483</v>
      </c>
      <c r="F31" s="21">
        <f>model!P61</f>
        <v>440.12996364790547</v>
      </c>
      <c r="G31" s="21">
        <f>model!Q61</f>
        <v>443.74699669204011</v>
      </c>
      <c r="H31" s="21">
        <f>model!R61</f>
        <v>444.54944780139971</v>
      </c>
      <c r="I31" s="21">
        <f>model!S61</f>
        <v>441.95719418305845</v>
      </c>
      <c r="J31" s="21">
        <f>model!T61</f>
        <v>435.29668340838873</v>
      </c>
      <c r="K31" s="21">
        <f>model!U61</f>
        <v>423.78676261408486</v>
      </c>
      <c r="L31" s="21">
        <f>model!V61</f>
        <v>406.52239721498631</v>
      </c>
      <c r="M31" s="21">
        <f>model!W61</f>
        <v>382.45596700301297</v>
      </c>
      <c r="N31" s="64">
        <f>model!X61</f>
        <v>350.37578151921775</v>
      </c>
    </row>
    <row r="32" spans="1:14" x14ac:dyDescent="0.2">
      <c r="A32" t="s">
        <v>97</v>
      </c>
      <c r="B32" s="73" t="s">
        <v>115</v>
      </c>
      <c r="C32" s="33" t="s">
        <v>113</v>
      </c>
      <c r="D32" s="63">
        <f>model!N62</f>
        <v>469.0156761628819</v>
      </c>
      <c r="E32" s="21">
        <f>model!O62</f>
        <v>477.61711158520126</v>
      </c>
      <c r="F32" s="21">
        <f>model!P62</f>
        <v>484.14296001269599</v>
      </c>
      <c r="G32" s="21">
        <f>model!Q62</f>
        <v>488.12169636124412</v>
      </c>
      <c r="H32" s="21">
        <f>model!R62</f>
        <v>489.00439258153966</v>
      </c>
      <c r="I32" s="21">
        <f>model!S62</f>
        <v>486.15291360136428</v>
      </c>
      <c r="J32" s="21">
        <f>model!T62</f>
        <v>478.82635174922757</v>
      </c>
      <c r="K32" s="21">
        <f>model!U62</f>
        <v>466.16543887549329</v>
      </c>
      <c r="L32" s="21">
        <f>model!V62</f>
        <v>447.17463693648494</v>
      </c>
      <c r="M32" s="21">
        <f>model!W62</f>
        <v>420.70156370331421</v>
      </c>
      <c r="N32" s="64">
        <f>model!X62</f>
        <v>385.41335967113952</v>
      </c>
    </row>
    <row r="33" spans="1:15" x14ac:dyDescent="0.2">
      <c r="A33" t="s">
        <v>97</v>
      </c>
      <c r="B33" s="73" t="s">
        <v>102</v>
      </c>
      <c r="C33" s="33" t="s">
        <v>113</v>
      </c>
      <c r="D33" s="63">
        <f>model!N63</f>
        <v>1507.5394617732923</v>
      </c>
      <c r="E33" s="21">
        <f>model!O63</f>
        <v>1535.1867323999948</v>
      </c>
      <c r="F33" s="21">
        <f>model!P63</f>
        <v>1556.1625217520398</v>
      </c>
      <c r="G33" s="21">
        <f>model!Q63</f>
        <v>1568.9512244719569</v>
      </c>
      <c r="H33" s="21">
        <f>model!R63</f>
        <v>1571.7884417601729</v>
      </c>
      <c r="I33" s="21">
        <f>model!S63</f>
        <v>1562.6230400358636</v>
      </c>
      <c r="J33" s="21">
        <f>model!T63</f>
        <v>1539.0735476146695</v>
      </c>
      <c r="K33" s="21">
        <f>model!U63</f>
        <v>1498.3780511754435</v>
      </c>
      <c r="L33" s="21">
        <f>model!V63</f>
        <v>1437.3366301977926</v>
      </c>
      <c r="M33" s="21">
        <f>model!W63</f>
        <v>1352.2452257911748</v>
      </c>
      <c r="N33" s="64">
        <f>model!X63</f>
        <v>1238.8196777394808</v>
      </c>
    </row>
    <row r="34" spans="1:15" x14ac:dyDescent="0.2">
      <c r="A34" t="s">
        <v>97</v>
      </c>
      <c r="B34" s="40" t="s">
        <v>64</v>
      </c>
      <c r="C34" s="41" t="s">
        <v>116</v>
      </c>
      <c r="D34" s="65">
        <f>model!N64</f>
        <v>8308.1434172806294</v>
      </c>
      <c r="E34" s="66">
        <f>model!O64</f>
        <v>8345.6049129979274</v>
      </c>
      <c r="F34" s="66">
        <f>model!P64</f>
        <v>8345.4984127705429</v>
      </c>
      <c r="G34" s="66">
        <f>model!Q64</f>
        <v>8301.2970017139924</v>
      </c>
      <c r="H34" s="66">
        <f>model!R64</f>
        <v>8205.5434124226249</v>
      </c>
      <c r="I34" s="66">
        <f>model!S64</f>
        <v>8049.7225703990489</v>
      </c>
      <c r="J34" s="66">
        <f>model!T64</f>
        <v>7824.1168439110461</v>
      </c>
      <c r="K34" s="66">
        <f>model!U64</f>
        <v>7517.6416582792262</v>
      </c>
      <c r="L34" s="66">
        <f>model!V64</f>
        <v>7117.6588185257251</v>
      </c>
      <c r="M34" s="66">
        <f>model!W64</f>
        <v>6609.7645256085762</v>
      </c>
      <c r="N34" s="67">
        <f>model!X64</f>
        <v>5977.5486643856175</v>
      </c>
    </row>
    <row r="35" spans="1:15" s="35" customFormat="1" x14ac:dyDescent="0.2">
      <c r="A35" s="35" t="s">
        <v>97</v>
      </c>
      <c r="B35" s="35" t="s">
        <v>97</v>
      </c>
      <c r="C35" s="36" t="s">
        <v>97</v>
      </c>
    </row>
    <row r="36" spans="1:15" x14ac:dyDescent="0.2">
      <c r="A36" s="32" t="s">
        <v>117</v>
      </c>
      <c r="B36" t="s">
        <v>97</v>
      </c>
      <c r="C36" s="34" t="s">
        <v>97</v>
      </c>
      <c r="D36" s="68">
        <v>2025</v>
      </c>
      <c r="E36" s="68">
        <f>D36+1</f>
        <v>2026</v>
      </c>
      <c r="F36" s="68">
        <f t="shared" ref="F36:N36" si="3">E36+1</f>
        <v>2027</v>
      </c>
      <c r="G36" s="68">
        <f t="shared" si="3"/>
        <v>2028</v>
      </c>
      <c r="H36" s="68">
        <f t="shared" si="3"/>
        <v>2029</v>
      </c>
      <c r="I36" s="68">
        <f t="shared" si="3"/>
        <v>2030</v>
      </c>
      <c r="J36" s="68">
        <f t="shared" si="3"/>
        <v>2031</v>
      </c>
      <c r="K36" s="68">
        <f t="shared" si="3"/>
        <v>2032</v>
      </c>
      <c r="L36" s="68">
        <f>K36+1</f>
        <v>2033</v>
      </c>
      <c r="M36" s="68">
        <f t="shared" si="3"/>
        <v>2034</v>
      </c>
      <c r="N36" s="68">
        <f t="shared" si="3"/>
        <v>2035</v>
      </c>
    </row>
    <row r="37" spans="1:15" x14ac:dyDescent="0.2">
      <c r="A37" t="s">
        <v>97</v>
      </c>
      <c r="B37" s="37" t="s">
        <v>118</v>
      </c>
      <c r="C37" s="38" t="s">
        <v>135</v>
      </c>
      <c r="D37" s="60">
        <f>model!N67</f>
        <v>43.43939655172413</v>
      </c>
      <c r="E37" s="61">
        <f>model!O67</f>
        <v>43.126414827586203</v>
      </c>
      <c r="F37" s="61">
        <f>model!P67</f>
        <v>42.792365847586197</v>
      </c>
      <c r="G37" s="61">
        <f>model!Q67</f>
        <v>42.437213666244126</v>
      </c>
      <c r="H37" s="61">
        <f>model!R67</f>
        <v>42.060922942439511</v>
      </c>
      <c r="I37" s="61">
        <f>model!S67</f>
        <v>41.663458928471897</v>
      </c>
      <c r="J37" s="61">
        <f>model!T67</f>
        <v>41.244787459328677</v>
      </c>
      <c r="K37" s="61">
        <f>model!U67</f>
        <v>40.804874942156225</v>
      </c>
      <c r="L37" s="61">
        <f>model!V67</f>
        <v>40.343688345930332</v>
      </c>
      <c r="M37" s="61">
        <f>model!W67</f>
        <v>39.861195191322018</v>
      </c>
      <c r="N37" s="61">
        <f>model!X67</f>
        <v>39.714949747651787</v>
      </c>
      <c r="O37" s="69"/>
    </row>
    <row r="38" spans="1:15" x14ac:dyDescent="0.2">
      <c r="A38" t="s">
        <v>97</v>
      </c>
      <c r="B38" s="40" t="s">
        <v>119</v>
      </c>
      <c r="C38" s="41" t="s">
        <v>135</v>
      </c>
      <c r="D38" s="65">
        <f>model!N68</f>
        <v>26.268058620689654</v>
      </c>
      <c r="E38" s="66">
        <f>model!O68</f>
        <v>26.07879673103448</v>
      </c>
      <c r="F38" s="66">
        <f>model!P68</f>
        <v>25.876795347834481</v>
      </c>
      <c r="G38" s="66">
        <f>model!Q68</f>
        <v>25.662032734646452</v>
      </c>
      <c r="H38" s="66">
        <f>model!R68</f>
        <v>25.434487520486954</v>
      </c>
      <c r="I38" s="66">
        <f>model!S68</f>
        <v>25.194138693217123</v>
      </c>
      <c r="J38" s="66">
        <f>model!T68</f>
        <v>24.940965593052873</v>
      </c>
      <c r="K38" s="66">
        <f>model!U68</f>
        <v>24.674947906198003</v>
      </c>
      <c r="L38" s="66">
        <f>model!V68</f>
        <v>24.39606565859787</v>
      </c>
      <c r="M38" s="66">
        <f>model!W68</f>
        <v>24.104299209811199</v>
      </c>
      <c r="N38" s="66">
        <f>model!X68</f>
        <v>24.015863729756493</v>
      </c>
      <c r="O38" s="70"/>
    </row>
    <row r="39" spans="1:15" x14ac:dyDescent="0.2">
      <c r="A39" t="s">
        <v>97</v>
      </c>
      <c r="B39" t="s">
        <v>97</v>
      </c>
      <c r="C39" s="34" t="s">
        <v>97</v>
      </c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</row>
    <row r="40" spans="1:15" s="35" customFormat="1" x14ac:dyDescent="0.2">
      <c r="A40" s="35" t="s">
        <v>97</v>
      </c>
      <c r="B40" s="35" t="s">
        <v>97</v>
      </c>
      <c r="C40" s="36" t="s">
        <v>97</v>
      </c>
    </row>
    <row r="41" spans="1:15" x14ac:dyDescent="0.2">
      <c r="A41" s="32" t="s">
        <v>119</v>
      </c>
      <c r="B41" t="s">
        <v>97</v>
      </c>
      <c r="C41" s="34" t="s">
        <v>97</v>
      </c>
      <c r="D41" s="32">
        <v>2025</v>
      </c>
      <c r="E41" s="32">
        <f>D41+1</f>
        <v>2026</v>
      </c>
      <c r="F41" s="32">
        <f t="shared" ref="F41:N41" si="4">E41+1</f>
        <v>2027</v>
      </c>
      <c r="G41" s="32">
        <f t="shared" si="4"/>
        <v>2028</v>
      </c>
      <c r="H41" s="32">
        <f t="shared" si="4"/>
        <v>2029</v>
      </c>
      <c r="I41" s="32">
        <f t="shared" si="4"/>
        <v>2030</v>
      </c>
      <c r="J41" s="32">
        <f t="shared" si="4"/>
        <v>2031</v>
      </c>
      <c r="K41" s="32">
        <f t="shared" si="4"/>
        <v>2032</v>
      </c>
      <c r="L41" s="32">
        <f>K41+1</f>
        <v>2033</v>
      </c>
      <c r="M41" s="32">
        <f t="shared" si="4"/>
        <v>2034</v>
      </c>
      <c r="N41" s="32">
        <f t="shared" si="4"/>
        <v>2035</v>
      </c>
    </row>
    <row r="42" spans="1:15" x14ac:dyDescent="0.2">
      <c r="A42" t="s">
        <v>97</v>
      </c>
      <c r="B42" s="37" t="s">
        <v>7</v>
      </c>
      <c r="C42" s="38" t="s">
        <v>135</v>
      </c>
      <c r="D42" s="60">
        <f>model!N71</f>
        <v>23.710344827586209</v>
      </c>
      <c r="E42" s="61">
        <f>model!O71</f>
        <v>23.365517241379312</v>
      </c>
      <c r="F42" s="61">
        <f>model!P71</f>
        <v>22.96551724137931</v>
      </c>
      <c r="G42" s="61">
        <f>model!Q71</f>
        <v>22.510344827586209</v>
      </c>
      <c r="H42" s="61">
        <f>model!R71</f>
        <v>22</v>
      </c>
      <c r="I42" s="61">
        <f>model!S71</f>
        <v>21.434482758620689</v>
      </c>
      <c r="J42" s="61">
        <f>model!T71</f>
        <v>20.813793103448276</v>
      </c>
      <c r="K42" s="61">
        <f>model!U71</f>
        <v>20.137931034482758</v>
      </c>
      <c r="L42" s="61">
        <f>model!V71</f>
        <v>19.406896551724138</v>
      </c>
      <c r="M42" s="61">
        <f>model!W71</f>
        <v>18.620689655172413</v>
      </c>
      <c r="N42" s="62">
        <f>model!X71</f>
        <v>18.620689655172413</v>
      </c>
    </row>
    <row r="43" spans="1:15" x14ac:dyDescent="0.2">
      <c r="A43" t="s">
        <v>97</v>
      </c>
      <c r="B43" s="39" t="s">
        <v>120</v>
      </c>
      <c r="C43" s="33" t="s">
        <v>135</v>
      </c>
      <c r="D43" s="63">
        <f>model!N72</f>
        <v>27</v>
      </c>
      <c r="E43" s="21">
        <f>model!O72</f>
        <v>26.73</v>
      </c>
      <c r="F43" s="21">
        <f>model!P72</f>
        <v>26.462700000000002</v>
      </c>
      <c r="G43" s="21">
        <f>model!Q72</f>
        <v>26.198073000000001</v>
      </c>
      <c r="H43" s="21">
        <f>model!R72</f>
        <v>25.93609227</v>
      </c>
      <c r="I43" s="21">
        <f>model!S72</f>
        <v>25.676731347299999</v>
      </c>
      <c r="J43" s="21">
        <f>model!T72</f>
        <v>25.419964033827</v>
      </c>
      <c r="K43" s="21">
        <f>model!U72</f>
        <v>25.165764393488729</v>
      </c>
      <c r="L43" s="21">
        <f>model!V72</f>
        <v>24.914106749553842</v>
      </c>
      <c r="M43" s="21">
        <f>model!W72</f>
        <v>24.664965682058302</v>
      </c>
      <c r="N43" s="64">
        <f>model!X72</f>
        <v>24.418316025237718</v>
      </c>
    </row>
    <row r="44" spans="1:15" x14ac:dyDescent="0.2">
      <c r="A44" t="s">
        <v>97</v>
      </c>
      <c r="B44" s="39" t="s">
        <v>121</v>
      </c>
      <c r="C44" s="33" t="s">
        <v>135</v>
      </c>
      <c r="D44" s="63">
        <f>model!N73</f>
        <v>7.3</v>
      </c>
      <c r="E44" s="21">
        <f>model!O73</f>
        <v>7.3</v>
      </c>
      <c r="F44" s="21">
        <f>model!P73</f>
        <v>7.3</v>
      </c>
      <c r="G44" s="21">
        <f>model!Q73</f>
        <v>7.3</v>
      </c>
      <c r="H44" s="21">
        <f>model!R73</f>
        <v>7.3</v>
      </c>
      <c r="I44" s="21">
        <f>model!S73</f>
        <v>7.3</v>
      </c>
      <c r="J44" s="21">
        <f>model!T73</f>
        <v>7.3</v>
      </c>
      <c r="K44" s="21">
        <f>model!U73</f>
        <v>7.3</v>
      </c>
      <c r="L44" s="21">
        <f>model!V73</f>
        <v>7.3</v>
      </c>
      <c r="M44" s="21">
        <f>model!W73</f>
        <v>7.3</v>
      </c>
      <c r="N44" s="64">
        <f>model!X73</f>
        <v>7.3</v>
      </c>
    </row>
    <row r="45" spans="1:15" x14ac:dyDescent="0.2">
      <c r="A45" t="s">
        <v>97</v>
      </c>
      <c r="B45" s="39" t="s">
        <v>48</v>
      </c>
      <c r="C45" s="33" t="s">
        <v>135</v>
      </c>
      <c r="D45" s="63">
        <f>model!N74</f>
        <v>14.6</v>
      </c>
      <c r="E45" s="21">
        <f>model!O74</f>
        <v>14.6</v>
      </c>
      <c r="F45" s="21">
        <f>model!P74</f>
        <v>14.6</v>
      </c>
      <c r="G45" s="21">
        <f>model!Q74</f>
        <v>14.6</v>
      </c>
      <c r="H45" s="21">
        <f>model!R74</f>
        <v>14.6</v>
      </c>
      <c r="I45" s="21">
        <f>model!S74</f>
        <v>14.6</v>
      </c>
      <c r="J45" s="21">
        <f>model!T74</f>
        <v>14.6</v>
      </c>
      <c r="K45" s="21">
        <f>model!U74</f>
        <v>14.6</v>
      </c>
      <c r="L45" s="21">
        <f>model!V74</f>
        <v>14.6</v>
      </c>
      <c r="M45" s="21">
        <f>model!W74</f>
        <v>14.6</v>
      </c>
      <c r="N45" s="64">
        <f>model!X74</f>
        <v>14.6</v>
      </c>
    </row>
    <row r="46" spans="1:15" x14ac:dyDescent="0.2">
      <c r="A46" t="s">
        <v>97</v>
      </c>
      <c r="B46" s="39" t="s">
        <v>49</v>
      </c>
      <c r="C46" s="33" t="s">
        <v>135</v>
      </c>
      <c r="D46" s="63">
        <f>model!N75</f>
        <v>7.2</v>
      </c>
      <c r="E46" s="21">
        <f>model!O75</f>
        <v>7.056</v>
      </c>
      <c r="F46" s="21">
        <f>model!P75</f>
        <v>6.9148800000000001</v>
      </c>
      <c r="G46" s="21">
        <f>model!Q75</f>
        <v>6.7765823999999997</v>
      </c>
      <c r="H46" s="21">
        <f>model!R75</f>
        <v>6.6410507519999999</v>
      </c>
      <c r="I46" s="21">
        <f>model!S75</f>
        <v>6.5082297369599997</v>
      </c>
      <c r="J46" s="21">
        <f>model!T75</f>
        <v>6.3780651422207999</v>
      </c>
      <c r="K46" s="21">
        <f>model!U75</f>
        <v>6.2505038393763837</v>
      </c>
      <c r="L46" s="21">
        <f>model!V75</f>
        <v>6.1254937625888557</v>
      </c>
      <c r="M46" s="21">
        <f>model!W75</f>
        <v>6.0029838873370789</v>
      </c>
      <c r="N46" s="64">
        <f>model!X75</f>
        <v>5.8829242095903371</v>
      </c>
    </row>
    <row r="47" spans="1:15" x14ac:dyDescent="0.2">
      <c r="A47" t="s">
        <v>97</v>
      </c>
      <c r="B47" s="40" t="s">
        <v>62</v>
      </c>
      <c r="C47" s="41" t="s">
        <v>135</v>
      </c>
      <c r="D47" s="65">
        <f>model!N76</f>
        <v>22.4</v>
      </c>
      <c r="E47" s="66">
        <f>model!O76</f>
        <v>22.422399999999996</v>
      </c>
      <c r="F47" s="66">
        <f>model!P76</f>
        <v>22.444822399999993</v>
      </c>
      <c r="G47" s="66">
        <f>model!Q76</f>
        <v>22.46726722239999</v>
      </c>
      <c r="H47" s="66">
        <f>model!R76</f>
        <v>22.489734489622386</v>
      </c>
      <c r="I47" s="66">
        <f>model!S76</f>
        <v>22.512224224112007</v>
      </c>
      <c r="J47" s="66">
        <f>model!T76</f>
        <v>22.534736448336115</v>
      </c>
      <c r="K47" s="66">
        <f>model!U76</f>
        <v>22.557271184784447</v>
      </c>
      <c r="L47" s="66">
        <f>model!V76</f>
        <v>22.579828455969228</v>
      </c>
      <c r="M47" s="66">
        <f>model!W76</f>
        <v>22.602408284425195</v>
      </c>
      <c r="N47" s="67">
        <f>model!X76</f>
        <v>22.625010692709619</v>
      </c>
    </row>
    <row r="48" spans="1:15" s="35" customFormat="1" x14ac:dyDescent="0.2">
      <c r="A48" s="35" t="s">
        <v>97</v>
      </c>
      <c r="B48" s="35" t="s">
        <v>97</v>
      </c>
      <c r="C48" s="36" t="s">
        <v>97</v>
      </c>
    </row>
    <row r="49" spans="1:21" x14ac:dyDescent="0.2">
      <c r="A49" t="s">
        <v>97</v>
      </c>
      <c r="B49" t="s">
        <v>97</v>
      </c>
      <c r="C49" s="34" t="s">
        <v>97</v>
      </c>
    </row>
    <row r="50" spans="1:21" x14ac:dyDescent="0.2">
      <c r="A50" s="32" t="s">
        <v>122</v>
      </c>
      <c r="B50" t="s">
        <v>97</v>
      </c>
      <c r="C50" s="34" t="s">
        <v>97</v>
      </c>
      <c r="D50" s="32">
        <v>2025</v>
      </c>
      <c r="E50" s="32">
        <f>D50+1</f>
        <v>2026</v>
      </c>
      <c r="F50" s="32">
        <f t="shared" ref="F50:K50" si="5">E50+1</f>
        <v>2027</v>
      </c>
      <c r="G50" s="32">
        <f t="shared" si="5"/>
        <v>2028</v>
      </c>
      <c r="H50" s="32">
        <f t="shared" si="5"/>
        <v>2029</v>
      </c>
      <c r="I50" s="32">
        <f t="shared" si="5"/>
        <v>2030</v>
      </c>
      <c r="J50" s="32">
        <f t="shared" si="5"/>
        <v>2031</v>
      </c>
      <c r="K50" s="32">
        <f t="shared" si="5"/>
        <v>2032</v>
      </c>
      <c r="L50" s="32">
        <f>K50+1</f>
        <v>2033</v>
      </c>
      <c r="M50" s="32">
        <f t="shared" ref="M50:N50" si="6">L50+1</f>
        <v>2034</v>
      </c>
      <c r="N50" s="32">
        <f t="shared" si="6"/>
        <v>2035</v>
      </c>
    </row>
    <row r="51" spans="1:21" x14ac:dyDescent="0.2">
      <c r="A51" t="s">
        <v>97</v>
      </c>
      <c r="B51" s="37" t="s">
        <v>123</v>
      </c>
      <c r="C51" s="38" t="s">
        <v>124</v>
      </c>
      <c r="D51" s="60">
        <f>elektrikliarabalar!D4</f>
        <v>17</v>
      </c>
      <c r="E51" s="61">
        <f>D51+4</f>
        <v>21</v>
      </c>
      <c r="F51" s="61">
        <f t="shared" ref="F51:N51" si="7">E51+4</f>
        <v>25</v>
      </c>
      <c r="G51" s="61">
        <f t="shared" si="7"/>
        <v>29</v>
      </c>
      <c r="H51" s="61">
        <f t="shared" si="7"/>
        <v>33</v>
      </c>
      <c r="I51" s="61">
        <f t="shared" si="7"/>
        <v>37</v>
      </c>
      <c r="J51" s="61">
        <f t="shared" si="7"/>
        <v>41</v>
      </c>
      <c r="K51" s="61">
        <f t="shared" si="7"/>
        <v>45</v>
      </c>
      <c r="L51" s="61">
        <f t="shared" si="7"/>
        <v>49</v>
      </c>
      <c r="M51" s="61">
        <f t="shared" si="7"/>
        <v>53</v>
      </c>
      <c r="N51" s="62">
        <f t="shared" si="7"/>
        <v>57</v>
      </c>
    </row>
    <row r="52" spans="1:21" x14ac:dyDescent="0.2">
      <c r="A52" t="s">
        <v>97</v>
      </c>
      <c r="B52" s="39" t="s">
        <v>125</v>
      </c>
      <c r="C52" s="33" t="s">
        <v>124</v>
      </c>
      <c r="D52" s="63">
        <f>elektrikliarabalar!D5</f>
        <v>58</v>
      </c>
      <c r="E52" s="21">
        <f>elektrikliarabalar!E5</f>
        <v>79</v>
      </c>
      <c r="F52" s="21">
        <f>elektrikliarabalar!F5</f>
        <v>104</v>
      </c>
      <c r="G52" s="21">
        <f>elektrikliarabalar!G5</f>
        <v>133</v>
      </c>
      <c r="H52" s="21">
        <f>elektrikliarabalar!H5</f>
        <v>166</v>
      </c>
      <c r="I52" s="21">
        <f>elektrikliarabalar!I5</f>
        <v>203</v>
      </c>
      <c r="J52" s="21">
        <f>elektrikliarabalar!J5</f>
        <v>244</v>
      </c>
      <c r="K52" s="21">
        <f>elektrikliarabalar!K5</f>
        <v>289</v>
      </c>
      <c r="L52" s="21">
        <f>elektrikliarabalar!L5</f>
        <v>338</v>
      </c>
      <c r="M52" s="21">
        <f>elektrikliarabalar!M5</f>
        <v>391</v>
      </c>
      <c r="N52" s="64">
        <f>elektrikliarabalar!N5</f>
        <v>448</v>
      </c>
    </row>
    <row r="53" spans="1:21" x14ac:dyDescent="0.2">
      <c r="A53" t="s">
        <v>97</v>
      </c>
      <c r="B53" s="39" t="s">
        <v>126</v>
      </c>
      <c r="C53" s="33" t="s">
        <v>127</v>
      </c>
      <c r="D53" s="54">
        <f>elektrikliarabalar!D6</f>
        <v>0.04</v>
      </c>
      <c r="E53" s="55">
        <f>elektrikliarabalar!E6</f>
        <v>5.3943325367019464E-2</v>
      </c>
      <c r="F53" s="55">
        <f>elektrikliarabalar!F6</f>
        <v>7.0310889060910195E-2</v>
      </c>
      <c r="G53" s="55">
        <f>elektrikliarabalar!G6</f>
        <v>8.9026544603018426E-2</v>
      </c>
      <c r="H53" s="55">
        <f>elektrikliarabalar!H6</f>
        <v>0.11001568081665346</v>
      </c>
      <c r="I53" s="55">
        <f>elektrikliarabalar!I6</f>
        <v>0.13320519626494484</v>
      </c>
      <c r="J53" s="55">
        <f>elektrikliarabalar!J6</f>
        <v>0.15852347407036307</v>
      </c>
      <c r="K53" s="55">
        <f>elektrikliarabalar!K6</f>
        <v>0.18590035711059461</v>
      </c>
      <c r="L53" s="55">
        <f>elektrikliarabalar!L6</f>
        <v>0.21526712358553213</v>
      </c>
      <c r="M53" s="55">
        <f>elektrikliarabalar!M6</f>
        <v>0.24655646295021108</v>
      </c>
      <c r="N53" s="56">
        <f>elektrikliarabalar!N6</f>
        <v>0.27970245220859069</v>
      </c>
    </row>
    <row r="54" spans="1:21" x14ac:dyDescent="0.2">
      <c r="A54" t="s">
        <v>97</v>
      </c>
      <c r="B54" s="39" t="s">
        <v>128</v>
      </c>
      <c r="C54" s="33" t="s">
        <v>124</v>
      </c>
      <c r="D54" s="63">
        <f>elektrikliarabalar!D7</f>
        <v>1450</v>
      </c>
      <c r="E54" s="21">
        <f>elektrikliarabalar!E7</f>
        <v>1464.5</v>
      </c>
      <c r="F54" s="21">
        <f>elektrikliarabalar!F7</f>
        <v>1479.145</v>
      </c>
      <c r="G54" s="21">
        <f>elektrikliarabalar!G7</f>
        <v>1493.9364499999999</v>
      </c>
      <c r="H54" s="21">
        <f>elektrikliarabalar!H7</f>
        <v>1508.8758144999999</v>
      </c>
      <c r="I54" s="21">
        <f>elektrikliarabalar!I7</f>
        <v>1523.9645726449999</v>
      </c>
      <c r="J54" s="21">
        <f>elektrikliarabalar!J7</f>
        <v>1539.2042183714498</v>
      </c>
      <c r="K54" s="21">
        <f>elektrikliarabalar!K7</f>
        <v>1554.5962605551642</v>
      </c>
      <c r="L54" s="21">
        <f>elektrikliarabalar!L7</f>
        <v>1570.142223160716</v>
      </c>
      <c r="M54" s="21">
        <f>elektrikliarabalar!M7</f>
        <v>1585.8436453923232</v>
      </c>
      <c r="N54" s="64">
        <f>elektrikliarabalar!N7</f>
        <v>1601.7020818462465</v>
      </c>
    </row>
    <row r="55" spans="1:21" x14ac:dyDescent="0.2">
      <c r="A55" t="s">
        <v>97</v>
      </c>
      <c r="B55" s="39" t="s">
        <v>129</v>
      </c>
      <c r="C55" s="33" t="s">
        <v>136</v>
      </c>
      <c r="D55" s="63">
        <f>elektrikliarabalar!D8</f>
        <v>1</v>
      </c>
      <c r="E55" s="21">
        <f>elektrikliarabalar!E8</f>
        <v>1.3620689655172413</v>
      </c>
      <c r="F55" s="21">
        <f>elektrikliarabalar!F8</f>
        <v>1.7931034482758621</v>
      </c>
      <c r="G55" s="21">
        <f>elektrikliarabalar!G8</f>
        <v>2.2931034482758621</v>
      </c>
      <c r="H55" s="21">
        <f>elektrikliarabalar!H8</f>
        <v>2.8620689655172415</v>
      </c>
      <c r="I55" s="21">
        <f>elektrikliarabalar!I8</f>
        <v>3.5</v>
      </c>
      <c r="J55" s="21">
        <f>elektrikliarabalar!J8</f>
        <v>4.2068965517241379</v>
      </c>
      <c r="K55" s="21">
        <f>elektrikliarabalar!K8</f>
        <v>4.9827586206896548</v>
      </c>
      <c r="L55" s="21">
        <f>elektrikliarabalar!L8</f>
        <v>5.8275862068965516</v>
      </c>
      <c r="M55" s="21">
        <f>elektrikliarabalar!M8</f>
        <v>6.7413793103448274</v>
      </c>
      <c r="N55" s="64">
        <f>elektrikliarabalar!N8</f>
        <v>7.7241379310344831</v>
      </c>
    </row>
    <row r="56" spans="1:21" x14ac:dyDescent="0.2">
      <c r="A56" t="s">
        <v>97</v>
      </c>
      <c r="B56" s="39" t="s">
        <v>130</v>
      </c>
      <c r="C56" s="33" t="s">
        <v>136</v>
      </c>
      <c r="D56" s="63">
        <f>elektrikliarabalar!D9</f>
        <v>0.8</v>
      </c>
      <c r="E56" s="21">
        <f>elektrikliarabalar!E9</f>
        <v>1.0896551724137931</v>
      </c>
      <c r="F56" s="21">
        <f>elektrikliarabalar!F9</f>
        <v>1.4344827586206899</v>
      </c>
      <c r="G56" s="21">
        <f>elektrikliarabalar!G9</f>
        <v>1.8344827586206898</v>
      </c>
      <c r="H56" s="21">
        <f>elektrikliarabalar!H9</f>
        <v>2.2896551724137932</v>
      </c>
      <c r="I56" s="21">
        <f>elektrikliarabalar!I9</f>
        <v>2.8000000000000003</v>
      </c>
      <c r="J56" s="21">
        <f>elektrikliarabalar!J9</f>
        <v>3.3655172413793104</v>
      </c>
      <c r="K56" s="21">
        <f>elektrikliarabalar!K9</f>
        <v>3.9862068965517241</v>
      </c>
      <c r="L56" s="21">
        <f>elektrikliarabalar!L9</f>
        <v>4.6620689655172418</v>
      </c>
      <c r="M56" s="21">
        <f>elektrikliarabalar!M9</f>
        <v>5.3931034482758626</v>
      </c>
      <c r="N56" s="64">
        <f>elektrikliarabalar!N9</f>
        <v>6.179310344827587</v>
      </c>
    </row>
    <row r="57" spans="1:21" x14ac:dyDescent="0.2">
      <c r="A57" t="s">
        <v>97</v>
      </c>
      <c r="B57" s="39" t="s">
        <v>131</v>
      </c>
      <c r="C57" s="33" t="s">
        <v>136</v>
      </c>
      <c r="D57" s="63">
        <f>elektrikliarabalar!D10</f>
        <v>0.2</v>
      </c>
      <c r="E57" s="21">
        <f>elektrikliarabalar!E10</f>
        <v>0.27241379310344827</v>
      </c>
      <c r="F57" s="21">
        <f>elektrikliarabalar!F10</f>
        <v>0.35862068965517246</v>
      </c>
      <c r="G57" s="21">
        <f>elektrikliarabalar!G10</f>
        <v>0.45862068965517244</v>
      </c>
      <c r="H57" s="21">
        <f>elektrikliarabalar!H10</f>
        <v>0.57241379310344831</v>
      </c>
      <c r="I57" s="21">
        <f>elektrikliarabalar!I10</f>
        <v>0.70000000000000007</v>
      </c>
      <c r="J57" s="21">
        <f>elektrikliarabalar!J10</f>
        <v>0.8413793103448276</v>
      </c>
      <c r="K57" s="21">
        <f>elektrikliarabalar!K10</f>
        <v>0.99655172413793103</v>
      </c>
      <c r="L57" s="21">
        <f>elektrikliarabalar!L10</f>
        <v>1.1655172413793105</v>
      </c>
      <c r="M57" s="21">
        <f>elektrikliarabalar!M10</f>
        <v>1.3482758620689657</v>
      </c>
      <c r="N57" s="64">
        <f>elektrikliarabalar!N10</f>
        <v>1.5448275862068968</v>
      </c>
    </row>
    <row r="58" spans="1:21" x14ac:dyDescent="0.2">
      <c r="A58" t="s">
        <v>97</v>
      </c>
      <c r="B58" s="40" t="s">
        <v>103</v>
      </c>
      <c r="C58" s="41" t="s">
        <v>71</v>
      </c>
      <c r="D58" s="65">
        <f>elektrikliarabalar!D11</f>
        <v>174</v>
      </c>
      <c r="E58" s="66">
        <f>elektrikliarabalar!E11</f>
        <v>237</v>
      </c>
      <c r="F58" s="66">
        <f>elektrikliarabalar!F11</f>
        <v>312</v>
      </c>
      <c r="G58" s="66">
        <f>elektrikliarabalar!G11</f>
        <v>399</v>
      </c>
      <c r="H58" s="66">
        <f>elektrikliarabalar!H11</f>
        <v>498</v>
      </c>
      <c r="I58" s="66">
        <f>elektrikliarabalar!I11</f>
        <v>609</v>
      </c>
      <c r="J58" s="66">
        <f>elektrikliarabalar!J11</f>
        <v>732</v>
      </c>
      <c r="K58" s="66">
        <f>elektrikliarabalar!K11</f>
        <v>867</v>
      </c>
      <c r="L58" s="66">
        <f>elektrikliarabalar!L11</f>
        <v>1014</v>
      </c>
      <c r="M58" s="66">
        <f>elektrikliarabalar!M11</f>
        <v>1173</v>
      </c>
      <c r="N58" s="67">
        <f>elektrikliarabalar!N11</f>
        <v>1344</v>
      </c>
    </row>
    <row r="59" spans="1:21" s="35" customFormat="1" x14ac:dyDescent="0.2">
      <c r="A59" s="35" t="s">
        <v>97</v>
      </c>
      <c r="B59" s="35" t="s">
        <v>97</v>
      </c>
      <c r="C59" s="35" t="s">
        <v>97</v>
      </c>
    </row>
    <row r="60" spans="1:21" x14ac:dyDescent="0.2">
      <c r="A60" s="35" t="s">
        <v>97</v>
      </c>
      <c r="B60" s="35" t="s">
        <v>97</v>
      </c>
      <c r="C60" s="35" t="s">
        <v>97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</row>
    <row r="61" spans="1:21" x14ac:dyDescent="0.2">
      <c r="A61" s="35" t="s">
        <v>97</v>
      </c>
      <c r="B61" s="35" t="s">
        <v>97</v>
      </c>
      <c r="C61" s="35" t="s">
        <v>97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</row>
    <row r="62" spans="1:21" x14ac:dyDescent="0.2">
      <c r="A62" s="32" t="s">
        <v>132</v>
      </c>
      <c r="B62" t="s">
        <v>97</v>
      </c>
      <c r="C62" s="34" t="s">
        <v>97</v>
      </c>
      <c r="D62" s="32">
        <v>2025</v>
      </c>
      <c r="E62" s="32">
        <f>D62+1</f>
        <v>2026</v>
      </c>
      <c r="F62" s="32">
        <f t="shared" ref="F62:K62" si="8">E62+1</f>
        <v>2027</v>
      </c>
      <c r="G62" s="32">
        <f t="shared" si="8"/>
        <v>2028</v>
      </c>
      <c r="H62" s="32">
        <f t="shared" si="8"/>
        <v>2029</v>
      </c>
      <c r="I62" s="32">
        <f t="shared" si="8"/>
        <v>2030</v>
      </c>
      <c r="J62" s="32">
        <f t="shared" si="8"/>
        <v>2031</v>
      </c>
      <c r="K62" s="32">
        <f t="shared" si="8"/>
        <v>2032</v>
      </c>
      <c r="L62" s="32">
        <f>K62+1</f>
        <v>2033</v>
      </c>
      <c r="M62" s="32">
        <f t="shared" ref="M62:N62" si="9">L62+1</f>
        <v>2034</v>
      </c>
      <c r="N62" s="32">
        <f t="shared" si="9"/>
        <v>2035</v>
      </c>
      <c r="O62" s="35"/>
      <c r="P62" s="35"/>
      <c r="Q62" s="35"/>
      <c r="R62" s="35"/>
      <c r="S62" s="35"/>
      <c r="T62" s="35"/>
      <c r="U62" s="35"/>
    </row>
    <row r="63" spans="1:21" x14ac:dyDescent="0.2">
      <c r="A63" s="35" t="s">
        <v>97</v>
      </c>
      <c r="B63" s="37" t="s">
        <v>64</v>
      </c>
      <c r="C63" s="38" t="s">
        <v>11</v>
      </c>
      <c r="D63" s="51">
        <f>D21/D$20</f>
        <v>0.27600055279106528</v>
      </c>
      <c r="E63" s="52">
        <f t="shared" ref="E63:N63" si="10">E21/E$20</f>
        <v>0.27445100136956485</v>
      </c>
      <c r="F63" s="52">
        <f t="shared" si="10"/>
        <v>0.27220613791993392</v>
      </c>
      <c r="G63" s="52">
        <f t="shared" si="10"/>
        <v>0.26916434485256452</v>
      </c>
      <c r="H63" s="52">
        <f t="shared" si="10"/>
        <v>0.26519899850647866</v>
      </c>
      <c r="I63" s="52">
        <f t="shared" si="10"/>
        <v>0.26014957771763453</v>
      </c>
      <c r="J63" s="52">
        <f t="shared" si="10"/>
        <v>0.25380874406503995</v>
      </c>
      <c r="K63" s="52">
        <f t="shared" si="10"/>
        <v>0.24590310083770239</v>
      </c>
      <c r="L63" s="52">
        <f t="shared" si="10"/>
        <v>0.23606371305625917</v>
      </c>
      <c r="M63" s="52">
        <f t="shared" si="10"/>
        <v>0.22377942494309555</v>
      </c>
      <c r="N63" s="53">
        <f t="shared" si="10"/>
        <v>0.20682718614669673</v>
      </c>
      <c r="O63" s="35"/>
      <c r="P63" s="35"/>
      <c r="Q63" s="35"/>
      <c r="R63" s="35"/>
      <c r="S63" s="35"/>
      <c r="T63" s="35"/>
      <c r="U63" s="35"/>
    </row>
    <row r="64" spans="1:21" x14ac:dyDescent="0.2">
      <c r="A64" s="35" t="s">
        <v>97</v>
      </c>
      <c r="B64" s="39" t="s">
        <v>63</v>
      </c>
      <c r="C64" s="33" t="s">
        <v>11</v>
      </c>
      <c r="D64" s="54">
        <f t="shared" ref="D64:N67" si="11">D22/D$20</f>
        <v>0.25544096835130686</v>
      </c>
      <c r="E64" s="55">
        <f t="shared" si="11"/>
        <v>0.25750407298307676</v>
      </c>
      <c r="F64" s="55">
        <f t="shared" si="11"/>
        <v>0.25889071935177338</v>
      </c>
      <c r="G64" s="55">
        <f t="shared" si="11"/>
        <v>0.25947583366985799</v>
      </c>
      <c r="H64" s="55">
        <f t="shared" si="11"/>
        <v>0.25910423927845316</v>
      </c>
      <c r="I64" s="55">
        <f t="shared" si="11"/>
        <v>0.2575801142552947</v>
      </c>
      <c r="J64" s="55">
        <f t="shared" si="11"/>
        <v>0.25465166621238478</v>
      </c>
      <c r="K64" s="55">
        <f t="shared" si="11"/>
        <v>0.24998829995082189</v>
      </c>
      <c r="L64" s="55">
        <f t="shared" si="11"/>
        <v>0.24314562338091725</v>
      </c>
      <c r="M64" s="55">
        <f t="shared" si="11"/>
        <v>0.2335100183838994</v>
      </c>
      <c r="N64" s="56">
        <f t="shared" si="11"/>
        <v>0.21862936523090873</v>
      </c>
      <c r="O64" s="35"/>
      <c r="P64" s="35"/>
      <c r="Q64" s="35"/>
      <c r="R64" s="35"/>
      <c r="S64" s="35"/>
      <c r="T64" s="35"/>
      <c r="U64" s="35"/>
    </row>
    <row r="65" spans="1:21" x14ac:dyDescent="0.2">
      <c r="A65" s="35" t="s">
        <v>97</v>
      </c>
      <c r="B65" s="39" t="s">
        <v>21</v>
      </c>
      <c r="C65" s="33" t="s">
        <v>11</v>
      </c>
      <c r="D65" s="54">
        <f t="shared" si="11"/>
        <v>0.33168274368447559</v>
      </c>
      <c r="E65" s="55">
        <f t="shared" si="11"/>
        <v>0.32597439001809747</v>
      </c>
      <c r="F65" s="55">
        <f t="shared" si="11"/>
        <v>0.32080790372221646</v>
      </c>
      <c r="G65" s="55">
        <f t="shared" si="11"/>
        <v>0.31626531548553549</v>
      </c>
      <c r="H65" s="55">
        <f t="shared" si="11"/>
        <v>0.31244707044166103</v>
      </c>
      <c r="I65" s="55">
        <f t="shared" si="11"/>
        <v>0.30947862709604074</v>
      </c>
      <c r="J65" s="55">
        <f t="shared" si="11"/>
        <v>0.30752005891409351</v>
      </c>
      <c r="K65" s="55">
        <f t="shared" si="11"/>
        <v>0.30678036697092548</v>
      </c>
      <c r="L65" s="55">
        <f t="shared" si="11"/>
        <v>0.30753942236527271</v>
      </c>
      <c r="M65" s="55">
        <f t="shared" si="11"/>
        <v>0.31018272614620579</v>
      </c>
      <c r="N65" s="56">
        <f t="shared" si="11"/>
        <v>0.315843284300169</v>
      </c>
      <c r="O65" s="35"/>
      <c r="P65" s="35"/>
      <c r="Q65" s="35"/>
      <c r="R65" s="35"/>
      <c r="S65" s="35"/>
      <c r="T65" s="35"/>
      <c r="U65" s="35"/>
    </row>
    <row r="66" spans="1:21" x14ac:dyDescent="0.2">
      <c r="A66" s="35" t="s">
        <v>97</v>
      </c>
      <c r="B66" s="39" t="s">
        <v>110</v>
      </c>
      <c r="C66" s="33" t="s">
        <v>11</v>
      </c>
      <c r="D66" s="54">
        <f t="shared" si="11"/>
        <v>8.4704021604370808E-2</v>
      </c>
      <c r="E66" s="55">
        <f t="shared" si="11"/>
        <v>8.9391683319899509E-2</v>
      </c>
      <c r="F66" s="55">
        <f t="shared" si="11"/>
        <v>9.4801632296901084E-2</v>
      </c>
      <c r="G66" s="55">
        <f t="shared" si="11"/>
        <v>0.10105626206964059</v>
      </c>
      <c r="H66" s="55">
        <f t="shared" si="11"/>
        <v>0.10830897090786318</v>
      </c>
      <c r="I66" s="55">
        <f t="shared" si="11"/>
        <v>0.1167550256243515</v>
      </c>
      <c r="J66" s="55">
        <f t="shared" si="11"/>
        <v>0.12664734221783142</v>
      </c>
      <c r="K66" s="55">
        <f t="shared" si="11"/>
        <v>0.1383199841037285</v>
      </c>
      <c r="L66" s="55">
        <f t="shared" si="11"/>
        <v>0.15222416327773594</v>
      </c>
      <c r="M66" s="55">
        <f t="shared" si="11"/>
        <v>0.16898525034458101</v>
      </c>
      <c r="N66" s="56">
        <f t="shared" si="11"/>
        <v>0.1924609221992841</v>
      </c>
      <c r="O66" s="35"/>
      <c r="P66" s="35"/>
      <c r="Q66" s="35"/>
      <c r="R66" s="35"/>
      <c r="S66" s="35"/>
      <c r="T66" s="35"/>
      <c r="U66" s="35"/>
    </row>
    <row r="67" spans="1:21" x14ac:dyDescent="0.2">
      <c r="A67" s="35" t="s">
        <v>97</v>
      </c>
      <c r="B67" s="40" t="s">
        <v>107</v>
      </c>
      <c r="C67" s="41" t="s">
        <v>11</v>
      </c>
      <c r="D67" s="57">
        <f t="shared" si="11"/>
        <v>5.2171713568781364E-2</v>
      </c>
      <c r="E67" s="58">
        <f t="shared" si="11"/>
        <v>5.2678852309361292E-2</v>
      </c>
      <c r="F67" s="58">
        <f t="shared" si="11"/>
        <v>5.329360670917524E-2</v>
      </c>
      <c r="G67" s="58">
        <f t="shared" si="11"/>
        <v>5.4038243922401308E-2</v>
      </c>
      <c r="H67" s="58">
        <f t="shared" si="11"/>
        <v>5.4940720865543968E-2</v>
      </c>
      <c r="I67" s="58">
        <f t="shared" si="11"/>
        <v>5.6036655306678639E-2</v>
      </c>
      <c r="J67" s="58">
        <f t="shared" si="11"/>
        <v>5.7372188590650373E-2</v>
      </c>
      <c r="K67" s="58">
        <f t="shared" si="11"/>
        <v>5.9008248136821699E-2</v>
      </c>
      <c r="L67" s="58">
        <f t="shared" si="11"/>
        <v>6.1027077919814945E-2</v>
      </c>
      <c r="M67" s="58">
        <f t="shared" si="11"/>
        <v>6.3542580182218186E-2</v>
      </c>
      <c r="N67" s="59">
        <f t="shared" si="11"/>
        <v>6.6239242122941397E-2</v>
      </c>
      <c r="O67" s="35"/>
      <c r="P67" s="35"/>
      <c r="Q67" s="35"/>
      <c r="R67" s="35"/>
      <c r="S67" s="35"/>
      <c r="T67" s="35"/>
      <c r="U67" s="35"/>
    </row>
    <row r="68" spans="1:21" x14ac:dyDescent="0.2">
      <c r="A68" s="35" t="s">
        <v>97</v>
      </c>
      <c r="B68" s="35" t="s">
        <v>97</v>
      </c>
      <c r="C68" s="35" t="s">
        <v>97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</row>
    <row r="69" spans="1:21" x14ac:dyDescent="0.2">
      <c r="A69" s="35" t="s">
        <v>97</v>
      </c>
      <c r="B69" s="35" t="s">
        <v>97</v>
      </c>
      <c r="C69" s="35" t="s">
        <v>97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</row>
    <row r="70" spans="1:21" x14ac:dyDescent="0.2">
      <c r="A70" s="32" t="s">
        <v>133</v>
      </c>
      <c r="B70" t="s">
        <v>97</v>
      </c>
      <c r="C70" t="s">
        <v>97</v>
      </c>
      <c r="D70" s="32">
        <v>2025</v>
      </c>
      <c r="E70" s="32">
        <f>D70+1</f>
        <v>2026</v>
      </c>
      <c r="F70" s="32">
        <f t="shared" ref="F70:K70" si="12">E70+1</f>
        <v>2027</v>
      </c>
      <c r="G70" s="32">
        <f t="shared" si="12"/>
        <v>2028</v>
      </c>
      <c r="H70" s="32">
        <f t="shared" si="12"/>
        <v>2029</v>
      </c>
      <c r="I70" s="32">
        <f t="shared" si="12"/>
        <v>2030</v>
      </c>
      <c r="J70" s="32">
        <f t="shared" si="12"/>
        <v>2031</v>
      </c>
      <c r="K70" s="32">
        <f t="shared" si="12"/>
        <v>2032</v>
      </c>
      <c r="L70" s="32">
        <f>K70+1</f>
        <v>2033</v>
      </c>
      <c r="M70" s="32">
        <f t="shared" ref="M70:N70" si="13">L70+1</f>
        <v>2034</v>
      </c>
      <c r="N70" s="32">
        <f t="shared" si="13"/>
        <v>2035</v>
      </c>
      <c r="O70" s="35"/>
      <c r="P70" s="35"/>
      <c r="Q70" s="35"/>
      <c r="R70" s="35"/>
      <c r="S70" s="35"/>
      <c r="T70" s="35"/>
      <c r="U70" s="35"/>
    </row>
    <row r="71" spans="1:21" x14ac:dyDescent="0.2">
      <c r="A71" s="35" t="s">
        <v>97</v>
      </c>
      <c r="B71" s="37" t="s">
        <v>64</v>
      </c>
      <c r="C71" s="38" t="s">
        <v>11</v>
      </c>
      <c r="D71" s="51">
        <f>D10/D$9</f>
        <v>0.32969593139512221</v>
      </c>
      <c r="E71" s="52">
        <f t="shared" ref="E71:N71" si="14">E10/E$9</f>
        <v>0.31998312406506818</v>
      </c>
      <c r="F71" s="52">
        <f t="shared" si="14"/>
        <v>0.30915849341560792</v>
      </c>
      <c r="G71" s="52">
        <f t="shared" si="14"/>
        <v>0.29712179204470202</v>
      </c>
      <c r="H71" s="52">
        <f t="shared" si="14"/>
        <v>0.2837628590946959</v>
      </c>
      <c r="I71" s="52">
        <f t="shared" si="14"/>
        <v>0.26896066313402639</v>
      </c>
      <c r="J71" s="52">
        <f t="shared" si="14"/>
        <v>0.25258225236627041</v>
      </c>
      <c r="K71" s="52">
        <f t="shared" si="14"/>
        <v>0.23448160322529421</v>
      </c>
      <c r="L71" s="52">
        <f t="shared" si="14"/>
        <v>0.21449835755462049</v>
      </c>
      <c r="M71" s="52">
        <f t="shared" si="14"/>
        <v>0.19245643762590689</v>
      </c>
      <c r="N71" s="53">
        <f t="shared" si="14"/>
        <v>0.16816252721770072</v>
      </c>
      <c r="O71" s="35"/>
      <c r="P71" s="35"/>
      <c r="Q71" s="35"/>
      <c r="R71" s="35"/>
      <c r="S71" s="35"/>
      <c r="T71" s="35"/>
      <c r="U71" s="35"/>
    </row>
    <row r="72" spans="1:21" x14ac:dyDescent="0.2">
      <c r="A72" s="35" t="s">
        <v>97</v>
      </c>
      <c r="B72" s="39" t="s">
        <v>63</v>
      </c>
      <c r="C72" s="33" t="s">
        <v>11</v>
      </c>
      <c r="D72" s="54">
        <f t="shared" ref="D72:N78" si="15">D11/D$9</f>
        <v>0.22358273836692083</v>
      </c>
      <c r="E72" s="55">
        <f t="shared" si="15"/>
        <v>0.21998366861717122</v>
      </c>
      <c r="F72" s="55">
        <f t="shared" si="15"/>
        <v>0.21544867812687152</v>
      </c>
      <c r="G72" s="55">
        <f t="shared" si="15"/>
        <v>0.20987367864071838</v>
      </c>
      <c r="H72" s="55">
        <f t="shared" si="15"/>
        <v>0.20314319254901392</v>
      </c>
      <c r="I72" s="55">
        <f t="shared" si="15"/>
        <v>0.19512910665808447</v>
      </c>
      <c r="J72" s="55">
        <f t="shared" si="15"/>
        <v>0.18568929054768044</v>
      </c>
      <c r="K72" s="55">
        <f t="shared" si="15"/>
        <v>0.17466606485986871</v>
      </c>
      <c r="L72" s="55">
        <f t="shared" si="15"/>
        <v>0.16188450328418813</v>
      </c>
      <c r="M72" s="55">
        <f t="shared" si="15"/>
        <v>0.14715055025440307</v>
      </c>
      <c r="N72" s="56">
        <f t="shared" si="15"/>
        <v>0.13024893443488303</v>
      </c>
      <c r="O72" s="35"/>
      <c r="P72" s="35"/>
      <c r="Q72" s="35"/>
      <c r="R72" s="35"/>
      <c r="S72" s="35"/>
      <c r="T72" s="35"/>
      <c r="U72" s="35"/>
    </row>
    <row r="73" spans="1:21" x14ac:dyDescent="0.2">
      <c r="A73" s="35" t="s">
        <v>97</v>
      </c>
      <c r="B73" s="39" t="s">
        <v>21</v>
      </c>
      <c r="C73" s="33" t="s">
        <v>11</v>
      </c>
      <c r="D73" s="54">
        <f t="shared" si="15"/>
        <v>1.9439222059974812E-2</v>
      </c>
      <c r="E73" s="55">
        <f t="shared" si="15"/>
        <v>1.7816752559707563E-2</v>
      </c>
      <c r="F73" s="55">
        <f t="shared" si="15"/>
        <v>1.619265812712135E-2</v>
      </c>
      <c r="G73" s="55">
        <f t="shared" si="15"/>
        <v>1.4573714753147863E-2</v>
      </c>
      <c r="H73" s="55">
        <f t="shared" si="15"/>
        <v>1.2967753641780834E-2</v>
      </c>
      <c r="I73" s="55">
        <f t="shared" si="15"/>
        <v>1.1383814605983169E-2</v>
      </c>
      <c r="J73" s="55">
        <f t="shared" si="15"/>
        <v>9.8323194979441537E-3</v>
      </c>
      <c r="K73" s="55">
        <f t="shared" si="15"/>
        <v>8.3252681655303622E-3</v>
      </c>
      <c r="L73" s="55">
        <f t="shared" si="15"/>
        <v>6.8764597260362595E-3</v>
      </c>
      <c r="M73" s="55">
        <f t="shared" si="15"/>
        <v>5.5017422826799259E-3</v>
      </c>
      <c r="N73" s="56">
        <f t="shared" si="15"/>
        <v>4.2192945827430059E-3</v>
      </c>
      <c r="O73" s="35"/>
      <c r="P73" s="35"/>
      <c r="Q73" s="35"/>
      <c r="R73" s="35"/>
      <c r="S73" s="35"/>
      <c r="T73" s="35"/>
      <c r="U73" s="35"/>
    </row>
    <row r="74" spans="1:21" x14ac:dyDescent="0.2">
      <c r="A74" s="35" t="s">
        <v>97</v>
      </c>
      <c r="B74" s="39" t="s">
        <v>104</v>
      </c>
      <c r="C74" s="33" t="s">
        <v>11</v>
      </c>
      <c r="D74" s="54">
        <f t="shared" si="15"/>
        <v>8.1912569287924328E-2</v>
      </c>
      <c r="E74" s="55">
        <f t="shared" si="15"/>
        <v>9.8384660852149322E-2</v>
      </c>
      <c r="F74" s="55">
        <f t="shared" si="15"/>
        <v>0.11714060694235381</v>
      </c>
      <c r="G74" s="55">
        <f t="shared" si="15"/>
        <v>0.13836132557787192</v>
      </c>
      <c r="H74" s="55">
        <f t="shared" si="15"/>
        <v>0.16224882226140427</v>
      </c>
      <c r="I74" s="55">
        <f t="shared" si="15"/>
        <v>0.18902820248227564</v>
      </c>
      <c r="J74" s="55">
        <f t="shared" si="15"/>
        <v>0.21894989383711025</v>
      </c>
      <c r="K74" s="55">
        <f t="shared" si="15"/>
        <v>0.25229209880984294</v>
      </c>
      <c r="L74" s="55">
        <f t="shared" si="15"/>
        <v>0.28936350139656097</v>
      </c>
      <c r="M74" s="55">
        <f t="shared" si="15"/>
        <v>0.33050625312137077</v>
      </c>
      <c r="N74" s="56">
        <f t="shared" si="15"/>
        <v>0.37609926658933746</v>
      </c>
      <c r="O74" s="35"/>
      <c r="P74" s="35"/>
      <c r="Q74" s="35"/>
      <c r="R74" s="35"/>
      <c r="S74" s="35"/>
      <c r="T74" s="35"/>
      <c r="U74" s="35"/>
    </row>
    <row r="75" spans="1:21" x14ac:dyDescent="0.2">
      <c r="A75" s="35" t="s">
        <v>97</v>
      </c>
      <c r="B75" s="39" t="s">
        <v>105</v>
      </c>
      <c r="C75" s="33" t="s">
        <v>11</v>
      </c>
      <c r="D75" s="54">
        <f t="shared" si="15"/>
        <v>8.3803446291273911E-2</v>
      </c>
      <c r="E75" s="55">
        <f t="shared" si="15"/>
        <v>8.694285129234787E-2</v>
      </c>
      <c r="F75" s="55">
        <f t="shared" si="15"/>
        <v>8.9774095903182041E-2</v>
      </c>
      <c r="G75" s="55">
        <f t="shared" si="15"/>
        <v>9.2314431820802303E-2</v>
      </c>
      <c r="H75" s="55">
        <f t="shared" si="15"/>
        <v>9.4580296357794788E-2</v>
      </c>
      <c r="I75" s="55">
        <f t="shared" si="15"/>
        <v>9.6587347793258102E-2</v>
      </c>
      <c r="J75" s="55">
        <f t="shared" si="15"/>
        <v>9.8350499264159716E-2</v>
      </c>
      <c r="K75" s="55">
        <f t="shared" si="15"/>
        <v>9.9883951255387543E-2</v>
      </c>
      <c r="L75" s="55">
        <f t="shared" si="15"/>
        <v>0.10120122274451444</v>
      </c>
      <c r="M75" s="55">
        <f t="shared" si="15"/>
        <v>0.10231518105510734</v>
      </c>
      <c r="N75" s="56">
        <f t="shared" si="15"/>
        <v>0.10323807047030992</v>
      </c>
      <c r="O75" s="35"/>
      <c r="P75" s="35"/>
      <c r="Q75" s="35"/>
      <c r="R75" s="35"/>
      <c r="S75" s="35"/>
      <c r="T75" s="35"/>
      <c r="U75" s="35"/>
    </row>
    <row r="76" spans="1:21" x14ac:dyDescent="0.2">
      <c r="A76" s="35" t="s">
        <v>97</v>
      </c>
      <c r="B76" s="39" t="s">
        <v>53</v>
      </c>
      <c r="C76" s="33" t="s">
        <v>11</v>
      </c>
      <c r="D76" s="54">
        <f t="shared" si="15"/>
        <v>2.5113984206422645E-2</v>
      </c>
      <c r="E76" s="55">
        <f t="shared" si="15"/>
        <v>2.4862052836766436E-2</v>
      </c>
      <c r="F76" s="55">
        <f t="shared" si="15"/>
        <v>2.4598441191798062E-2</v>
      </c>
      <c r="G76" s="55">
        <f t="shared" si="15"/>
        <v>2.4324227338099417E-2</v>
      </c>
      <c r="H76" s="55">
        <f t="shared" si="15"/>
        <v>2.4040429786522655E-2</v>
      </c>
      <c r="I76" s="55">
        <f t="shared" si="15"/>
        <v>2.3748010287290233E-2</v>
      </c>
      <c r="J76" s="55">
        <f t="shared" si="15"/>
        <v>2.3447876504159373E-2</v>
      </c>
      <c r="K76" s="55">
        <f t="shared" si="15"/>
        <v>2.314088457263383E-2</v>
      </c>
      <c r="L76" s="55">
        <f t="shared" si="15"/>
        <v>2.2827841547007077E-2</v>
      </c>
      <c r="M76" s="55">
        <f t="shared" si="15"/>
        <v>2.2509507740830183E-2</v>
      </c>
      <c r="N76" s="56">
        <f t="shared" si="15"/>
        <v>2.2186598965214036E-2</v>
      </c>
      <c r="O76" s="35"/>
      <c r="P76" s="35"/>
      <c r="Q76" s="35"/>
      <c r="R76" s="35"/>
      <c r="S76" s="35"/>
      <c r="T76" s="35"/>
      <c r="U76" s="35"/>
    </row>
    <row r="77" spans="1:21" x14ac:dyDescent="0.2">
      <c r="A77" s="35" t="s">
        <v>97</v>
      </c>
      <c r="B77" s="39" t="s">
        <v>106</v>
      </c>
      <c r="C77" s="33" t="s">
        <v>11</v>
      </c>
      <c r="D77" s="54">
        <f t="shared" si="15"/>
        <v>0.13943785596970296</v>
      </c>
      <c r="E77" s="55">
        <f t="shared" si="15"/>
        <v>0.13647395951430832</v>
      </c>
      <c r="F77" s="55">
        <f t="shared" si="15"/>
        <v>0.13357306375651626</v>
      </c>
      <c r="G77" s="55">
        <f t="shared" si="15"/>
        <v>0.13073382955106372</v>
      </c>
      <c r="H77" s="55">
        <f t="shared" si="15"/>
        <v>0.12795494621761114</v>
      </c>
      <c r="I77" s="55">
        <f t="shared" si="15"/>
        <v>0.12523513093569089</v>
      </c>
      <c r="J77" s="55">
        <f t="shared" si="15"/>
        <v>0.12257312815251678</v>
      </c>
      <c r="K77" s="55">
        <f t="shared" si="15"/>
        <v>0.11996770900338116</v>
      </c>
      <c r="L77" s="55">
        <f t="shared" si="15"/>
        <v>0.11741767074437209</v>
      </c>
      <c r="M77" s="55">
        <f t="shared" si="15"/>
        <v>0.11492183619714871</v>
      </c>
      <c r="N77" s="56">
        <f t="shared" si="15"/>
        <v>0.11247905320551851</v>
      </c>
      <c r="O77" s="35"/>
      <c r="P77" s="35"/>
      <c r="Q77" s="35"/>
      <c r="R77" s="35"/>
      <c r="S77" s="35"/>
      <c r="T77" s="35"/>
      <c r="U77" s="35"/>
    </row>
    <row r="78" spans="1:21" x14ac:dyDescent="0.2">
      <c r="A78" t="s">
        <v>97</v>
      </c>
      <c r="B78" s="40" t="s">
        <v>107</v>
      </c>
      <c r="C78" s="41" t="s">
        <v>11</v>
      </c>
      <c r="D78" s="57">
        <f t="shared" si="15"/>
        <v>8.8835016787842475E-2</v>
      </c>
      <c r="E78" s="58">
        <f t="shared" si="15"/>
        <v>8.7547552776424481E-2</v>
      </c>
      <c r="F78" s="58">
        <f t="shared" si="15"/>
        <v>8.6278747663722691E-2</v>
      </c>
      <c r="G78" s="58">
        <f t="shared" si="15"/>
        <v>8.5028331030915116E-2</v>
      </c>
      <c r="H78" s="58">
        <f t="shared" si="15"/>
        <v>8.3796036378293165E-2</v>
      </c>
      <c r="I78" s="58">
        <f t="shared" si="15"/>
        <v>8.2581601068462837E-2</v>
      </c>
      <c r="J78" s="58">
        <f t="shared" si="15"/>
        <v>8.1384766270369183E-2</v>
      </c>
      <c r="K78" s="58">
        <f t="shared" si="15"/>
        <v>8.0205276904131956E-2</v>
      </c>
      <c r="L78" s="58">
        <f t="shared" si="15"/>
        <v>7.9042881586680783E-2</v>
      </c>
      <c r="M78" s="58">
        <f t="shared" si="15"/>
        <v>7.7897332578178172E-2</v>
      </c>
      <c r="N78" s="59">
        <f t="shared" si="15"/>
        <v>7.6768385729219069E-2</v>
      </c>
    </row>
    <row r="79" spans="1:21" x14ac:dyDescent="0.2">
      <c r="A79" t="s">
        <v>97</v>
      </c>
      <c r="B79" t="s">
        <v>97</v>
      </c>
      <c r="C79" t="s">
        <v>97</v>
      </c>
      <c r="D79" s="9"/>
    </row>
    <row r="80" spans="1:21" x14ac:dyDescent="0.2">
      <c r="A80" t="s">
        <v>97</v>
      </c>
      <c r="B80" t="s">
        <v>97</v>
      </c>
      <c r="C80" t="s">
        <v>97</v>
      </c>
    </row>
    <row r="81" spans="1:14" x14ac:dyDescent="0.2">
      <c r="A81" s="32" t="s">
        <v>134</v>
      </c>
      <c r="B81" t="s">
        <v>97</v>
      </c>
      <c r="C81" s="34" t="s">
        <v>97</v>
      </c>
      <c r="D81" s="68">
        <v>2025</v>
      </c>
      <c r="E81" s="68">
        <f>D81+1</f>
        <v>2026</v>
      </c>
      <c r="F81" s="68">
        <f t="shared" ref="F81:K81" si="16">E81+1</f>
        <v>2027</v>
      </c>
      <c r="G81" s="68">
        <f t="shared" si="16"/>
        <v>2028</v>
      </c>
      <c r="H81" s="68">
        <f t="shared" si="16"/>
        <v>2029</v>
      </c>
      <c r="I81" s="68">
        <f t="shared" si="16"/>
        <v>2030</v>
      </c>
      <c r="J81" s="68">
        <f t="shared" si="16"/>
        <v>2031</v>
      </c>
      <c r="K81" s="68">
        <f t="shared" si="16"/>
        <v>2032</v>
      </c>
      <c r="L81" s="68">
        <f>K81+1</f>
        <v>2033</v>
      </c>
      <c r="M81" s="68">
        <f t="shared" ref="M81:N81" si="17">L81+1</f>
        <v>2034</v>
      </c>
      <c r="N81" s="68">
        <f t="shared" si="17"/>
        <v>2035</v>
      </c>
    </row>
    <row r="82" spans="1:14" x14ac:dyDescent="0.2">
      <c r="A82" t="s">
        <v>97</v>
      </c>
      <c r="B82" s="37" t="s">
        <v>40</v>
      </c>
      <c r="C82" s="71" t="s">
        <v>20</v>
      </c>
      <c r="D82" s="60">
        <f>SUM(D83:D87)</f>
        <v>39.785025880463223</v>
      </c>
      <c r="E82" s="61">
        <f t="shared" ref="E82:N82" si="18">SUM(E83:E87)</f>
        <v>39.910317840099864</v>
      </c>
      <c r="F82" s="61">
        <f t="shared" si="18"/>
        <v>39.916896195562074</v>
      </c>
      <c r="G82" s="61">
        <f t="shared" si="18"/>
        <v>39.783314087842278</v>
      </c>
      <c r="H82" s="61">
        <f t="shared" si="18"/>
        <v>39.484879459002769</v>
      </c>
      <c r="I82" s="61">
        <f t="shared" si="18"/>
        <v>38.993188052195762</v>
      </c>
      <c r="J82" s="61">
        <f t="shared" si="18"/>
        <v>38.275590061113334</v>
      </c>
      <c r="K82" s="61">
        <f t="shared" si="18"/>
        <v>37.294581033003844</v>
      </c>
      <c r="L82" s="61">
        <f t="shared" si="18"/>
        <v>36.007106300084963</v>
      </c>
      <c r="M82" s="61">
        <f t="shared" si="18"/>
        <v>34.363766696867089</v>
      </c>
      <c r="N82" s="62">
        <f t="shared" si="18"/>
        <v>32.430963313128132</v>
      </c>
    </row>
    <row r="83" spans="1:14" x14ac:dyDescent="0.2">
      <c r="A83" t="s">
        <v>97</v>
      </c>
      <c r="B83" s="39" t="s">
        <v>64</v>
      </c>
      <c r="C83" s="34" t="s">
        <v>20</v>
      </c>
      <c r="D83" s="63">
        <f t="shared" ref="D83:N87" si="19">D21*$C91/1000</f>
        <v>16.08748939949577</v>
      </c>
      <c r="E83" s="21">
        <f t="shared" si="19"/>
        <v>16.160028038391648</v>
      </c>
      <c r="F83" s="21">
        <f t="shared" si="19"/>
        <v>16.159821816472618</v>
      </c>
      <c r="G83" s="21">
        <f t="shared" si="19"/>
        <v>16.074232329616148</v>
      </c>
      <c r="H83" s="21">
        <f t="shared" si="19"/>
        <v>15.888819683815584</v>
      </c>
      <c r="I83" s="21">
        <f t="shared" si="19"/>
        <v>15.587095698278597</v>
      </c>
      <c r="J83" s="21">
        <f t="shared" si="19"/>
        <v>15.15024361821072</v>
      </c>
      <c r="K83" s="21">
        <f t="shared" si="19"/>
        <v>14.556799806226767</v>
      </c>
      <c r="L83" s="21">
        <f t="shared" si="19"/>
        <v>13.782292269304536</v>
      </c>
      <c r="M83" s="21">
        <f t="shared" si="19"/>
        <v>12.798830183614708</v>
      </c>
      <c r="N83" s="64">
        <f t="shared" si="19"/>
        <v>11.574637791309272</v>
      </c>
    </row>
    <row r="84" spans="1:14" x14ac:dyDescent="0.2">
      <c r="A84" t="s">
        <v>97</v>
      </c>
      <c r="B84" s="39" t="s">
        <v>63</v>
      </c>
      <c r="C84" s="34" t="s">
        <v>20</v>
      </c>
      <c r="D84" s="63">
        <f t="shared" si="19"/>
        <v>8.749273549932969</v>
      </c>
      <c r="E84" s="21">
        <f t="shared" si="19"/>
        <v>8.9097294051564937</v>
      </c>
      <c r="F84" s="21">
        <f t="shared" si="19"/>
        <v>9.0314661315377283</v>
      </c>
      <c r="G84" s="21">
        <f t="shared" si="19"/>
        <v>9.105687643665652</v>
      </c>
      <c r="H84" s="21">
        <f t="shared" si="19"/>
        <v>9.1221539391124065</v>
      </c>
      <c r="I84" s="21">
        <f t="shared" si="19"/>
        <v>9.068960899119487</v>
      </c>
      <c r="J84" s="21">
        <f t="shared" si="19"/>
        <v>8.9322872289571595</v>
      </c>
      <c r="K84" s="21">
        <f t="shared" si="19"/>
        <v>8.6961036731527273</v>
      </c>
      <c r="L84" s="21">
        <f t="shared" si="19"/>
        <v>8.3418389235044046</v>
      </c>
      <c r="M84" s="21">
        <f t="shared" si="19"/>
        <v>7.8479958150621609</v>
      </c>
      <c r="N84" s="64">
        <f t="shared" si="19"/>
        <v>7.1897104615975111</v>
      </c>
    </row>
    <row r="85" spans="1:14" x14ac:dyDescent="0.2">
      <c r="A85" t="s">
        <v>97</v>
      </c>
      <c r="B85" s="39" t="s">
        <v>21</v>
      </c>
      <c r="C85" s="34" t="s">
        <v>20</v>
      </c>
      <c r="D85" s="63">
        <f t="shared" si="19"/>
        <v>14.948262931034481</v>
      </c>
      <c r="E85" s="21">
        <f t="shared" si="19"/>
        <v>14.840560396551721</v>
      </c>
      <c r="F85" s="21">
        <f t="shared" si="19"/>
        <v>14.725608247551722</v>
      </c>
      <c r="G85" s="21">
        <f t="shared" si="19"/>
        <v>14.60339411456048</v>
      </c>
      <c r="H85" s="21">
        <f t="shared" si="19"/>
        <v>14.473905836074774</v>
      </c>
      <c r="I85" s="21">
        <f t="shared" si="19"/>
        <v>14.337131454797682</v>
      </c>
      <c r="J85" s="21">
        <f t="shared" si="19"/>
        <v>14.193059213945457</v>
      </c>
      <c r="K85" s="21">
        <f t="shared" si="19"/>
        <v>14.04167755362435</v>
      </c>
      <c r="L85" s="21">
        <f t="shared" si="19"/>
        <v>13.882975107276025</v>
      </c>
      <c r="M85" s="21">
        <f t="shared" si="19"/>
        <v>13.716940698190223</v>
      </c>
      <c r="N85" s="64">
        <f t="shared" si="19"/>
        <v>13.666615060221352</v>
      </c>
    </row>
    <row r="86" spans="1:14" x14ac:dyDescent="0.2">
      <c r="A86" t="s">
        <v>97</v>
      </c>
      <c r="B86" s="39" t="s">
        <v>110</v>
      </c>
      <c r="C86" s="34" t="s">
        <v>20</v>
      </c>
      <c r="D86" s="63">
        <f t="shared" si="19"/>
        <v>0</v>
      </c>
      <c r="E86" s="21">
        <f t="shared" si="19"/>
        <v>0</v>
      </c>
      <c r="F86" s="21">
        <f t="shared" si="19"/>
        <v>0</v>
      </c>
      <c r="G86" s="21">
        <f t="shared" si="19"/>
        <v>0</v>
      </c>
      <c r="H86" s="21">
        <f t="shared" si="19"/>
        <v>0</v>
      </c>
      <c r="I86" s="21">
        <f t="shared" si="19"/>
        <v>0</v>
      </c>
      <c r="J86" s="21">
        <f t="shared" si="19"/>
        <v>0</v>
      </c>
      <c r="K86" s="21">
        <f t="shared" si="19"/>
        <v>0</v>
      </c>
      <c r="L86" s="21">
        <f t="shared" si="19"/>
        <v>0</v>
      </c>
      <c r="M86" s="21">
        <f t="shared" si="19"/>
        <v>0</v>
      </c>
      <c r="N86" s="64">
        <f t="shared" si="19"/>
        <v>0</v>
      </c>
    </row>
    <row r="87" spans="1:14" x14ac:dyDescent="0.2">
      <c r="A87" t="s">
        <v>97</v>
      </c>
      <c r="B87" s="40" t="s">
        <v>107</v>
      </c>
      <c r="C87" s="72" t="s">
        <v>20</v>
      </c>
      <c r="D87" s="65">
        <f t="shared" si="19"/>
        <v>0</v>
      </c>
      <c r="E87" s="66">
        <f t="shared" si="19"/>
        <v>0</v>
      </c>
      <c r="F87" s="66">
        <f t="shared" si="19"/>
        <v>0</v>
      </c>
      <c r="G87" s="66">
        <f t="shared" si="19"/>
        <v>0</v>
      </c>
      <c r="H87" s="66">
        <f t="shared" si="19"/>
        <v>0</v>
      </c>
      <c r="I87" s="66">
        <f t="shared" si="19"/>
        <v>0</v>
      </c>
      <c r="J87" s="66">
        <f t="shared" si="19"/>
        <v>0</v>
      </c>
      <c r="K87" s="66">
        <f t="shared" si="19"/>
        <v>0</v>
      </c>
      <c r="L87" s="66">
        <f t="shared" si="19"/>
        <v>0</v>
      </c>
      <c r="M87" s="66">
        <f t="shared" si="19"/>
        <v>0</v>
      </c>
      <c r="N87" s="67">
        <f t="shared" si="19"/>
        <v>0</v>
      </c>
    </row>
    <row r="90" spans="1:14" x14ac:dyDescent="0.2">
      <c r="A90" t="s">
        <v>137</v>
      </c>
    </row>
    <row r="91" spans="1:14" x14ac:dyDescent="0.2">
      <c r="B91" s="39" t="str">
        <f>B63</f>
        <v>Coal</v>
      </c>
      <c r="C91">
        <v>97</v>
      </c>
      <c r="D91" t="s">
        <v>94</v>
      </c>
    </row>
    <row r="92" spans="1:14" x14ac:dyDescent="0.2">
      <c r="B92" s="39" t="str">
        <f t="shared" ref="B92:B95" si="20">B64</f>
        <v>Gas</v>
      </c>
      <c r="C92">
        <v>57</v>
      </c>
      <c r="D92" t="s">
        <v>94</v>
      </c>
    </row>
    <row r="93" spans="1:14" x14ac:dyDescent="0.2">
      <c r="B93" s="39" t="str">
        <f t="shared" si="20"/>
        <v>Oil</v>
      </c>
      <c r="C93">
        <v>75</v>
      </c>
      <c r="D93" t="s">
        <v>94</v>
      </c>
    </row>
    <row r="94" spans="1:14" x14ac:dyDescent="0.2">
      <c r="B94" s="39" t="str">
        <f t="shared" si="20"/>
        <v>Renewable</v>
      </c>
      <c r="C94">
        <v>0</v>
      </c>
    </row>
    <row r="95" spans="1:14" x14ac:dyDescent="0.2">
      <c r="B95" s="39" t="str">
        <f t="shared" si="20"/>
        <v>Nuclear</v>
      </c>
      <c r="C9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A6A2-4A6E-CA43-9932-6566B02FFF14}">
  <dimension ref="B3:AC97"/>
  <sheetViews>
    <sheetView workbookViewId="0">
      <pane xSplit="3" ySplit="5" topLeftCell="H37" activePane="bottomRight" state="frozen"/>
      <selection pane="topRight" activeCell="D1" sqref="D1"/>
      <selection pane="bottomLeft" activeCell="A6" sqref="A6"/>
      <selection pane="bottomRight" activeCell="P44" sqref="P44"/>
    </sheetView>
  </sheetViews>
  <sheetFormatPr baseColWidth="10" defaultRowHeight="16" x14ac:dyDescent="0.2"/>
  <cols>
    <col min="13" max="24" width="12.6640625" bestFit="1" customWidth="1"/>
    <col min="26" max="26" width="8" customWidth="1"/>
  </cols>
  <sheetData>
    <row r="3" spans="2:29" x14ac:dyDescent="0.2">
      <c r="B3" t="s">
        <v>10</v>
      </c>
    </row>
    <row r="5" spans="2:29" x14ac:dyDescent="0.2">
      <c r="D5">
        <v>2015</v>
      </c>
      <c r="E5">
        <f t="shared" ref="E5:N5" si="0">D5+1</f>
        <v>2016</v>
      </c>
      <c r="F5">
        <f t="shared" si="0"/>
        <v>2017</v>
      </c>
      <c r="G5">
        <f t="shared" si="0"/>
        <v>2018</v>
      </c>
      <c r="H5">
        <f t="shared" si="0"/>
        <v>2019</v>
      </c>
      <c r="I5">
        <f t="shared" si="0"/>
        <v>2020</v>
      </c>
      <c r="J5">
        <f t="shared" si="0"/>
        <v>2021</v>
      </c>
      <c r="K5">
        <f t="shared" si="0"/>
        <v>2022</v>
      </c>
      <c r="L5">
        <f t="shared" si="0"/>
        <v>2023</v>
      </c>
      <c r="M5">
        <f t="shared" si="0"/>
        <v>2024</v>
      </c>
      <c r="N5">
        <f t="shared" si="0"/>
        <v>2025</v>
      </c>
      <c r="O5">
        <f t="shared" ref="O5:X5" si="1">N5+1</f>
        <v>2026</v>
      </c>
      <c r="P5">
        <f t="shared" si="1"/>
        <v>2027</v>
      </c>
      <c r="Q5">
        <f t="shared" si="1"/>
        <v>2028</v>
      </c>
      <c r="R5">
        <f t="shared" si="1"/>
        <v>2029</v>
      </c>
      <c r="S5">
        <f t="shared" si="1"/>
        <v>2030</v>
      </c>
      <c r="T5">
        <f t="shared" si="1"/>
        <v>2031</v>
      </c>
      <c r="U5">
        <f t="shared" si="1"/>
        <v>2032</v>
      </c>
      <c r="V5">
        <f t="shared" si="1"/>
        <v>2033</v>
      </c>
      <c r="W5">
        <f t="shared" si="1"/>
        <v>2034</v>
      </c>
      <c r="X5">
        <f t="shared" si="1"/>
        <v>2035</v>
      </c>
    </row>
    <row r="6" spans="2:29" x14ac:dyDescent="0.2">
      <c r="B6" t="s">
        <v>9</v>
      </c>
      <c r="C6" t="s">
        <v>11</v>
      </c>
      <c r="D6" s="4"/>
      <c r="E6" s="7">
        <f>E20/D20-1</f>
        <v>2.7713421006539063E-2</v>
      </c>
      <c r="F6" s="7">
        <f t="shared" ref="F6:M6" si="2">F20/E20-1</f>
        <v>3.013146749538631E-2</v>
      </c>
      <c r="G6" s="7">
        <f t="shared" si="2"/>
        <v>4.0675813873887856E-2</v>
      </c>
      <c r="H6" s="7">
        <f t="shared" si="2"/>
        <v>1.3525673840229402E-2</v>
      </c>
      <c r="I6" s="7">
        <f t="shared" si="2"/>
        <v>-4.4988863346661079E-3</v>
      </c>
      <c r="J6" s="7">
        <f t="shared" si="2"/>
        <v>5.6522486660378624E-2</v>
      </c>
      <c r="K6" s="7">
        <f t="shared" si="2"/>
        <v>2.3120357369835531E-2</v>
      </c>
      <c r="L6" s="7">
        <f t="shared" si="2"/>
        <v>2.6010956656874251E-2</v>
      </c>
      <c r="M6" s="7">
        <f t="shared" si="2"/>
        <v>4.3142357830962208E-2</v>
      </c>
      <c r="N6" s="8">
        <f>ana!E4</f>
        <v>3.5000000000000003E-2</v>
      </c>
      <c r="O6" s="8">
        <f>N6</f>
        <v>3.5000000000000003E-2</v>
      </c>
      <c r="P6" s="8">
        <f t="shared" ref="P6:X6" si="3">O6</f>
        <v>3.5000000000000003E-2</v>
      </c>
      <c r="Q6" s="8">
        <f t="shared" si="3"/>
        <v>3.5000000000000003E-2</v>
      </c>
      <c r="R6" s="8">
        <f t="shared" si="3"/>
        <v>3.5000000000000003E-2</v>
      </c>
      <c r="S6" s="8">
        <f t="shared" si="3"/>
        <v>3.5000000000000003E-2</v>
      </c>
      <c r="T6" s="8">
        <f t="shared" si="3"/>
        <v>3.5000000000000003E-2</v>
      </c>
      <c r="U6" s="8">
        <f t="shared" si="3"/>
        <v>3.5000000000000003E-2</v>
      </c>
      <c r="V6" s="8">
        <f t="shared" si="3"/>
        <v>3.5000000000000003E-2</v>
      </c>
      <c r="W6" s="8">
        <f t="shared" si="3"/>
        <v>3.5000000000000003E-2</v>
      </c>
      <c r="X6" s="8">
        <f t="shared" si="3"/>
        <v>3.5000000000000003E-2</v>
      </c>
      <c r="Y6" s="8"/>
      <c r="Z6" s="8"/>
      <c r="AA6" s="8"/>
      <c r="AB6" s="8"/>
      <c r="AC6" s="8"/>
    </row>
    <row r="7" spans="2:29" x14ac:dyDescent="0.2">
      <c r="B7" t="s">
        <v>1</v>
      </c>
      <c r="C7" t="s">
        <v>11</v>
      </c>
      <c r="E7" s="7">
        <f t="shared" ref="E7:M14" si="4">E21/D21-1</f>
        <v>0.13265682375044952</v>
      </c>
      <c r="F7" s="7">
        <f t="shared" si="4"/>
        <v>0.1778271828546103</v>
      </c>
      <c r="G7" s="7">
        <f t="shared" si="4"/>
        <v>0.14172709632321467</v>
      </c>
      <c r="H7" s="7">
        <f t="shared" si="4"/>
        <v>0.12525130444845534</v>
      </c>
      <c r="I7" s="7">
        <f t="shared" si="4"/>
        <v>0.12973666462829181</v>
      </c>
      <c r="J7" s="7">
        <f t="shared" si="4"/>
        <v>0.16335857531488829</v>
      </c>
      <c r="K7" s="7">
        <f t="shared" si="4"/>
        <v>0.14752195535112089</v>
      </c>
      <c r="L7" s="7">
        <f t="shared" si="4"/>
        <v>0.13138480019787746</v>
      </c>
      <c r="M7" s="7">
        <f t="shared" si="4"/>
        <v>0.14117842696913763</v>
      </c>
      <c r="N7" s="8">
        <f>ana!E5</f>
        <v>0.14000000000000001</v>
      </c>
      <c r="O7" s="8">
        <f>N7</f>
        <v>0.14000000000000001</v>
      </c>
      <c r="P7" s="8">
        <f t="shared" ref="P7:X7" si="5">O7</f>
        <v>0.14000000000000001</v>
      </c>
      <c r="Q7" s="8">
        <f t="shared" si="5"/>
        <v>0.14000000000000001</v>
      </c>
      <c r="R7" s="8">
        <f t="shared" si="5"/>
        <v>0.14000000000000001</v>
      </c>
      <c r="S7" s="8">
        <f t="shared" si="5"/>
        <v>0.14000000000000001</v>
      </c>
      <c r="T7" s="8">
        <f t="shared" si="5"/>
        <v>0.14000000000000001</v>
      </c>
      <c r="U7" s="8">
        <f t="shared" si="5"/>
        <v>0.14000000000000001</v>
      </c>
      <c r="V7" s="8">
        <f t="shared" si="5"/>
        <v>0.14000000000000001</v>
      </c>
      <c r="W7" s="8">
        <f t="shared" si="5"/>
        <v>0.14000000000000001</v>
      </c>
      <c r="X7" s="8">
        <f t="shared" si="5"/>
        <v>0.14000000000000001</v>
      </c>
      <c r="Y7" s="9"/>
      <c r="Z7" s="9"/>
      <c r="AA7" s="9"/>
      <c r="AB7" s="9"/>
      <c r="AC7" s="9"/>
    </row>
    <row r="8" spans="2:29" x14ac:dyDescent="0.2">
      <c r="B8" t="s">
        <v>2</v>
      </c>
      <c r="C8" t="s">
        <v>11</v>
      </c>
      <c r="E8" s="7">
        <f t="shared" si="4"/>
        <v>3.5262402888778244E-2</v>
      </c>
      <c r="F8" s="7">
        <f t="shared" si="4"/>
        <v>1.3063822641755651E-2</v>
      </c>
      <c r="G8" s="7">
        <f t="shared" si="4"/>
        <v>2.953920366762941E-2</v>
      </c>
      <c r="H8" s="7">
        <f t="shared" si="4"/>
        <v>1.2899368840660674E-2</v>
      </c>
      <c r="I8" s="7">
        <f t="shared" si="4"/>
        <v>2.7459903372786254E-2</v>
      </c>
      <c r="J8" s="7">
        <f t="shared" si="4"/>
        <v>-1.5017256161402259E-2</v>
      </c>
      <c r="K8" s="7">
        <f t="shared" si="4"/>
        <v>9.5782760834810521E-3</v>
      </c>
      <c r="L8" s="7">
        <f t="shared" si="4"/>
        <v>-1.7080198828253623E-2</v>
      </c>
      <c r="M8" s="7">
        <f t="shared" si="4"/>
        <v>4.509907510413913E-2</v>
      </c>
      <c r="N8" s="8">
        <v>1.2999999999999999E-2</v>
      </c>
      <c r="O8" s="8">
        <v>1.2999999999999999E-2</v>
      </c>
      <c r="P8" s="8">
        <v>1.2999999999999999E-2</v>
      </c>
      <c r="Q8" s="8">
        <v>1.2999999999999999E-2</v>
      </c>
      <c r="R8" s="8">
        <v>1.2999999999999999E-2</v>
      </c>
      <c r="S8" s="8">
        <v>1.2999999999999999E-2</v>
      </c>
      <c r="T8" s="8">
        <v>1.2999999999999999E-2</v>
      </c>
      <c r="U8" s="8">
        <v>1.2999999999999999E-2</v>
      </c>
      <c r="V8" s="8">
        <v>1.2999999999999999E-2</v>
      </c>
      <c r="W8" s="8">
        <v>1.2999999999999999E-2</v>
      </c>
      <c r="X8" s="8">
        <v>1.2999999999999999E-2</v>
      </c>
      <c r="Y8" s="8"/>
      <c r="Z8" s="8"/>
      <c r="AA8" s="8"/>
      <c r="AB8" s="8"/>
      <c r="AC8" s="8"/>
    </row>
    <row r="9" spans="2:29" x14ac:dyDescent="0.2">
      <c r="B9" t="s">
        <v>3</v>
      </c>
      <c r="C9" t="s">
        <v>11</v>
      </c>
      <c r="E9" s="7">
        <f t="shared" si="4"/>
        <v>1.4877940300115355E-2</v>
      </c>
      <c r="F9" s="7">
        <f t="shared" si="4"/>
        <v>8.9321877773618219E-3</v>
      </c>
      <c r="G9" s="7">
        <f t="shared" si="4"/>
        <v>2.3975126814324454E-2</v>
      </c>
      <c r="H9" s="7">
        <f t="shared" si="4"/>
        <v>3.5379827881729664E-2</v>
      </c>
      <c r="I9" s="7">
        <f t="shared" si="4"/>
        <v>-3.8183908310762349E-2</v>
      </c>
      <c r="J9" s="7">
        <f t="shared" si="4"/>
        <v>4.2300232593770026E-2</v>
      </c>
      <c r="K9" s="7">
        <f t="shared" si="4"/>
        <v>-4.4005003472144533E-2</v>
      </c>
      <c r="L9" s="7">
        <f t="shared" si="4"/>
        <v>2.1724044000098752E-2</v>
      </c>
      <c r="M9" s="7">
        <f t="shared" si="4"/>
        <v>2.9160016796950128E-2</v>
      </c>
      <c r="N9" s="9">
        <v>0.02</v>
      </c>
      <c r="O9" s="9">
        <v>0.02</v>
      </c>
      <c r="P9" s="9">
        <v>0.02</v>
      </c>
      <c r="Q9" s="9">
        <v>0.02</v>
      </c>
      <c r="R9" s="9">
        <v>0.02</v>
      </c>
      <c r="S9" s="9">
        <v>0.02</v>
      </c>
      <c r="T9" s="9">
        <v>0.02</v>
      </c>
      <c r="U9" s="9">
        <v>0.02</v>
      </c>
      <c r="V9" s="9">
        <v>0.02</v>
      </c>
      <c r="W9" s="9">
        <v>0.02</v>
      </c>
      <c r="X9" s="9">
        <v>0.02</v>
      </c>
      <c r="Y9" s="9"/>
      <c r="Z9" s="9"/>
      <c r="AA9" s="9"/>
      <c r="AB9" s="9"/>
      <c r="AC9" s="9"/>
    </row>
    <row r="10" spans="2:29" x14ac:dyDescent="0.2">
      <c r="B10" t="s">
        <v>4</v>
      </c>
      <c r="C10" t="s">
        <v>11</v>
      </c>
      <c r="E10" s="7">
        <f t="shared" si="4"/>
        <v>1.4074770722261709E-2</v>
      </c>
      <c r="F10" s="7">
        <f t="shared" si="4"/>
        <v>2.0778862513935792E-2</v>
      </c>
      <c r="G10" s="7">
        <f t="shared" si="4"/>
        <v>3.35076722650407E-2</v>
      </c>
      <c r="H10" s="7">
        <f t="shared" si="4"/>
        <v>-5.1454601913020204E-3</v>
      </c>
      <c r="I10" s="7">
        <f t="shared" si="4"/>
        <v>-2.876865100253656E-2</v>
      </c>
      <c r="J10" s="7">
        <f t="shared" si="4"/>
        <v>5.7849943195249276E-2</v>
      </c>
      <c r="K10" s="7">
        <f t="shared" si="4"/>
        <v>1.021348371469033E-2</v>
      </c>
      <c r="L10" s="7">
        <f t="shared" si="4"/>
        <v>1.2477196592104001E-2</v>
      </c>
      <c r="M10" s="7">
        <f t="shared" si="4"/>
        <v>1.8561708992795856E-2</v>
      </c>
    </row>
    <row r="11" spans="2:29" x14ac:dyDescent="0.2">
      <c r="B11" s="2" t="s">
        <v>5</v>
      </c>
      <c r="C11" t="s">
        <v>11</v>
      </c>
      <c r="D11" s="3"/>
      <c r="E11" s="7">
        <f t="shared" si="4"/>
        <v>2.1738112447584612E-3</v>
      </c>
      <c r="F11" s="7">
        <f t="shared" si="4"/>
        <v>3.321444203469115E-2</v>
      </c>
      <c r="G11" s="7">
        <f t="shared" si="4"/>
        <v>3.9257296714601653E-2</v>
      </c>
      <c r="H11" s="7">
        <f t="shared" si="4"/>
        <v>-2.2864955058696457E-2</v>
      </c>
      <c r="I11" s="7">
        <f t="shared" si="4"/>
        <v>-4.0863271487342367E-2</v>
      </c>
      <c r="J11" s="7">
        <f t="shared" si="4"/>
        <v>7.7492883732036555E-2</v>
      </c>
      <c r="K11" s="7">
        <f t="shared" si="4"/>
        <v>7.5972397835446515E-3</v>
      </c>
      <c r="L11" s="7">
        <f t="shared" si="4"/>
        <v>1.4470898675586152E-2</v>
      </c>
      <c r="M11" s="7">
        <f t="shared" si="4"/>
        <v>1.4558907173822577E-2</v>
      </c>
    </row>
    <row r="12" spans="2:29" x14ac:dyDescent="0.2">
      <c r="B12" s="2" t="s">
        <v>6</v>
      </c>
      <c r="C12" t="s">
        <v>11</v>
      </c>
      <c r="D12" s="3"/>
      <c r="E12" s="7">
        <f t="shared" si="4"/>
        <v>5.1224179617949561E-2</v>
      </c>
      <c r="F12" s="7">
        <f t="shared" si="4"/>
        <v>1.93866421943234E-2</v>
      </c>
      <c r="G12" s="7">
        <f t="shared" si="4"/>
        <v>4.3100810382975085E-2</v>
      </c>
      <c r="H12" s="7">
        <f t="shared" si="4"/>
        <v>3.0044822323584963E-2</v>
      </c>
      <c r="I12" s="7">
        <f t="shared" si="4"/>
        <v>-4.4120905528619581E-3</v>
      </c>
      <c r="J12" s="7">
        <f t="shared" si="4"/>
        <v>2.6885674783292624E-2</v>
      </c>
      <c r="K12" s="7">
        <f t="shared" si="4"/>
        <v>9.9129139813471934E-3</v>
      </c>
      <c r="L12" s="7">
        <f t="shared" si="4"/>
        <v>1.6963241257890616E-2</v>
      </c>
      <c r="M12" s="7">
        <f t="shared" si="4"/>
        <v>2.8131385236312978E-2</v>
      </c>
    </row>
    <row r="13" spans="2:29" x14ac:dyDescent="0.2">
      <c r="B13" s="2" t="s">
        <v>7</v>
      </c>
      <c r="C13" t="s">
        <v>11</v>
      </c>
      <c r="D13" s="3"/>
      <c r="E13" s="7">
        <f t="shared" si="4"/>
        <v>-8.1063802082058545E-2</v>
      </c>
      <c r="F13" s="7">
        <f t="shared" si="4"/>
        <v>-9.5483994694197216E-2</v>
      </c>
      <c r="G13" s="7">
        <f t="shared" si="4"/>
        <v>-0.10073910373248096</v>
      </c>
      <c r="H13" s="7">
        <f t="shared" si="4"/>
        <v>-6.0145316787899361E-2</v>
      </c>
      <c r="I13" s="7">
        <f t="shared" si="4"/>
        <v>-8.1996690319057763E-2</v>
      </c>
      <c r="J13" s="7">
        <f t="shared" si="4"/>
        <v>7.8133439968228302E-2</v>
      </c>
      <c r="K13" s="7">
        <f t="shared" si="4"/>
        <v>5.0721778567831777E-2</v>
      </c>
      <c r="L13" s="7">
        <f t="shared" si="4"/>
        <v>-5.5331057484416357E-2</v>
      </c>
      <c r="M13" s="7">
        <f t="shared" si="4"/>
        <v>-1.4482987561285521E-2</v>
      </c>
    </row>
    <row r="14" spans="2:29" x14ac:dyDescent="0.2">
      <c r="B14" t="s">
        <v>8</v>
      </c>
      <c r="C14" t="s">
        <v>11</v>
      </c>
      <c r="E14" s="7">
        <f t="shared" si="4"/>
        <v>0.36749546156599355</v>
      </c>
      <c r="F14" s="7">
        <f t="shared" si="4"/>
        <v>5.3420891299221784E-2</v>
      </c>
      <c r="G14" s="7">
        <f t="shared" si="4"/>
        <v>-4.73099621762052E-3</v>
      </c>
      <c r="H14" s="7">
        <f t="shared" si="4"/>
        <v>-3.8090401675774377E-2</v>
      </c>
      <c r="I14" s="7">
        <f t="shared" si="4"/>
        <v>-2.5115406485208824E-3</v>
      </c>
      <c r="J14" s="7">
        <f t="shared" si="4"/>
        <v>2.0849848370279256E-2</v>
      </c>
      <c r="K14" s="7">
        <f t="shared" si="4"/>
        <v>0.10769812911542043</v>
      </c>
      <c r="L14" s="7">
        <f t="shared" si="4"/>
        <v>1.1886027460864979E-2</v>
      </c>
      <c r="M14" s="7">
        <f t="shared" si="4"/>
        <v>7.0133901118102804E-2</v>
      </c>
      <c r="N14" s="8">
        <v>1.2999999999999999E-2</v>
      </c>
      <c r="O14" s="8">
        <v>1.2999999999999999E-2</v>
      </c>
      <c r="P14" s="8">
        <v>1.2999999999999999E-2</v>
      </c>
      <c r="Q14" s="8">
        <v>1.2999999999999999E-2</v>
      </c>
      <c r="R14" s="8">
        <v>1.2999999999999999E-2</v>
      </c>
      <c r="S14" s="8">
        <v>1.2999999999999999E-2</v>
      </c>
      <c r="T14" s="8">
        <v>1.2999999999999999E-2</v>
      </c>
      <c r="U14" s="8">
        <v>1.2999999999999999E-2</v>
      </c>
      <c r="V14" s="8">
        <v>1.2999999999999999E-2</v>
      </c>
      <c r="W14" s="8">
        <v>1.2999999999999999E-2</v>
      </c>
      <c r="X14" s="8">
        <v>1.2999999999999999E-2</v>
      </c>
      <c r="Y14" s="8"/>
      <c r="Z14" s="8"/>
      <c r="AA14" s="8"/>
      <c r="AB14" s="8"/>
      <c r="AC14" s="8"/>
    </row>
    <row r="19" spans="2:24" x14ac:dyDescent="0.2">
      <c r="D19">
        <v>2015</v>
      </c>
      <c r="E19">
        <f t="shared" ref="E19:N19" si="6">D19+1</f>
        <v>2016</v>
      </c>
      <c r="F19">
        <f t="shared" si="6"/>
        <v>2017</v>
      </c>
      <c r="G19">
        <f t="shared" si="6"/>
        <v>2018</v>
      </c>
      <c r="H19">
        <f t="shared" si="6"/>
        <v>2019</v>
      </c>
      <c r="I19">
        <f t="shared" si="6"/>
        <v>2020</v>
      </c>
      <c r="J19">
        <f t="shared" si="6"/>
        <v>2021</v>
      </c>
      <c r="K19">
        <f t="shared" si="6"/>
        <v>2022</v>
      </c>
      <c r="L19">
        <f t="shared" si="6"/>
        <v>2023</v>
      </c>
      <c r="M19">
        <f t="shared" si="6"/>
        <v>2024</v>
      </c>
      <c r="N19">
        <f t="shared" si="6"/>
        <v>2025</v>
      </c>
      <c r="O19">
        <f t="shared" ref="O19:X19" si="7">N19+1</f>
        <v>2026</v>
      </c>
      <c r="P19">
        <f t="shared" si="7"/>
        <v>2027</v>
      </c>
      <c r="Q19">
        <f t="shared" si="7"/>
        <v>2028</v>
      </c>
      <c r="R19">
        <f t="shared" si="7"/>
        <v>2029</v>
      </c>
      <c r="S19">
        <f t="shared" si="7"/>
        <v>2030</v>
      </c>
      <c r="T19">
        <f t="shared" si="7"/>
        <v>2031</v>
      </c>
      <c r="U19">
        <f t="shared" si="7"/>
        <v>2032</v>
      </c>
      <c r="V19">
        <f t="shared" si="7"/>
        <v>2033</v>
      </c>
      <c r="W19">
        <f>V19+1</f>
        <v>2034</v>
      </c>
      <c r="X19">
        <f t="shared" si="7"/>
        <v>2035</v>
      </c>
    </row>
    <row r="20" spans="2:24" x14ac:dyDescent="0.2">
      <c r="B20" t="s">
        <v>9</v>
      </c>
      <c r="C20" t="s">
        <v>0</v>
      </c>
      <c r="D20" s="4">
        <v>24303.818350000001</v>
      </c>
      <c r="E20" s="4">
        <v>24977.3603</v>
      </c>
      <c r="F20" s="4">
        <v>25729.964820000001</v>
      </c>
      <c r="G20" s="4">
        <v>26776.552080000001</v>
      </c>
      <c r="H20" s="4">
        <v>27138.722989999998</v>
      </c>
      <c r="I20" s="4">
        <v>27016.628959999998</v>
      </c>
      <c r="J20" s="4">
        <v>28543.676009999999</v>
      </c>
      <c r="K20" s="4">
        <v>29203.616000000002</v>
      </c>
      <c r="L20" s="4">
        <v>29963.22999</v>
      </c>
      <c r="M20" s="4">
        <v>31255.914379999998</v>
      </c>
      <c r="N20">
        <f>M20*(1+N6)</f>
        <v>32349.871383299997</v>
      </c>
      <c r="O20">
        <f t="shared" ref="O20:X20" si="8">N20*(1+O6)</f>
        <v>33482.11688171549</v>
      </c>
      <c r="P20">
        <f t="shared" si="8"/>
        <v>34653.990972575528</v>
      </c>
      <c r="Q20">
        <f t="shared" si="8"/>
        <v>35866.880656615671</v>
      </c>
      <c r="R20">
        <f t="shared" si="8"/>
        <v>37122.221479597218</v>
      </c>
      <c r="S20">
        <f t="shared" si="8"/>
        <v>38421.499231383117</v>
      </c>
      <c r="T20">
        <f t="shared" si="8"/>
        <v>39766.251704481525</v>
      </c>
      <c r="U20">
        <f t="shared" si="8"/>
        <v>41158.070514138373</v>
      </c>
      <c r="V20">
        <f t="shared" si="8"/>
        <v>42598.602982133212</v>
      </c>
      <c r="W20">
        <f t="shared" si="8"/>
        <v>44089.554086507873</v>
      </c>
      <c r="X20">
        <f t="shared" si="8"/>
        <v>45632.688479535645</v>
      </c>
    </row>
    <row r="21" spans="2:24" x14ac:dyDescent="0.2">
      <c r="B21" t="s">
        <v>1</v>
      </c>
      <c r="C21" t="s">
        <v>0</v>
      </c>
      <c r="D21">
        <v>1622.582879</v>
      </c>
      <c r="E21">
        <v>1837.8295700000001</v>
      </c>
      <c r="F21">
        <v>2164.6456250000001</v>
      </c>
      <c r="G21">
        <v>2471.4345640000001</v>
      </c>
      <c r="H21">
        <v>2780.9849669999999</v>
      </c>
      <c r="I21">
        <v>3141.7806810000002</v>
      </c>
      <c r="J21">
        <v>3655.0174969999998</v>
      </c>
      <c r="K21">
        <v>4194.2128249999996</v>
      </c>
      <c r="L21">
        <v>4745.2686389999999</v>
      </c>
      <c r="M21">
        <v>5415.1982010000002</v>
      </c>
      <c r="N21">
        <f>M21*(1+N7)</f>
        <v>6173.3259491400013</v>
      </c>
      <c r="O21">
        <f t="shared" ref="O21:X21" si="9">N21*(1+O7)</f>
        <v>7037.5915820196024</v>
      </c>
      <c r="P21">
        <f t="shared" si="9"/>
        <v>8022.8544035023479</v>
      </c>
      <c r="Q21">
        <f t="shared" si="9"/>
        <v>9146.0540199926781</v>
      </c>
      <c r="R21">
        <f t="shared" si="9"/>
        <v>10426.501582791654</v>
      </c>
      <c r="S21">
        <f t="shared" si="9"/>
        <v>11886.211804382487</v>
      </c>
      <c r="T21">
        <f t="shared" si="9"/>
        <v>13550.281456996036</v>
      </c>
      <c r="U21">
        <f t="shared" si="9"/>
        <v>15447.320860975482</v>
      </c>
      <c r="V21">
        <f t="shared" si="9"/>
        <v>17609.945781512051</v>
      </c>
      <c r="W21">
        <f t="shared" si="9"/>
        <v>20075.33819092374</v>
      </c>
      <c r="X21">
        <f t="shared" si="9"/>
        <v>22885.885537653066</v>
      </c>
    </row>
    <row r="22" spans="2:24" x14ac:dyDescent="0.2">
      <c r="B22" t="s">
        <v>2</v>
      </c>
      <c r="C22" t="s">
        <v>0</v>
      </c>
      <c r="D22">
        <v>3879.1656210000001</v>
      </c>
      <c r="E22">
        <v>4015.954322</v>
      </c>
      <c r="F22">
        <v>4068.4180369999999</v>
      </c>
      <c r="G22">
        <v>4188.5958659999997</v>
      </c>
      <c r="H22">
        <v>4242.6261089999998</v>
      </c>
      <c r="I22">
        <v>4359.1282119999996</v>
      </c>
      <c r="J22">
        <v>4293.6660670000001</v>
      </c>
      <c r="K22">
        <v>4334.7919860000002</v>
      </c>
      <c r="L22">
        <v>4260.7528769999999</v>
      </c>
      <c r="M22">
        <v>4452.908891</v>
      </c>
      <c r="N22">
        <f>M22*(1+N8)</f>
        <v>4510.7967065829998</v>
      </c>
      <c r="O22">
        <f t="shared" ref="O22:X22" si="10">N22*(1+O8)</f>
        <v>4569.4370637685788</v>
      </c>
      <c r="P22">
        <f t="shared" si="10"/>
        <v>4628.8397455975701</v>
      </c>
      <c r="Q22">
        <f t="shared" si="10"/>
        <v>4689.0146622903376</v>
      </c>
      <c r="R22">
        <f t="shared" si="10"/>
        <v>4749.9718529001111</v>
      </c>
      <c r="S22">
        <f t="shared" si="10"/>
        <v>4811.7214869878117</v>
      </c>
      <c r="T22">
        <f t="shared" si="10"/>
        <v>4874.2738663186528</v>
      </c>
      <c r="U22">
        <f t="shared" si="10"/>
        <v>4937.6394265807949</v>
      </c>
      <c r="V22">
        <f t="shared" si="10"/>
        <v>5001.8287391263448</v>
      </c>
      <c r="W22">
        <f t="shared" si="10"/>
        <v>5066.8525127349867</v>
      </c>
      <c r="X22">
        <f t="shared" si="10"/>
        <v>5132.7215954005414</v>
      </c>
    </row>
    <row r="23" spans="2:24" x14ac:dyDescent="0.2">
      <c r="B23" t="s">
        <v>3</v>
      </c>
      <c r="C23" t="s">
        <v>0</v>
      </c>
      <c r="D23">
        <v>2575.340553</v>
      </c>
      <c r="E23">
        <v>2613.6563160000001</v>
      </c>
      <c r="F23">
        <v>2637.0019849999999</v>
      </c>
      <c r="G23">
        <v>2700.2244420000002</v>
      </c>
      <c r="H23">
        <v>2795.7579179999998</v>
      </c>
      <c r="I23">
        <v>2689.004954</v>
      </c>
      <c r="J23">
        <v>2802.750489</v>
      </c>
      <c r="K23">
        <v>2679.4154440000002</v>
      </c>
      <c r="L23">
        <v>2737.6231830000002</v>
      </c>
      <c r="M23">
        <v>2817.4523210000002</v>
      </c>
      <c r="N23">
        <f>M23*(1+N9)</f>
        <v>2873.8013674200001</v>
      </c>
      <c r="O23">
        <f t="shared" ref="O23:X23" si="11">N23*(1+O9)</f>
        <v>2931.2773947684</v>
      </c>
      <c r="P23">
        <f t="shared" si="11"/>
        <v>2989.902942663768</v>
      </c>
      <c r="Q23">
        <f t="shared" si="11"/>
        <v>3049.7010015170436</v>
      </c>
      <c r="R23">
        <f t="shared" si="11"/>
        <v>3110.6950215473844</v>
      </c>
      <c r="S23">
        <f t="shared" si="11"/>
        <v>3172.9089219783323</v>
      </c>
      <c r="T23">
        <f t="shared" si="11"/>
        <v>3236.3671004178991</v>
      </c>
      <c r="U23">
        <f t="shared" si="11"/>
        <v>3301.094442426257</v>
      </c>
      <c r="V23">
        <f t="shared" si="11"/>
        <v>3367.1163312747822</v>
      </c>
      <c r="W23">
        <f t="shared" si="11"/>
        <v>3434.458657900278</v>
      </c>
      <c r="X23">
        <f t="shared" si="11"/>
        <v>3503.1478310582838</v>
      </c>
    </row>
    <row r="24" spans="2:24" x14ac:dyDescent="0.2">
      <c r="B24" t="s">
        <v>4</v>
      </c>
      <c r="C24" t="s">
        <v>0</v>
      </c>
      <c r="D24">
        <f t="shared" ref="D24:M24" si="12">SUM(D25:D27)</f>
        <v>16071.665000000001</v>
      </c>
      <c r="E24">
        <f t="shared" si="12"/>
        <v>16297.869999999999</v>
      </c>
      <c r="F24">
        <f t="shared" si="12"/>
        <v>16636.521199999999</v>
      </c>
      <c r="G24">
        <f t="shared" si="12"/>
        <v>17193.972300000001</v>
      </c>
      <c r="H24">
        <f t="shared" si="12"/>
        <v>17105.501400000001</v>
      </c>
      <c r="I24">
        <f t="shared" si="12"/>
        <v>16613.3992</v>
      </c>
      <c r="J24">
        <f t="shared" si="12"/>
        <v>17574.483400000001</v>
      </c>
      <c r="K24">
        <f t="shared" si="12"/>
        <v>17753.980099999997</v>
      </c>
      <c r="L24">
        <f t="shared" si="12"/>
        <v>17975.5</v>
      </c>
      <c r="M24">
        <f t="shared" si="12"/>
        <v>18309.156000000003</v>
      </c>
      <c r="N24">
        <f>N20-N21-N22-N23-N28</f>
        <v>18527.350139356997</v>
      </c>
      <c r="O24">
        <f t="shared" ref="O24:X24" si="13">O20-O21-O22-O23-O28</f>
        <v>18675.773856488508</v>
      </c>
      <c r="P24">
        <f t="shared" si="13"/>
        <v>18740.872415340727</v>
      </c>
      <c r="Q24">
        <f t="shared" si="13"/>
        <v>18707.059728293374</v>
      </c>
      <c r="R24">
        <f t="shared" si="13"/>
        <v>18556.426111657038</v>
      </c>
      <c r="S24">
        <f t="shared" si="13"/>
        <v>18268.407957494343</v>
      </c>
      <c r="T24">
        <f t="shared" si="13"/>
        <v>17819.410982421774</v>
      </c>
      <c r="U24">
        <f t="shared" si="13"/>
        <v>17182.380547950426</v>
      </c>
      <c r="V24">
        <f t="shared" si="13"/>
        <v>16326.311635943948</v>
      </c>
      <c r="W24">
        <f t="shared" si="13"/>
        <v>15215.690024247193</v>
      </c>
      <c r="X24">
        <f t="shared" si="13"/>
        <v>13809.855023612956</v>
      </c>
    </row>
    <row r="25" spans="2:24" x14ac:dyDescent="0.2">
      <c r="B25" s="2" t="s">
        <v>5</v>
      </c>
      <c r="C25" s="3" t="s">
        <v>0</v>
      </c>
      <c r="D25" s="3">
        <v>9417.5609999999997</v>
      </c>
      <c r="E25" s="3">
        <v>9438.0329999999994</v>
      </c>
      <c r="F25" s="3">
        <v>9751.5120000000006</v>
      </c>
      <c r="G25" s="3">
        <v>10134.33</v>
      </c>
      <c r="H25" s="3">
        <v>9902.6090000000004</v>
      </c>
      <c r="I25" s="3">
        <v>9497.9560000000001</v>
      </c>
      <c r="J25" s="3">
        <v>10233.98</v>
      </c>
      <c r="K25" s="3">
        <v>10311.73</v>
      </c>
      <c r="L25" s="3">
        <v>10460.950000000001</v>
      </c>
      <c r="M25" s="3">
        <v>10613.25</v>
      </c>
      <c r="N25">
        <f>N$24*N33</f>
        <v>10665.620976229502</v>
      </c>
      <c r="O25">
        <f t="shared" ref="O25:X25" si="14">O$24*O33</f>
        <v>10713.712360123081</v>
      </c>
      <c r="P25">
        <f t="shared" si="14"/>
        <v>10713.575639919527</v>
      </c>
      <c r="Q25">
        <f t="shared" si="14"/>
        <v>10656.831855747107</v>
      </c>
      <c r="R25">
        <f t="shared" si="14"/>
        <v>10533.907702997039</v>
      </c>
      <c r="S25">
        <f t="shared" si="14"/>
        <v>10333.871911876287</v>
      </c>
      <c r="T25">
        <f t="shared" si="14"/>
        <v>10044.249423681984</v>
      </c>
      <c r="U25">
        <f t="shared" si="14"/>
        <v>9650.8103598148755</v>
      </c>
      <c r="V25">
        <f t="shared" si="14"/>
        <v>9137.3303737889328</v>
      </c>
      <c r="W25">
        <f t="shared" si="14"/>
        <v>8485.3185160040503</v>
      </c>
      <c r="X25">
        <f t="shared" si="14"/>
        <v>7673.7082184567716</v>
      </c>
    </row>
    <row r="26" spans="2:24" x14ac:dyDescent="0.2">
      <c r="B26" s="2" t="s">
        <v>6</v>
      </c>
      <c r="C26" s="3" t="s">
        <v>0</v>
      </c>
      <c r="D26" s="3">
        <v>5632.7110000000002</v>
      </c>
      <c r="E26" s="3">
        <v>5921.2420000000002</v>
      </c>
      <c r="F26" s="3">
        <v>6036.0349999999999</v>
      </c>
      <c r="G26" s="3">
        <v>6296.1930000000002</v>
      </c>
      <c r="H26" s="3">
        <v>6485.3609999999999</v>
      </c>
      <c r="I26" s="3">
        <v>6456.7470000000003</v>
      </c>
      <c r="J26" s="3">
        <v>6630.3410000000003</v>
      </c>
      <c r="K26" s="3">
        <v>6696.067</v>
      </c>
      <c r="L26" s="3">
        <v>6809.6540000000005</v>
      </c>
      <c r="M26" s="3">
        <v>7001.2190000000001</v>
      </c>
      <c r="N26">
        <f t="shared" ref="N26:X26" si="15">N$24*N34</f>
        <v>7232.8728296959025</v>
      </c>
      <c r="O26">
        <f t="shared" si="15"/>
        <v>7365.5189047086951</v>
      </c>
      <c r="P26">
        <f t="shared" si="15"/>
        <v>7466.1565468619365</v>
      </c>
      <c r="Q26">
        <f t="shared" si="15"/>
        <v>7527.5141847715549</v>
      </c>
      <c r="R26">
        <f t="shared" si="15"/>
        <v>7541.1265858769575</v>
      </c>
      <c r="S26">
        <f t="shared" si="15"/>
        <v>7497.1528214840664</v>
      </c>
      <c r="T26">
        <f t="shared" si="15"/>
        <v>7384.1670667456619</v>
      </c>
      <c r="U26">
        <f t="shared" si="15"/>
        <v>7188.9182139295426</v>
      </c>
      <c r="V26">
        <f t="shared" si="15"/>
        <v>6896.0536843629698</v>
      </c>
      <c r="W26">
        <f t="shared" si="15"/>
        <v>6487.8021443008993</v>
      </c>
      <c r="X26">
        <f t="shared" si="15"/>
        <v>5943.6090498584808</v>
      </c>
    </row>
    <row r="27" spans="2:24" x14ac:dyDescent="0.2">
      <c r="B27" s="2" t="s">
        <v>7</v>
      </c>
      <c r="C27" s="3" t="s">
        <v>0</v>
      </c>
      <c r="D27" s="3">
        <v>1021.393</v>
      </c>
      <c r="E27" s="3">
        <v>938.59500000000003</v>
      </c>
      <c r="F27" s="3">
        <v>848.9742</v>
      </c>
      <c r="G27" s="3">
        <v>763.44929999999999</v>
      </c>
      <c r="H27" s="3">
        <v>717.53139999999996</v>
      </c>
      <c r="I27" s="3">
        <v>658.69619999999998</v>
      </c>
      <c r="J27" s="3">
        <v>710.16240000000005</v>
      </c>
      <c r="K27" s="3">
        <v>746.18309999999997</v>
      </c>
      <c r="L27" s="3">
        <v>704.89599999999996</v>
      </c>
      <c r="M27" s="3">
        <v>694.68700000000001</v>
      </c>
      <c r="N27">
        <f t="shared" ref="N27:X27" si="16">N$24*N35</f>
        <v>628.85633343159316</v>
      </c>
      <c r="O27">
        <f t="shared" si="16"/>
        <v>596.54259165673227</v>
      </c>
      <c r="P27">
        <f t="shared" si="16"/>
        <v>561.14022855926498</v>
      </c>
      <c r="Q27">
        <f t="shared" si="16"/>
        <v>522.71368777471355</v>
      </c>
      <c r="R27">
        <f t="shared" si="16"/>
        <v>481.3918227830415</v>
      </c>
      <c r="S27">
        <f t="shared" si="16"/>
        <v>437.38322413399021</v>
      </c>
      <c r="T27">
        <f t="shared" si="16"/>
        <v>390.99449199412862</v>
      </c>
      <c r="U27">
        <f t="shared" si="16"/>
        <v>342.65197420601004</v>
      </c>
      <c r="V27">
        <f t="shared" si="16"/>
        <v>292.92757779204715</v>
      </c>
      <c r="W27">
        <f t="shared" si="16"/>
        <v>242.56936394224388</v>
      </c>
      <c r="X27">
        <f t="shared" si="16"/>
        <v>192.53775529770394</v>
      </c>
    </row>
    <row r="28" spans="2:24" x14ac:dyDescent="0.2">
      <c r="B28" t="s">
        <v>8</v>
      </c>
      <c r="C28" t="s">
        <v>0</v>
      </c>
      <c r="D28">
        <v>155.06450000000001</v>
      </c>
      <c r="E28">
        <v>212.05</v>
      </c>
      <c r="F28">
        <v>223.37790000000001</v>
      </c>
      <c r="G28">
        <v>222.3211</v>
      </c>
      <c r="H28">
        <v>213.8528</v>
      </c>
      <c r="I28">
        <v>213.31569999999999</v>
      </c>
      <c r="J28">
        <v>217.76329999999999</v>
      </c>
      <c r="K28">
        <v>241.21600000000001</v>
      </c>
      <c r="L28">
        <v>244.0831</v>
      </c>
      <c r="M28">
        <v>261.20159999999998</v>
      </c>
      <c r="N28">
        <f>M28*(N14+1)</f>
        <v>264.59722079999995</v>
      </c>
      <c r="O28">
        <f t="shared" ref="O28:X28" si="17">N28*(O14+1)</f>
        <v>268.03698467039993</v>
      </c>
      <c r="P28">
        <f t="shared" si="17"/>
        <v>271.52146547111511</v>
      </c>
      <c r="Q28">
        <f t="shared" si="17"/>
        <v>275.05124452223959</v>
      </c>
      <c r="R28">
        <f t="shared" si="17"/>
        <v>278.62691070102869</v>
      </c>
      <c r="S28">
        <f t="shared" si="17"/>
        <v>282.24906054014201</v>
      </c>
      <c r="T28">
        <f t="shared" si="17"/>
        <v>285.91829832716382</v>
      </c>
      <c r="U28">
        <f t="shared" si="17"/>
        <v>289.6352362054169</v>
      </c>
      <c r="V28">
        <f t="shared" si="17"/>
        <v>293.40049427608727</v>
      </c>
      <c r="W28">
        <f t="shared" si="17"/>
        <v>297.21470070167635</v>
      </c>
      <c r="X28">
        <f t="shared" si="17"/>
        <v>301.07849181079808</v>
      </c>
    </row>
    <row r="31" spans="2:24" x14ac:dyDescent="0.2">
      <c r="B31" t="s">
        <v>12</v>
      </c>
      <c r="C31" t="s">
        <v>13</v>
      </c>
    </row>
    <row r="33" spans="2:29" x14ac:dyDescent="0.2">
      <c r="B33" t="s">
        <v>5</v>
      </c>
      <c r="C33" t="s">
        <v>11</v>
      </c>
      <c r="D33" s="8">
        <v>0.5790961027422602</v>
      </c>
      <c r="E33" s="8">
        <v>0.5861509075587269</v>
      </c>
      <c r="F33" s="8">
        <v>0.5894117905494124</v>
      </c>
      <c r="G33" s="8">
        <v>0.5789136938131495</v>
      </c>
      <c r="H33" s="8">
        <v>0.57170455520023866</v>
      </c>
      <c r="I33" s="8">
        <v>0.58232038843315292</v>
      </c>
      <c r="J33" s="8">
        <v>0.58081229909680931</v>
      </c>
      <c r="K33" s="8">
        <v>0.58195599566076051</v>
      </c>
      <c r="L33" s="8">
        <v>0.57966899184211429</v>
      </c>
      <c r="M33" s="8">
        <v>0.57766899184211451</v>
      </c>
      <c r="N33" s="8">
        <v>0.57566899184211451</v>
      </c>
      <c r="O33" s="8">
        <v>0.57366899184211451</v>
      </c>
      <c r="P33" s="8">
        <v>0.5716689918421145</v>
      </c>
      <c r="Q33" s="8">
        <v>0.5696689918421145</v>
      </c>
      <c r="R33" s="8">
        <v>0.5676689918421145</v>
      </c>
      <c r="S33" s="8">
        <v>0.5656689918421145</v>
      </c>
      <c r="T33" s="8">
        <v>0.5636689918421145</v>
      </c>
      <c r="U33" s="8">
        <v>0.5616689918421145</v>
      </c>
      <c r="V33" s="8">
        <v>0.55966899184211449</v>
      </c>
      <c r="W33" s="8">
        <v>0.55766899184211449</v>
      </c>
      <c r="X33" s="8">
        <v>0.55566899184211449</v>
      </c>
      <c r="Y33" s="8"/>
      <c r="Z33" s="11"/>
      <c r="AA33" s="11"/>
      <c r="AB33" s="11"/>
      <c r="AC33" s="11"/>
    </row>
    <row r="34" spans="2:29" x14ac:dyDescent="0.2">
      <c r="B34" t="s">
        <v>6</v>
      </c>
      <c r="C34" t="s">
        <v>11</v>
      </c>
      <c r="D34" s="8">
        <v>0.3633138563505538</v>
      </c>
      <c r="E34" s="8">
        <v>0.36281833968991067</v>
      </c>
      <c r="F34" s="8">
        <v>0.36618606161183592</v>
      </c>
      <c r="G34" s="8">
        <v>0.37913890089184987</v>
      </c>
      <c r="H34" s="8">
        <v>0.38864695432106394</v>
      </c>
      <c r="I34" s="8">
        <v>0.37727089036369627</v>
      </c>
      <c r="J34" s="10">
        <v>0.3771586406137743</v>
      </c>
      <c r="K34" s="8">
        <v>0.37882974048009793</v>
      </c>
      <c r="L34" s="8">
        <v>0.38238895337392936</v>
      </c>
      <c r="M34" s="8">
        <v>0.38638895337392937</v>
      </c>
      <c r="N34" s="8">
        <v>0.39038895337392937</v>
      </c>
      <c r="O34" s="8">
        <v>0.39438895337392937</v>
      </c>
      <c r="P34" s="8">
        <v>0.39838895337392938</v>
      </c>
      <c r="Q34" s="8">
        <v>0.40238895337392938</v>
      </c>
      <c r="R34" s="8">
        <v>0.40638895337392938</v>
      </c>
      <c r="S34" s="8">
        <v>0.41038895337392939</v>
      </c>
      <c r="T34" s="8">
        <v>0.41438895337392939</v>
      </c>
      <c r="U34" s="8">
        <v>0.4183889533739294</v>
      </c>
      <c r="V34" s="8">
        <v>0.4223889533739294</v>
      </c>
      <c r="W34" s="8">
        <v>0.4263889533739294</v>
      </c>
      <c r="X34" s="8">
        <v>0.43038895337392941</v>
      </c>
      <c r="Y34" s="8"/>
      <c r="Z34" s="11"/>
      <c r="AA34" s="11"/>
      <c r="AB34" s="11"/>
      <c r="AC34" s="11"/>
    </row>
    <row r="35" spans="2:29" x14ac:dyDescent="0.2">
      <c r="B35" t="s">
        <v>7</v>
      </c>
      <c r="C35" t="s">
        <v>11</v>
      </c>
      <c r="D35" s="8">
        <v>5.7590040907186037E-2</v>
      </c>
      <c r="E35" s="8">
        <v>5.1030752751362471E-2</v>
      </c>
      <c r="F35" s="8">
        <v>4.4402147838751606E-2</v>
      </c>
      <c r="G35" s="8">
        <v>4.1947405295000587E-2</v>
      </c>
      <c r="H35" s="8">
        <v>3.9648490478697458E-2</v>
      </c>
      <c r="I35" s="8">
        <v>4.0408721203150699E-2</v>
      </c>
      <c r="J35" s="10">
        <v>4.2029060289416463E-2</v>
      </c>
      <c r="K35" s="8">
        <v>3.9214263859141604E-2</v>
      </c>
      <c r="L35" s="8">
        <v>3.7942054783956174E-2</v>
      </c>
      <c r="M35" s="8">
        <v>3.5942054783956172E-2</v>
      </c>
      <c r="N35" s="8">
        <v>3.394205478395617E-2</v>
      </c>
      <c r="O35" s="8">
        <v>3.1942054783956168E-2</v>
      </c>
      <c r="P35" s="8">
        <v>2.9942054783956167E-2</v>
      </c>
      <c r="Q35" s="8">
        <v>2.7942054783956165E-2</v>
      </c>
      <c r="R35" s="8">
        <v>2.5942054783956163E-2</v>
      </c>
      <c r="S35" s="8">
        <v>2.3942054783956161E-2</v>
      </c>
      <c r="T35" s="8">
        <v>2.1942054783956159E-2</v>
      </c>
      <c r="U35" s="8">
        <v>1.9942054783956158E-2</v>
      </c>
      <c r="V35" s="8">
        <v>1.7942054783956156E-2</v>
      </c>
      <c r="W35" s="8">
        <v>1.5942054783956154E-2</v>
      </c>
      <c r="X35" s="8">
        <v>1.3942054783956154E-2</v>
      </c>
      <c r="Y35" s="8"/>
      <c r="Z35" s="8"/>
      <c r="AA35" s="8"/>
      <c r="AB35" s="8"/>
      <c r="AC35" s="8"/>
    </row>
    <row r="36" spans="2:29" x14ac:dyDescent="0.2">
      <c r="J36" s="5"/>
    </row>
    <row r="37" spans="2:29" x14ac:dyDescent="0.2">
      <c r="J37" s="5"/>
    </row>
    <row r="38" spans="2:29" x14ac:dyDescent="0.2">
      <c r="J38" s="5"/>
    </row>
    <row r="39" spans="2:29" x14ac:dyDescent="0.2">
      <c r="J39" s="5"/>
    </row>
    <row r="40" spans="2:29" x14ac:dyDescent="0.2">
      <c r="D40">
        <v>2015</v>
      </c>
      <c r="E40">
        <v>2016</v>
      </c>
      <c r="F40">
        <v>2017</v>
      </c>
      <c r="G40">
        <v>2018</v>
      </c>
      <c r="H40">
        <v>2019</v>
      </c>
      <c r="I40">
        <v>2020</v>
      </c>
      <c r="J40">
        <v>2021</v>
      </c>
      <c r="K40" s="5">
        <v>2022</v>
      </c>
      <c r="L40">
        <v>2023</v>
      </c>
      <c r="M40">
        <v>2024</v>
      </c>
      <c r="N40">
        <v>2025</v>
      </c>
      <c r="O40">
        <v>2026</v>
      </c>
      <c r="P40">
        <v>2027</v>
      </c>
      <c r="Q40">
        <v>2028</v>
      </c>
      <c r="R40">
        <v>2029</v>
      </c>
      <c r="S40">
        <v>2030</v>
      </c>
      <c r="T40">
        <v>2031</v>
      </c>
      <c r="U40">
        <v>2032</v>
      </c>
      <c r="V40">
        <v>2033</v>
      </c>
      <c r="W40">
        <v>2034</v>
      </c>
      <c r="X40">
        <v>2035</v>
      </c>
    </row>
    <row r="41" spans="2:29" x14ac:dyDescent="0.2">
      <c r="B41" t="s">
        <v>9</v>
      </c>
      <c r="C41" t="s">
        <v>20</v>
      </c>
      <c r="D41">
        <f>SUM(D42:D46)</f>
        <v>524.27296999999999</v>
      </c>
      <c r="E41">
        <f t="shared" ref="E41:K41" si="18">SUM(E42:E46)</f>
        <v>529.47324000000003</v>
      </c>
      <c r="F41">
        <f t="shared" si="18"/>
        <v>540.19326000000001</v>
      </c>
      <c r="G41">
        <f t="shared" si="18"/>
        <v>553.65201999999999</v>
      </c>
      <c r="H41">
        <f t="shared" si="18"/>
        <v>558.99995000000001</v>
      </c>
      <c r="I41">
        <f t="shared" si="18"/>
        <v>536.06748000000005</v>
      </c>
      <c r="J41">
        <f t="shared" si="18"/>
        <v>563.26096000000007</v>
      </c>
      <c r="K41">
        <f t="shared" si="18"/>
        <v>571.04009000000008</v>
      </c>
      <c r="L41">
        <f t="shared" ref="L41" si="19">SUM(L42:L46)</f>
        <v>580.28244999999993</v>
      </c>
      <c r="M41">
        <f t="shared" ref="M41" si="20">SUM(M42:M46)</f>
        <v>592.21671000000003</v>
      </c>
      <c r="N41">
        <f t="shared" ref="N41" si="21">SUM(N42:N46)</f>
        <v>600.90606523501754</v>
      </c>
      <c r="O41">
        <f t="shared" ref="O41" si="22">SUM(O42:O46)</f>
        <v>607.02357203491977</v>
      </c>
      <c r="P41">
        <f t="shared" ref="P41" si="23">SUM(P42:P46)</f>
        <v>612.02183930823355</v>
      </c>
      <c r="Q41">
        <f t="shared" ref="Q41:R41" si="24">SUM(Q42:Q46)</f>
        <v>615.66005500333881</v>
      </c>
      <c r="R41">
        <f t="shared" si="24"/>
        <v>617.65793122933815</v>
      </c>
      <c r="S41">
        <f t="shared" ref="S41" si="25">SUM(S42:S46)</f>
        <v>617.68967545313683</v>
      </c>
      <c r="T41">
        <f t="shared" ref="T41" si="26">SUM(T42:T46)</f>
        <v>615.3770592640841</v>
      </c>
      <c r="U41">
        <f t="shared" ref="U41" si="27">SUM(U42:U46)</f>
        <v>610.28145063599072</v>
      </c>
      <c r="V41">
        <f t="shared" ref="V41" si="28">SUM(V42:V46)</f>
        <v>601.89465578115266</v>
      </c>
      <c r="W41">
        <f t="shared" ref="W41" si="29">SUM(W42:W46)</f>
        <v>589.62839393038678</v>
      </c>
      <c r="X41">
        <f t="shared" ref="X41" si="30">SUM(X42:X46)</f>
        <v>576.93654794669055</v>
      </c>
    </row>
    <row r="42" spans="2:29" x14ac:dyDescent="0.2">
      <c r="B42" t="s">
        <v>5</v>
      </c>
      <c r="C42" t="s">
        <v>20</v>
      </c>
      <c r="D42">
        <v>157.3032</v>
      </c>
      <c r="E42">
        <v>153.96420000000001</v>
      </c>
      <c r="F42">
        <v>155.6148</v>
      </c>
      <c r="G42">
        <v>158.03039999999999</v>
      </c>
      <c r="H42">
        <v>157.05940000000001</v>
      </c>
      <c r="I42">
        <v>152.33879999999999</v>
      </c>
      <c r="J42">
        <v>160.71180000000001</v>
      </c>
      <c r="K42" s="5">
        <v>161.73689999999999</v>
      </c>
      <c r="L42">
        <v>163.14869999999999</v>
      </c>
      <c r="M42">
        <v>165.06190000000001</v>
      </c>
      <c r="N42">
        <f>N25*N50</f>
        <v>165.85040618036876</v>
      </c>
      <c r="O42">
        <f t="shared" ref="O42:X42" si="31">O25*O50</f>
        <v>166.59822719991391</v>
      </c>
      <c r="P42">
        <f t="shared" si="31"/>
        <v>166.59610120074865</v>
      </c>
      <c r="Q42">
        <f t="shared" si="31"/>
        <v>165.71373535686752</v>
      </c>
      <c r="R42">
        <f t="shared" si="31"/>
        <v>163.80226478160395</v>
      </c>
      <c r="S42">
        <f t="shared" si="31"/>
        <v>160.69170822967627</v>
      </c>
      <c r="T42">
        <f t="shared" si="31"/>
        <v>156.18807853825484</v>
      </c>
      <c r="U42">
        <f t="shared" si="31"/>
        <v>150.07010109512132</v>
      </c>
      <c r="V42">
        <f t="shared" si="31"/>
        <v>142.08548731241791</v>
      </c>
      <c r="W42">
        <f t="shared" si="31"/>
        <v>131.94670292386297</v>
      </c>
      <c r="X42">
        <f t="shared" si="31"/>
        <v>119.32616279700279</v>
      </c>
    </row>
    <row r="43" spans="2:29" x14ac:dyDescent="0.2">
      <c r="B43" t="s">
        <v>6</v>
      </c>
      <c r="C43" t="s">
        <v>20</v>
      </c>
      <c r="D43">
        <v>125.20820000000001</v>
      </c>
      <c r="E43">
        <v>128.10230000000001</v>
      </c>
      <c r="F43">
        <v>131.77099999999999</v>
      </c>
      <c r="G43">
        <v>137.94139999999999</v>
      </c>
      <c r="H43">
        <v>140.59139999999999</v>
      </c>
      <c r="I43">
        <v>139.33459999999999</v>
      </c>
      <c r="J43">
        <v>144.8126</v>
      </c>
      <c r="K43">
        <v>144.21469999999999</v>
      </c>
      <c r="L43">
        <v>144.5444</v>
      </c>
      <c r="M43">
        <v>148.6018</v>
      </c>
      <c r="N43">
        <f t="shared" ref="N43:X43" si="32">N26*N51</f>
        <v>153.49602719180646</v>
      </c>
      <c r="O43">
        <f t="shared" si="32"/>
        <v>156.31104219572794</v>
      </c>
      <c r="P43">
        <f t="shared" si="32"/>
        <v>158.44677423750403</v>
      </c>
      <c r="Q43">
        <f t="shared" si="32"/>
        <v>159.74890602922196</v>
      </c>
      <c r="R43">
        <f t="shared" si="32"/>
        <v>160.0377884054808</v>
      </c>
      <c r="S43">
        <f t="shared" si="32"/>
        <v>159.10457717753488</v>
      </c>
      <c r="T43">
        <f t="shared" si="32"/>
        <v>156.70679349047646</v>
      </c>
      <c r="U43">
        <f t="shared" si="32"/>
        <v>152.56322233601276</v>
      </c>
      <c r="V43">
        <f t="shared" si="32"/>
        <v>146.34805128955097</v>
      </c>
      <c r="W43">
        <f t="shared" si="32"/>
        <v>137.68413710635369</v>
      </c>
      <c r="X43">
        <f t="shared" si="32"/>
        <v>126.13527125609669</v>
      </c>
    </row>
    <row r="44" spans="2:29" x14ac:dyDescent="0.2">
      <c r="B44" t="s">
        <v>7</v>
      </c>
      <c r="C44" t="s">
        <v>20</v>
      </c>
      <c r="D44">
        <v>184.6585</v>
      </c>
      <c r="E44">
        <v>188.3323</v>
      </c>
      <c r="F44">
        <v>191.74799999999999</v>
      </c>
      <c r="G44">
        <v>193.654</v>
      </c>
      <c r="H44">
        <v>194.39019999999999</v>
      </c>
      <c r="I44">
        <v>176.7645</v>
      </c>
      <c r="J44">
        <v>186.64859999999999</v>
      </c>
      <c r="K44">
        <v>192.8236</v>
      </c>
      <c r="L44">
        <v>197.41929999999999</v>
      </c>
      <c r="M44">
        <v>199.0515</v>
      </c>
      <c r="N44">
        <f>N58*1.95</f>
        <v>199.31017241379308</v>
      </c>
      <c r="O44">
        <f t="shared" ref="O44:X44" si="33">O58*1.95</f>
        <v>197.87413862068962</v>
      </c>
      <c r="P44">
        <f t="shared" si="33"/>
        <v>196.34144330068963</v>
      </c>
      <c r="Q44">
        <f t="shared" si="33"/>
        <v>194.71192152747307</v>
      </c>
      <c r="R44">
        <f t="shared" si="33"/>
        <v>192.98541114766365</v>
      </c>
      <c r="S44">
        <f t="shared" si="33"/>
        <v>191.16175273063575</v>
      </c>
      <c r="T44">
        <f t="shared" si="33"/>
        <v>189.24078951927277</v>
      </c>
      <c r="U44">
        <f>U58*1.95</f>
        <v>187.22236738165799</v>
      </c>
      <c r="V44">
        <f t="shared" si="33"/>
        <v>185.10633476368034</v>
      </c>
      <c r="W44">
        <f t="shared" si="33"/>
        <v>182.89254264253631</v>
      </c>
      <c r="X44">
        <f t="shared" si="33"/>
        <v>182.22153413628467</v>
      </c>
    </row>
    <row r="45" spans="2:29" x14ac:dyDescent="0.2">
      <c r="B45" t="s">
        <v>1</v>
      </c>
      <c r="C45" t="s">
        <v>20</v>
      </c>
      <c r="D45">
        <v>29.00845</v>
      </c>
      <c r="E45">
        <v>30.56183</v>
      </c>
      <c r="F45">
        <v>32.292169999999999</v>
      </c>
      <c r="G45">
        <v>34.569229999999997</v>
      </c>
      <c r="H45">
        <v>36.459769999999999</v>
      </c>
      <c r="I45">
        <v>38.294980000000002</v>
      </c>
      <c r="J45">
        <v>40.512500000000003</v>
      </c>
      <c r="K45">
        <v>43.0349</v>
      </c>
      <c r="L45">
        <v>45.305070000000001</v>
      </c>
      <c r="M45">
        <v>48.76567</v>
      </c>
      <c r="N45">
        <f>N53*(N21+N22)</f>
        <v>50.89916033186438</v>
      </c>
      <c r="O45">
        <f t="shared" ref="O45:X45" si="34">O53*(O21+O22)</f>
        <v>54.262858919059759</v>
      </c>
      <c r="P45">
        <f t="shared" si="34"/>
        <v>58.020669367772243</v>
      </c>
      <c r="Q45">
        <f t="shared" si="34"/>
        <v>62.216303864226745</v>
      </c>
      <c r="R45">
        <f t="shared" si="34"/>
        <v>66.897894904529338</v>
      </c>
      <c r="S45">
        <f t="shared" si="34"/>
        <v>72.118373885428355</v>
      </c>
      <c r="T45">
        <f t="shared" si="34"/>
        <v>77.935869017621187</v>
      </c>
      <c r="U45">
        <f t="shared" si="34"/>
        <v>84.414120550770605</v>
      </c>
      <c r="V45">
        <f t="shared" si="34"/>
        <v>91.62291035762685</v>
      </c>
      <c r="W45">
        <f t="shared" si="34"/>
        <v>99.638501758599631</v>
      </c>
      <c r="X45">
        <f t="shared" si="34"/>
        <v>111.03774006829155</v>
      </c>
    </row>
    <row r="46" spans="2:29" x14ac:dyDescent="0.2">
      <c r="B46" t="s">
        <v>3</v>
      </c>
      <c r="C46" t="s">
        <v>20</v>
      </c>
      <c r="D46">
        <v>28.094619999999999</v>
      </c>
      <c r="E46">
        <v>28.512609999999999</v>
      </c>
      <c r="F46">
        <v>28.767289999999999</v>
      </c>
      <c r="G46">
        <v>29.456990000000001</v>
      </c>
      <c r="H46">
        <v>30.499179999999999</v>
      </c>
      <c r="I46">
        <v>29.334599999999998</v>
      </c>
      <c r="J46">
        <v>30.57546</v>
      </c>
      <c r="K46">
        <v>29.229990000000001</v>
      </c>
      <c r="L46">
        <v>29.864979999999999</v>
      </c>
      <c r="M46">
        <v>30.73584</v>
      </c>
      <c r="N46">
        <f>N54*N23</f>
        <v>31.350299117184782</v>
      </c>
      <c r="O46">
        <f t="shared" ref="O46:X46" si="35">O54*O23</f>
        <v>31.977305099528476</v>
      </c>
      <c r="P46">
        <f t="shared" si="35"/>
        <v>32.616851201519047</v>
      </c>
      <c r="Q46">
        <f t="shared" si="35"/>
        <v>33.269188225549428</v>
      </c>
      <c r="R46">
        <f t="shared" si="35"/>
        <v>33.934571990060419</v>
      </c>
      <c r="S46">
        <f t="shared" si="35"/>
        <v>34.613263429861625</v>
      </c>
      <c r="T46">
        <f t="shared" si="35"/>
        <v>35.305528698458865</v>
      </c>
      <c r="U46">
        <f t="shared" si="35"/>
        <v>36.011639272428042</v>
      </c>
      <c r="V46">
        <f t="shared" si="35"/>
        <v>36.7318720578766</v>
      </c>
      <c r="W46">
        <f t="shared" si="35"/>
        <v>37.466509499034132</v>
      </c>
      <c r="X46">
        <f t="shared" si="35"/>
        <v>38.215839689014821</v>
      </c>
    </row>
    <row r="48" spans="2:29" x14ac:dyDescent="0.2">
      <c r="B48" t="s">
        <v>22</v>
      </c>
    </row>
    <row r="50" spans="2:29" x14ac:dyDescent="0.2">
      <c r="B50" t="s">
        <v>5</v>
      </c>
      <c r="C50">
        <v>0.1555</v>
      </c>
      <c r="D50">
        <v>0.1555</v>
      </c>
      <c r="E50">
        <v>0.1555</v>
      </c>
      <c r="F50">
        <v>0.1555</v>
      </c>
      <c r="G50">
        <v>0.1555</v>
      </c>
      <c r="H50">
        <v>0.1555</v>
      </c>
      <c r="I50">
        <v>0.1555</v>
      </c>
      <c r="J50">
        <v>0.1555</v>
      </c>
      <c r="K50">
        <v>0.1555</v>
      </c>
      <c r="L50">
        <v>1.555E-2</v>
      </c>
      <c r="M50">
        <v>1.555E-2</v>
      </c>
      <c r="N50">
        <v>1.555E-2</v>
      </c>
      <c r="O50">
        <v>1.555E-2</v>
      </c>
      <c r="P50">
        <v>1.555E-2</v>
      </c>
      <c r="Q50">
        <v>1.555E-2</v>
      </c>
      <c r="R50">
        <v>1.555E-2</v>
      </c>
      <c r="S50">
        <v>1.555E-2</v>
      </c>
      <c r="T50">
        <v>1.555E-2</v>
      </c>
      <c r="U50">
        <v>1.555E-2</v>
      </c>
      <c r="V50">
        <v>1.555E-2</v>
      </c>
      <c r="W50">
        <v>1.555E-2</v>
      </c>
      <c r="X50">
        <v>1.555E-2</v>
      </c>
    </row>
    <row r="51" spans="2:29" x14ac:dyDescent="0.2">
      <c r="B51" t="s">
        <v>6</v>
      </c>
      <c r="C51">
        <v>2.1899999999999999E-2</v>
      </c>
      <c r="D51">
        <v>2.1899999999999999E-2</v>
      </c>
      <c r="E51">
        <v>2.1899999999999999E-2</v>
      </c>
      <c r="F51">
        <v>2.1899999999999999E-2</v>
      </c>
      <c r="G51">
        <v>2.1899999999999999E-2</v>
      </c>
      <c r="H51">
        <v>2.1899999999999999E-2</v>
      </c>
      <c r="I51">
        <v>2.1899999999999999E-2</v>
      </c>
      <c r="J51">
        <v>2.1899999999999999E-2</v>
      </c>
      <c r="K51">
        <v>2.1899999999999999E-2</v>
      </c>
      <c r="L51">
        <v>2.1222000000000001E-2</v>
      </c>
      <c r="M51">
        <v>2.1222000000000001E-2</v>
      </c>
      <c r="N51">
        <v>2.1222000000000001E-2</v>
      </c>
      <c r="O51">
        <v>2.1222000000000001E-2</v>
      </c>
      <c r="P51">
        <v>2.1222000000000001E-2</v>
      </c>
      <c r="Q51">
        <v>2.1222000000000001E-2</v>
      </c>
      <c r="R51">
        <v>2.1222000000000001E-2</v>
      </c>
      <c r="S51">
        <v>2.1222000000000001E-2</v>
      </c>
      <c r="T51">
        <v>2.1222000000000001E-2</v>
      </c>
      <c r="U51">
        <v>2.1222000000000001E-2</v>
      </c>
      <c r="V51">
        <v>2.1222000000000001E-2</v>
      </c>
      <c r="W51">
        <v>2.1222000000000001E-2</v>
      </c>
      <c r="X51">
        <v>2.1222000000000001E-2</v>
      </c>
    </row>
    <row r="52" spans="2:29" x14ac:dyDescent="0.2">
      <c r="B52" t="s">
        <v>7</v>
      </c>
      <c r="L52">
        <v>8.0000000000000002E-3</v>
      </c>
      <c r="M52">
        <v>8.0000000000000002E-3</v>
      </c>
      <c r="N52" s="12">
        <v>7.6E-3</v>
      </c>
      <c r="O52" s="12">
        <v>7.2199999999999999E-3</v>
      </c>
      <c r="P52" s="12">
        <v>6.8589999999999996E-3</v>
      </c>
      <c r="Q52" s="12">
        <v>6.5160499999999989E-3</v>
      </c>
      <c r="R52" s="12">
        <v>6.1902474999999983E-3</v>
      </c>
      <c r="S52" s="12">
        <v>5.880735124999998E-3</v>
      </c>
      <c r="T52" s="12">
        <v>5.5866983687499977E-3</v>
      </c>
      <c r="U52" s="12">
        <v>5.3073634503124972E-3</v>
      </c>
      <c r="V52" s="12">
        <v>5.0419952777968719E-3</v>
      </c>
      <c r="W52" s="12">
        <v>4.7898955139070278E-3</v>
      </c>
      <c r="X52" s="12">
        <f>W52*0.95</f>
        <v>4.5504007382116763E-3</v>
      </c>
      <c r="Y52" s="12"/>
      <c r="Z52" s="12"/>
      <c r="AA52" s="12"/>
      <c r="AB52" s="12"/>
      <c r="AC52" s="12"/>
    </row>
    <row r="53" spans="2:29" x14ac:dyDescent="0.2">
      <c r="B53" t="s">
        <v>1</v>
      </c>
      <c r="I53">
        <v>5.097E-3</v>
      </c>
      <c r="J53">
        <v>5.097E-3</v>
      </c>
      <c r="K53">
        <v>5.0309999999999999E-3</v>
      </c>
      <c r="L53">
        <v>4.9420000000000002E-3</v>
      </c>
      <c r="M53">
        <v>4.8530000000000005E-3</v>
      </c>
      <c r="N53">
        <v>4.7640000000000009E-3</v>
      </c>
      <c r="O53">
        <v>4.6750000000000012E-3</v>
      </c>
      <c r="P53">
        <v>4.5860000000000015E-3</v>
      </c>
      <c r="Q53">
        <v>4.4970000000000019E-3</v>
      </c>
      <c r="R53">
        <v>4.4080000000000022E-3</v>
      </c>
      <c r="S53">
        <v>4.3190000000000025E-3</v>
      </c>
      <c r="T53">
        <v>4.2300000000000029E-3</v>
      </c>
      <c r="U53">
        <v>4.1410000000000032E-3</v>
      </c>
      <c r="V53">
        <v>4.0520000000000035E-3</v>
      </c>
      <c r="W53">
        <v>3.9630000000000038E-3</v>
      </c>
      <c r="X53">
        <v>3.9630000000000038E-3</v>
      </c>
    </row>
    <row r="54" spans="2:29" x14ac:dyDescent="0.2">
      <c r="B54" t="s">
        <v>3</v>
      </c>
      <c r="C54">
        <v>1.0909E-2</v>
      </c>
      <c r="D54">
        <v>1.0909E-2</v>
      </c>
      <c r="E54">
        <v>1.0909E-2</v>
      </c>
      <c r="F54">
        <v>1.0909E-2</v>
      </c>
      <c r="G54">
        <v>1.0909E-2</v>
      </c>
      <c r="H54">
        <v>1.0909E-2</v>
      </c>
      <c r="I54">
        <v>1.0909E-2</v>
      </c>
      <c r="J54">
        <v>1.0909E-2</v>
      </c>
      <c r="K54">
        <v>1.0909E-2</v>
      </c>
      <c r="L54">
        <v>1.0909E-2</v>
      </c>
      <c r="M54">
        <v>1.0909E-2</v>
      </c>
      <c r="N54">
        <v>1.0909E-2</v>
      </c>
      <c r="O54">
        <v>1.0909E-2</v>
      </c>
      <c r="P54">
        <v>1.0909E-2</v>
      </c>
      <c r="Q54">
        <v>1.0909E-2</v>
      </c>
      <c r="R54">
        <v>1.0909E-2</v>
      </c>
      <c r="S54">
        <v>1.0909E-2</v>
      </c>
      <c r="T54">
        <v>1.0909E-2</v>
      </c>
      <c r="U54">
        <v>1.0909E-2</v>
      </c>
      <c r="V54">
        <v>1.0909E-2</v>
      </c>
      <c r="W54">
        <v>1.0909E-2</v>
      </c>
      <c r="X54">
        <v>1.0909E-2</v>
      </c>
    </row>
    <row r="55" spans="2:29" x14ac:dyDescent="0.2">
      <c r="L55">
        <v>-8.899999999999967E-5</v>
      </c>
    </row>
    <row r="57" spans="2:29" x14ac:dyDescent="0.2">
      <c r="B57" t="s">
        <v>23</v>
      </c>
    </row>
    <row r="58" spans="2:29" x14ac:dyDescent="0.2">
      <c r="B58" t="s">
        <v>30</v>
      </c>
      <c r="C58" t="s">
        <v>29</v>
      </c>
      <c r="D58">
        <f t="shared" ref="D58:K58" si="36">D59*1.03</f>
        <v>93.551651544660572</v>
      </c>
      <c r="E58">
        <f t="shared" si="36"/>
        <v>95.412871350111033</v>
      </c>
      <c r="F58">
        <f t="shared" si="36"/>
        <v>97.143332586290768</v>
      </c>
      <c r="G58">
        <f t="shared" si="36"/>
        <v>98.108949916899022</v>
      </c>
      <c r="H58">
        <f t="shared" si="36"/>
        <v>98.481923410494915</v>
      </c>
      <c r="I58">
        <f t="shared" si="36"/>
        <v>89.552394877388011</v>
      </c>
      <c r="J58">
        <f t="shared" si="36"/>
        <v>94.559875600087366</v>
      </c>
      <c r="K58">
        <f t="shared" si="36"/>
        <v>97.688252838547967</v>
      </c>
      <c r="L58">
        <f>L59*1.04</f>
        <v>100.98755966116745</v>
      </c>
      <c r="M58">
        <f t="shared" ref="M58" si="37">M59*1.04</f>
        <v>101.82249269395075</v>
      </c>
      <c r="N58" s="21">
        <f>SUM(N71:N76)</f>
        <v>102.2103448275862</v>
      </c>
      <c r="O58" s="21">
        <f t="shared" ref="O58:X58" si="38">SUM(O71:O76)</f>
        <v>101.4739172413793</v>
      </c>
      <c r="P58" s="21">
        <f t="shared" si="38"/>
        <v>100.6879196413793</v>
      </c>
      <c r="Q58" s="21">
        <f t="shared" si="38"/>
        <v>99.852267449986186</v>
      </c>
      <c r="R58" s="21">
        <f t="shared" si="38"/>
        <v>98.966877511622386</v>
      </c>
      <c r="S58" s="21">
        <f t="shared" si="38"/>
        <v>98.031668066992694</v>
      </c>
      <c r="T58" s="21">
        <f>SUM(T71:T76)</f>
        <v>97.046558727832192</v>
      </c>
      <c r="U58" s="21">
        <f t="shared" si="38"/>
        <v>96.011470452132301</v>
      </c>
      <c r="V58" s="21">
        <f t="shared" si="38"/>
        <v>94.92632551983607</v>
      </c>
      <c r="W58" s="21">
        <f t="shared" si="38"/>
        <v>93.791047508992989</v>
      </c>
      <c r="X58" s="21">
        <f t="shared" si="38"/>
        <v>93.446940582710084</v>
      </c>
    </row>
    <row r="59" spans="2:29" x14ac:dyDescent="0.2">
      <c r="B59" t="s">
        <v>7</v>
      </c>
      <c r="C59" t="s">
        <v>29</v>
      </c>
      <c r="D59">
        <f>D44*491.86387932245/1000</f>
        <v>90.82684615986463</v>
      </c>
      <c r="E59">
        <f t="shared" ref="E59:M59" si="39">E44*491.86387932245/1000</f>
        <v>92.633855679719446</v>
      </c>
      <c r="F59">
        <f t="shared" si="39"/>
        <v>94.313915132321128</v>
      </c>
      <c r="G59">
        <f t="shared" si="39"/>
        <v>95.251407686309733</v>
      </c>
      <c r="H59">
        <f t="shared" si="39"/>
        <v>95.613517874266904</v>
      </c>
      <c r="I59">
        <f t="shared" si="39"/>
        <v>86.944072696493208</v>
      </c>
      <c r="J59">
        <f t="shared" si="39"/>
        <v>91.805704466104231</v>
      </c>
      <c r="K59">
        <f t="shared" si="39"/>
        <v>94.842963920920354</v>
      </c>
      <c r="L59">
        <f t="shared" si="39"/>
        <v>97.103422751122551</v>
      </c>
      <c r="M59">
        <f t="shared" si="39"/>
        <v>97.906242974952647</v>
      </c>
      <c r="N59">
        <f>N44*491.86387932245/1000 +1-N94</f>
        <v>97.671405626357384</v>
      </c>
      <c r="O59">
        <f t="shared" ref="O59:X59" si="40">O44*491.86387932245/1000 +1-O94</f>
        <v>96.534037991284748</v>
      </c>
      <c r="P59">
        <f t="shared" si="40"/>
        <v>95.280160525370192</v>
      </c>
      <c r="Q59">
        <f t="shared" si="40"/>
        <v>93.909692107314115</v>
      </c>
      <c r="R59">
        <f t="shared" si="40"/>
        <v>92.422552979727826</v>
      </c>
      <c r="S59">
        <f t="shared" si="40"/>
        <v>90.818664724445313</v>
      </c>
      <c r="T59">
        <f t="shared" si="40"/>
        <v>89.097950238303085</v>
      </c>
      <c r="U59">
        <f t="shared" si="40"/>
        <v>87.260333709378671</v>
      </c>
      <c r="V59">
        <f t="shared" si="40"/>
        <v>85.305740593679062</v>
      </c>
      <c r="W59">
        <f t="shared" si="40"/>
        <v>83.234097592270047</v>
      </c>
      <c r="X59">
        <f t="shared" si="40"/>
        <v>82.904052745326737</v>
      </c>
    </row>
    <row r="60" spans="2:29" x14ac:dyDescent="0.2">
      <c r="B60" t="s">
        <v>6</v>
      </c>
      <c r="C60" t="s">
        <v>24</v>
      </c>
      <c r="D60">
        <f>D43*27.77778</f>
        <v>3478.0058337959999</v>
      </c>
      <c r="E60">
        <f t="shared" ref="E60:X60" si="41">E43*27.77778</f>
        <v>3558.3975068940003</v>
      </c>
      <c r="F60">
        <f t="shared" si="41"/>
        <v>3660.3058483799996</v>
      </c>
      <c r="G60">
        <f t="shared" si="41"/>
        <v>3831.7058620919997</v>
      </c>
      <c r="H60">
        <f t="shared" si="41"/>
        <v>3905.3169790919997</v>
      </c>
      <c r="I60">
        <f t="shared" si="41"/>
        <v>3870.405865188</v>
      </c>
      <c r="J60">
        <f t="shared" si="41"/>
        <v>4022.5725440280003</v>
      </c>
      <c r="K60">
        <f t="shared" si="41"/>
        <v>4005.964209366</v>
      </c>
      <c r="L60">
        <f t="shared" si="41"/>
        <v>4015.1225434319999</v>
      </c>
      <c r="M60">
        <f t="shared" si="41"/>
        <v>4127.8281080039997</v>
      </c>
      <c r="N60">
        <f t="shared" si="41"/>
        <v>4263.7788742080174</v>
      </c>
      <c r="O60">
        <f t="shared" si="41"/>
        <v>4341.9737416836479</v>
      </c>
      <c r="P60">
        <f t="shared" si="41"/>
        <v>4401.2996364790542</v>
      </c>
      <c r="Q60">
        <f t="shared" si="41"/>
        <v>4437.469966920401</v>
      </c>
      <c r="R60">
        <f t="shared" si="41"/>
        <v>4445.4944780139967</v>
      </c>
      <c r="S60">
        <f t="shared" si="41"/>
        <v>4419.5719418305844</v>
      </c>
      <c r="T60">
        <f t="shared" si="41"/>
        <v>4352.9668340838871</v>
      </c>
      <c r="U60">
        <f t="shared" si="41"/>
        <v>4237.8676261408482</v>
      </c>
      <c r="V60">
        <f t="shared" si="41"/>
        <v>4065.2239721498631</v>
      </c>
      <c r="W60">
        <f t="shared" si="41"/>
        <v>3824.5596700301294</v>
      </c>
      <c r="X60">
        <f t="shared" si="41"/>
        <v>3503.7578151921775</v>
      </c>
    </row>
    <row r="61" spans="2:29" x14ac:dyDescent="0.2">
      <c r="B61" s="1" t="s">
        <v>31</v>
      </c>
      <c r="C61" t="s">
        <v>24</v>
      </c>
      <c r="D61">
        <v>447.74716923425092</v>
      </c>
      <c r="E61">
        <v>481.76282217104477</v>
      </c>
      <c r="F61">
        <v>511.8240229594773</v>
      </c>
      <c r="G61">
        <v>512.36680656903764</v>
      </c>
      <c r="H61">
        <v>510.7813643675957</v>
      </c>
      <c r="I61">
        <v>459.61808615806171</v>
      </c>
      <c r="J61">
        <v>509.29358662579693</v>
      </c>
      <c r="K61">
        <v>427.35608453762632</v>
      </c>
      <c r="L61">
        <v>387.71252710573992</v>
      </c>
      <c r="M61">
        <v>419.5155574080477</v>
      </c>
      <c r="N61">
        <f>N60*0.1</f>
        <v>426.37788742080176</v>
      </c>
      <c r="O61">
        <f t="shared" ref="O61:X61" si="42">O60*0.1</f>
        <v>434.19737416836483</v>
      </c>
      <c r="P61">
        <f t="shared" si="42"/>
        <v>440.12996364790547</v>
      </c>
      <c r="Q61">
        <f t="shared" si="42"/>
        <v>443.74699669204011</v>
      </c>
      <c r="R61">
        <f t="shared" si="42"/>
        <v>444.54944780139971</v>
      </c>
      <c r="S61">
        <f t="shared" si="42"/>
        <v>441.95719418305845</v>
      </c>
      <c r="T61">
        <f t="shared" si="42"/>
        <v>435.29668340838873</v>
      </c>
      <c r="U61">
        <f t="shared" si="42"/>
        <v>423.78676261408486</v>
      </c>
      <c r="V61">
        <f t="shared" si="42"/>
        <v>406.52239721498631</v>
      </c>
      <c r="W61">
        <f t="shared" si="42"/>
        <v>382.45596700301297</v>
      </c>
      <c r="X61">
        <f t="shared" si="42"/>
        <v>350.37578151921775</v>
      </c>
    </row>
    <row r="62" spans="2:29" x14ac:dyDescent="0.2">
      <c r="B62" t="s">
        <v>25</v>
      </c>
      <c r="C62" t="s">
        <v>24</v>
      </c>
      <c r="D62">
        <v>281.88431039232222</v>
      </c>
      <c r="E62">
        <v>292.59384311690195</v>
      </c>
      <c r="F62">
        <v>319.0104100376119</v>
      </c>
      <c r="G62">
        <v>355.51949903928511</v>
      </c>
      <c r="H62">
        <v>406.90438104004431</v>
      </c>
      <c r="I62">
        <v>417.34363134733883</v>
      </c>
      <c r="J62">
        <v>448.40150481574614</v>
      </c>
      <c r="K62">
        <v>456.75137123343069</v>
      </c>
      <c r="L62">
        <v>466.24066658202645</v>
      </c>
      <c r="M62">
        <v>465.30967402347062</v>
      </c>
      <c r="N62">
        <f>N60*0.11</f>
        <v>469.0156761628819</v>
      </c>
      <c r="O62">
        <f t="shared" ref="O62:X62" si="43">O60*0.11</f>
        <v>477.61711158520126</v>
      </c>
      <c r="P62">
        <f t="shared" si="43"/>
        <v>484.14296001269599</v>
      </c>
      <c r="Q62">
        <f t="shared" si="43"/>
        <v>488.12169636124412</v>
      </c>
      <c r="R62">
        <f t="shared" si="43"/>
        <v>489.00439258153966</v>
      </c>
      <c r="S62">
        <f t="shared" si="43"/>
        <v>486.15291360136428</v>
      </c>
      <c r="T62">
        <f t="shared" si="43"/>
        <v>478.82635174922757</v>
      </c>
      <c r="U62">
        <f t="shared" si="43"/>
        <v>466.16543887549329</v>
      </c>
      <c r="V62">
        <f t="shared" si="43"/>
        <v>447.17463693648494</v>
      </c>
      <c r="W62">
        <f t="shared" si="43"/>
        <v>420.70156370331421</v>
      </c>
      <c r="X62">
        <f t="shared" si="43"/>
        <v>385.41335967113952</v>
      </c>
    </row>
    <row r="63" spans="2:29" x14ac:dyDescent="0.2">
      <c r="B63" s="13" t="s">
        <v>26</v>
      </c>
      <c r="C63" t="s">
        <v>24</v>
      </c>
      <c r="D63">
        <f>(D26/0.46)/10.43</f>
        <v>1174.019550627371</v>
      </c>
      <c r="E63">
        <f t="shared" ref="E63:X63" si="44">(E26/0.46)/10.43</f>
        <v>1234.1577389636918</v>
      </c>
      <c r="F63">
        <f t="shared" si="44"/>
        <v>1258.0839134603359</v>
      </c>
      <c r="G63">
        <f t="shared" si="44"/>
        <v>1312.308349660261</v>
      </c>
      <c r="H63">
        <f t="shared" si="44"/>
        <v>1351.7364208595607</v>
      </c>
      <c r="I63">
        <f t="shared" si="44"/>
        <v>1345.7724373671267</v>
      </c>
      <c r="J63">
        <f t="shared" si="44"/>
        <v>1381.9544374504983</v>
      </c>
      <c r="K63">
        <f t="shared" si="44"/>
        <v>1395.6536329150861</v>
      </c>
      <c r="L63">
        <f t="shared" si="44"/>
        <v>1419.3284422026763</v>
      </c>
      <c r="M63">
        <f t="shared" si="44"/>
        <v>1459.2561173871359</v>
      </c>
      <c r="N63">
        <f t="shared" si="44"/>
        <v>1507.5394617732923</v>
      </c>
      <c r="O63">
        <f t="shared" si="44"/>
        <v>1535.1867323999948</v>
      </c>
      <c r="P63">
        <f t="shared" si="44"/>
        <v>1556.1625217520398</v>
      </c>
      <c r="Q63">
        <f t="shared" si="44"/>
        <v>1568.9512244719569</v>
      </c>
      <c r="R63">
        <f t="shared" si="44"/>
        <v>1571.7884417601729</v>
      </c>
      <c r="S63">
        <f t="shared" si="44"/>
        <v>1562.6230400358636</v>
      </c>
      <c r="T63">
        <f t="shared" si="44"/>
        <v>1539.0735476146695</v>
      </c>
      <c r="U63">
        <f t="shared" si="44"/>
        <v>1498.3780511754435</v>
      </c>
      <c r="V63">
        <f t="shared" si="44"/>
        <v>1437.3366301977926</v>
      </c>
      <c r="W63">
        <f t="shared" si="44"/>
        <v>1352.2452257911748</v>
      </c>
      <c r="X63">
        <f t="shared" si="44"/>
        <v>1238.8196777394808</v>
      </c>
    </row>
    <row r="64" spans="2:29" x14ac:dyDescent="0.2">
      <c r="B64" t="s">
        <v>27</v>
      </c>
      <c r="C64" t="s">
        <v>28</v>
      </c>
      <c r="D64">
        <f>D42*50.0942</f>
        <v>7879.9779614400004</v>
      </c>
      <c r="E64">
        <f t="shared" ref="E64:X64" si="45">E42*50.0942</f>
        <v>7712.7134276400002</v>
      </c>
      <c r="F64">
        <f t="shared" si="45"/>
        <v>7795.3989141600005</v>
      </c>
      <c r="G64">
        <f t="shared" si="45"/>
        <v>7916.4064636799994</v>
      </c>
      <c r="H64">
        <f t="shared" si="45"/>
        <v>7867.7649954800008</v>
      </c>
      <c r="I64">
        <f t="shared" si="45"/>
        <v>7631.2903149599997</v>
      </c>
      <c r="J64">
        <f t="shared" si="45"/>
        <v>8050.7290515600007</v>
      </c>
      <c r="K64">
        <f t="shared" si="45"/>
        <v>8102.0806159799995</v>
      </c>
      <c r="L64">
        <f t="shared" si="45"/>
        <v>8172.8036075399996</v>
      </c>
      <c r="M64">
        <f t="shared" si="45"/>
        <v>8268.6438309800014</v>
      </c>
      <c r="N64">
        <f t="shared" si="45"/>
        <v>8308.1434172806294</v>
      </c>
      <c r="O64">
        <f t="shared" si="45"/>
        <v>8345.6049129979274</v>
      </c>
      <c r="P64">
        <f t="shared" si="45"/>
        <v>8345.4984127705429</v>
      </c>
      <c r="Q64">
        <f t="shared" si="45"/>
        <v>8301.2970017139924</v>
      </c>
      <c r="R64">
        <f t="shared" si="45"/>
        <v>8205.5434124226249</v>
      </c>
      <c r="S64">
        <f t="shared" si="45"/>
        <v>8049.7225703990489</v>
      </c>
      <c r="T64">
        <f t="shared" si="45"/>
        <v>7824.1168439110461</v>
      </c>
      <c r="U64">
        <f t="shared" si="45"/>
        <v>7517.6416582792262</v>
      </c>
      <c r="V64">
        <f t="shared" si="45"/>
        <v>7117.6588185257251</v>
      </c>
      <c r="W64">
        <f t="shared" si="45"/>
        <v>6609.7645256085762</v>
      </c>
      <c r="X64">
        <f t="shared" si="45"/>
        <v>5977.5486643856175</v>
      </c>
    </row>
    <row r="66" spans="2:24" x14ac:dyDescent="0.2">
      <c r="B66" t="s">
        <v>41</v>
      </c>
    </row>
    <row r="67" spans="2:24" x14ac:dyDescent="0.2">
      <c r="B67" t="s">
        <v>42</v>
      </c>
      <c r="C67" t="s">
        <v>29</v>
      </c>
      <c r="D67">
        <f>D58*0.425</f>
        <v>39.759451906480741</v>
      </c>
      <c r="E67">
        <f t="shared" ref="E67:X67" si="46">E58*0.425</f>
        <v>40.550470323797185</v>
      </c>
      <c r="F67">
        <f t="shared" si="46"/>
        <v>41.285916349173576</v>
      </c>
      <c r="G67">
        <f t="shared" si="46"/>
        <v>41.696303714682081</v>
      </c>
      <c r="H67">
        <f t="shared" si="46"/>
        <v>41.854817449460334</v>
      </c>
      <c r="I67">
        <f t="shared" si="46"/>
        <v>38.059767822889903</v>
      </c>
      <c r="J67">
        <f t="shared" si="46"/>
        <v>40.187947130037131</v>
      </c>
      <c r="K67">
        <f t="shared" si="46"/>
        <v>41.517507456382887</v>
      </c>
      <c r="L67">
        <f t="shared" si="46"/>
        <v>42.919712855996167</v>
      </c>
      <c r="M67">
        <f t="shared" si="46"/>
        <v>43.274559394929071</v>
      </c>
      <c r="N67">
        <f t="shared" si="46"/>
        <v>43.43939655172413</v>
      </c>
      <c r="O67">
        <f t="shared" si="46"/>
        <v>43.126414827586203</v>
      </c>
      <c r="P67">
        <f t="shared" si="46"/>
        <v>42.792365847586197</v>
      </c>
      <c r="Q67">
        <f t="shared" si="46"/>
        <v>42.437213666244126</v>
      </c>
      <c r="R67">
        <f t="shared" si="46"/>
        <v>42.060922942439511</v>
      </c>
      <c r="S67">
        <f t="shared" si="46"/>
        <v>41.663458928471897</v>
      </c>
      <c r="T67">
        <f t="shared" si="46"/>
        <v>41.244787459328677</v>
      </c>
      <c r="U67">
        <f t="shared" si="46"/>
        <v>40.804874942156225</v>
      </c>
      <c r="V67">
        <f t="shared" si="46"/>
        <v>40.343688345930332</v>
      </c>
      <c r="W67">
        <f t="shared" si="46"/>
        <v>39.861195191322018</v>
      </c>
      <c r="X67">
        <f t="shared" si="46"/>
        <v>39.714949747651787</v>
      </c>
    </row>
    <row r="68" spans="2:24" x14ac:dyDescent="0.2">
      <c r="B68" t="s">
        <v>43</v>
      </c>
      <c r="C68" t="s">
        <v>29</v>
      </c>
      <c r="D68">
        <f>D58*0.257</f>
        <v>24.042774446977766</v>
      </c>
      <c r="E68">
        <f t="shared" ref="E68:X68" si="47">E58*0.257</f>
        <v>24.521107936978535</v>
      </c>
      <c r="F68">
        <f t="shared" si="47"/>
        <v>24.965836474676728</v>
      </c>
      <c r="G68">
        <f t="shared" si="47"/>
        <v>25.21400012864305</v>
      </c>
      <c r="H68">
        <f t="shared" si="47"/>
        <v>25.309854316497194</v>
      </c>
      <c r="I68">
        <f t="shared" si="47"/>
        <v>23.014965483488719</v>
      </c>
      <c r="J68">
        <f t="shared" si="47"/>
        <v>24.301888029222454</v>
      </c>
      <c r="K68">
        <f t="shared" si="47"/>
        <v>25.105880979506829</v>
      </c>
      <c r="L68">
        <f t="shared" si="47"/>
        <v>25.953802832920037</v>
      </c>
      <c r="M68">
        <f t="shared" si="47"/>
        <v>26.168380622345342</v>
      </c>
      <c r="N68">
        <f t="shared" si="47"/>
        <v>26.268058620689654</v>
      </c>
      <c r="O68">
        <f t="shared" si="47"/>
        <v>26.07879673103448</v>
      </c>
      <c r="P68">
        <f t="shared" si="47"/>
        <v>25.876795347834481</v>
      </c>
      <c r="Q68">
        <f t="shared" si="47"/>
        <v>25.662032734646452</v>
      </c>
      <c r="R68">
        <f t="shared" si="47"/>
        <v>25.434487520486954</v>
      </c>
      <c r="S68">
        <f t="shared" si="47"/>
        <v>25.194138693217123</v>
      </c>
      <c r="T68">
        <f t="shared" si="47"/>
        <v>24.940965593052873</v>
      </c>
      <c r="U68">
        <f t="shared" si="47"/>
        <v>24.674947906198003</v>
      </c>
      <c r="V68">
        <f t="shared" si="47"/>
        <v>24.39606565859787</v>
      </c>
      <c r="W68">
        <f t="shared" si="47"/>
        <v>24.104299209811199</v>
      </c>
      <c r="X68">
        <f t="shared" si="47"/>
        <v>24.015863729756493</v>
      </c>
    </row>
    <row r="70" spans="2:24" x14ac:dyDescent="0.2">
      <c r="B70" t="s">
        <v>44</v>
      </c>
      <c r="N70" s="21"/>
    </row>
    <row r="71" spans="2:24" x14ac:dyDescent="0.2">
      <c r="B71" t="s">
        <v>45</v>
      </c>
      <c r="C71" t="s">
        <v>29</v>
      </c>
      <c r="N71" s="21">
        <f>24+$M$95-N95</f>
        <v>23.710344827586209</v>
      </c>
      <c r="O71" s="21">
        <f t="shared" ref="O71:X71" si="48">24+$M$95-O95</f>
        <v>23.365517241379312</v>
      </c>
      <c r="P71" s="21">
        <f t="shared" si="48"/>
        <v>22.96551724137931</v>
      </c>
      <c r="Q71" s="21">
        <f t="shared" si="48"/>
        <v>22.510344827586209</v>
      </c>
      <c r="R71" s="21">
        <f t="shared" si="48"/>
        <v>22</v>
      </c>
      <c r="S71" s="21">
        <f t="shared" si="48"/>
        <v>21.434482758620689</v>
      </c>
      <c r="T71" s="21">
        <f t="shared" si="48"/>
        <v>20.813793103448276</v>
      </c>
      <c r="U71" s="21">
        <f t="shared" si="48"/>
        <v>20.137931034482758</v>
      </c>
      <c r="V71" s="21">
        <f t="shared" si="48"/>
        <v>19.406896551724138</v>
      </c>
      <c r="W71" s="21">
        <f t="shared" si="48"/>
        <v>18.620689655172413</v>
      </c>
      <c r="X71" s="21">
        <f t="shared" si="48"/>
        <v>18.620689655172413</v>
      </c>
    </row>
    <row r="72" spans="2:24" x14ac:dyDescent="0.2">
      <c r="B72" t="s">
        <v>46</v>
      </c>
      <c r="C72" t="s">
        <v>29</v>
      </c>
      <c r="N72">
        <v>27</v>
      </c>
      <c r="O72">
        <f>N72*0.99</f>
        <v>26.73</v>
      </c>
      <c r="P72">
        <f t="shared" ref="P72:X72" si="49">O72*0.99</f>
        <v>26.462700000000002</v>
      </c>
      <c r="Q72">
        <f t="shared" si="49"/>
        <v>26.198073000000001</v>
      </c>
      <c r="R72">
        <f t="shared" si="49"/>
        <v>25.93609227</v>
      </c>
      <c r="S72">
        <f t="shared" si="49"/>
        <v>25.676731347299999</v>
      </c>
      <c r="T72">
        <f t="shared" si="49"/>
        <v>25.419964033827</v>
      </c>
      <c r="U72">
        <f t="shared" si="49"/>
        <v>25.165764393488729</v>
      </c>
      <c r="V72">
        <f>U72*0.99</f>
        <v>24.914106749553842</v>
      </c>
      <c r="W72">
        <f t="shared" si="49"/>
        <v>24.664965682058302</v>
      </c>
      <c r="X72">
        <f t="shared" si="49"/>
        <v>24.418316025237718</v>
      </c>
    </row>
    <row r="73" spans="2:24" x14ac:dyDescent="0.2">
      <c r="B73" t="s">
        <v>47</v>
      </c>
      <c r="C73" t="s">
        <v>29</v>
      </c>
      <c r="N73">
        <v>7.3</v>
      </c>
      <c r="O73">
        <v>7.3</v>
      </c>
      <c r="P73">
        <v>7.3</v>
      </c>
      <c r="Q73">
        <v>7.3</v>
      </c>
      <c r="R73">
        <v>7.3</v>
      </c>
      <c r="S73">
        <v>7.3</v>
      </c>
      <c r="T73">
        <v>7.3</v>
      </c>
      <c r="U73">
        <v>7.3</v>
      </c>
      <c r="V73">
        <v>7.3</v>
      </c>
      <c r="W73">
        <v>7.3</v>
      </c>
      <c r="X73">
        <v>7.3</v>
      </c>
    </row>
    <row r="74" spans="2:24" x14ac:dyDescent="0.2">
      <c r="B74" t="s">
        <v>48</v>
      </c>
      <c r="C74" t="s">
        <v>29</v>
      </c>
      <c r="N74">
        <v>14.6</v>
      </c>
      <c r="O74">
        <v>14.6</v>
      </c>
      <c r="P74">
        <v>14.6</v>
      </c>
      <c r="Q74">
        <v>14.6</v>
      </c>
      <c r="R74">
        <v>14.6</v>
      </c>
      <c r="S74">
        <v>14.6</v>
      </c>
      <c r="T74">
        <v>14.6</v>
      </c>
      <c r="U74">
        <v>14.6</v>
      </c>
      <c r="V74">
        <v>14.6</v>
      </c>
      <c r="W74">
        <v>14.6</v>
      </c>
      <c r="X74">
        <v>14.6</v>
      </c>
    </row>
    <row r="75" spans="2:24" x14ac:dyDescent="0.2">
      <c r="B75" t="s">
        <v>49</v>
      </c>
      <c r="C75" t="s">
        <v>29</v>
      </c>
      <c r="N75">
        <v>7.2</v>
      </c>
      <c r="O75">
        <f>N75*0.98</f>
        <v>7.056</v>
      </c>
      <c r="P75">
        <f t="shared" ref="P75:X75" si="50">O75*0.98</f>
        <v>6.9148800000000001</v>
      </c>
      <c r="Q75">
        <f t="shared" si="50"/>
        <v>6.7765823999999997</v>
      </c>
      <c r="R75">
        <f t="shared" si="50"/>
        <v>6.6410507519999999</v>
      </c>
      <c r="S75">
        <f t="shared" si="50"/>
        <v>6.5082297369599997</v>
      </c>
      <c r="T75">
        <f t="shared" si="50"/>
        <v>6.3780651422207999</v>
      </c>
      <c r="U75">
        <f>T75*0.98</f>
        <v>6.2505038393763837</v>
      </c>
      <c r="V75">
        <f t="shared" si="50"/>
        <v>6.1254937625888557</v>
      </c>
      <c r="W75">
        <f t="shared" si="50"/>
        <v>6.0029838873370789</v>
      </c>
      <c r="X75">
        <f t="shared" si="50"/>
        <v>5.8829242095903371</v>
      </c>
    </row>
    <row r="76" spans="2:24" x14ac:dyDescent="0.2">
      <c r="B76" t="s">
        <v>8</v>
      </c>
      <c r="C76" t="s">
        <v>29</v>
      </c>
      <c r="N76">
        <v>22.4</v>
      </c>
      <c r="O76">
        <f>N76*1.001</f>
        <v>22.422399999999996</v>
      </c>
      <c r="P76">
        <f t="shared" ref="P76:X76" si="51">O76*1.001</f>
        <v>22.444822399999993</v>
      </c>
      <c r="Q76">
        <f t="shared" si="51"/>
        <v>22.46726722239999</v>
      </c>
      <c r="R76">
        <f t="shared" si="51"/>
        <v>22.489734489622386</v>
      </c>
      <c r="S76">
        <f t="shared" si="51"/>
        <v>22.512224224112007</v>
      </c>
      <c r="T76">
        <f t="shared" si="51"/>
        <v>22.534736448336115</v>
      </c>
      <c r="U76">
        <f t="shared" si="51"/>
        <v>22.557271184784447</v>
      </c>
      <c r="V76">
        <f t="shared" si="51"/>
        <v>22.579828455969228</v>
      </c>
      <c r="W76">
        <f t="shared" si="51"/>
        <v>22.602408284425195</v>
      </c>
      <c r="X76">
        <f t="shared" si="51"/>
        <v>22.625010692709619</v>
      </c>
    </row>
    <row r="79" spans="2:24" x14ac:dyDescent="0.2">
      <c r="B79" t="s">
        <v>50</v>
      </c>
      <c r="C79" t="s">
        <v>0</v>
      </c>
      <c r="N79">
        <f>N21</f>
        <v>6173.3259491400013</v>
      </c>
      <c r="O79">
        <f t="shared" ref="O79:X79" si="52">O21</f>
        <v>7037.5915820196024</v>
      </c>
      <c r="P79">
        <f t="shared" si="52"/>
        <v>8022.8544035023479</v>
      </c>
      <c r="Q79">
        <f t="shared" si="52"/>
        <v>9146.0540199926781</v>
      </c>
      <c r="R79">
        <f t="shared" si="52"/>
        <v>10426.501582791654</v>
      </c>
      <c r="S79">
        <f t="shared" si="52"/>
        <v>11886.211804382487</v>
      </c>
      <c r="T79">
        <f t="shared" si="52"/>
        <v>13550.281456996036</v>
      </c>
      <c r="U79">
        <f t="shared" si="52"/>
        <v>15447.320860975482</v>
      </c>
      <c r="V79">
        <f t="shared" si="52"/>
        <v>17609.945781512051</v>
      </c>
      <c r="W79">
        <f t="shared" si="52"/>
        <v>20075.33819092374</v>
      </c>
      <c r="X79">
        <f t="shared" si="52"/>
        <v>22885.885537653066</v>
      </c>
    </row>
    <row r="80" spans="2:24" x14ac:dyDescent="0.2">
      <c r="B80" t="s">
        <v>51</v>
      </c>
      <c r="C80" t="s">
        <v>0</v>
      </c>
      <c r="D80">
        <v>256.53352000000001</v>
      </c>
      <c r="E80">
        <v>328.01477399999999</v>
      </c>
      <c r="F80">
        <v>445.88455099999999</v>
      </c>
      <c r="G80">
        <v>575.57345699999996</v>
      </c>
      <c r="H80">
        <v>706.52707399999997</v>
      </c>
      <c r="I80">
        <v>857.28135599999996</v>
      </c>
      <c r="J80">
        <v>1052.791021</v>
      </c>
      <c r="K80">
        <v>1322.646522</v>
      </c>
      <c r="L80">
        <v>1650.8985869999999</v>
      </c>
      <c r="M80">
        <v>2111.7333330000001</v>
      </c>
      <c r="N80">
        <f>N79-N81-N82</f>
        <v>2649.8610811400013</v>
      </c>
      <c r="O80">
        <f t="shared" ref="O80:X80" si="53">O79-O81-O82</f>
        <v>3294.1267140196019</v>
      </c>
      <c r="P80">
        <f t="shared" si="53"/>
        <v>4059.3895355023474</v>
      </c>
      <c r="Q80">
        <f t="shared" si="53"/>
        <v>4962.5891519926772</v>
      </c>
      <c r="R80">
        <f t="shared" si="53"/>
        <v>6023.0367147916531</v>
      </c>
      <c r="S80">
        <f t="shared" si="53"/>
        <v>7262.7469363824857</v>
      </c>
      <c r="T80">
        <f t="shared" si="53"/>
        <v>8706.8165889960346</v>
      </c>
      <c r="U80">
        <f t="shared" si="53"/>
        <v>10383.855992975481</v>
      </c>
      <c r="V80">
        <f t="shared" si="53"/>
        <v>12326.48091351205</v>
      </c>
      <c r="W80">
        <f t="shared" si="53"/>
        <v>14571.873322923739</v>
      </c>
      <c r="X80">
        <f t="shared" si="53"/>
        <v>17162.420669653064</v>
      </c>
    </row>
    <row r="81" spans="2:24" x14ac:dyDescent="0.2">
      <c r="B81" t="s">
        <v>52</v>
      </c>
      <c r="C81" t="s">
        <v>0</v>
      </c>
      <c r="D81">
        <v>831.75203199999999</v>
      </c>
      <c r="E81">
        <v>962.66428299999995</v>
      </c>
      <c r="F81">
        <v>1142.5314269999999</v>
      </c>
      <c r="G81">
        <v>1271.1878919999999</v>
      </c>
      <c r="H81">
        <v>1422.2594099999999</v>
      </c>
      <c r="I81">
        <v>1595.766601</v>
      </c>
      <c r="J81">
        <v>1860.6091670000001</v>
      </c>
      <c r="K81">
        <v>2110.132834</v>
      </c>
      <c r="L81">
        <v>2322.73533</v>
      </c>
      <c r="M81">
        <v>2511.0307090000001</v>
      </c>
      <c r="N81">
        <f>M81+200</f>
        <v>2711.0307090000001</v>
      </c>
      <c r="O81">
        <f t="shared" ref="O81:X81" si="54">N81+200</f>
        <v>2911.0307090000001</v>
      </c>
      <c r="P81">
        <f t="shared" si="54"/>
        <v>3111.0307090000001</v>
      </c>
      <c r="Q81">
        <f t="shared" si="54"/>
        <v>3311.0307090000001</v>
      </c>
      <c r="R81">
        <f t="shared" si="54"/>
        <v>3511.0307090000001</v>
      </c>
      <c r="S81">
        <f t="shared" si="54"/>
        <v>3711.0307090000001</v>
      </c>
      <c r="T81">
        <f t="shared" si="54"/>
        <v>3911.0307090000001</v>
      </c>
      <c r="U81">
        <f t="shared" si="54"/>
        <v>4111.0307090000006</v>
      </c>
      <c r="V81">
        <f t="shared" si="54"/>
        <v>4311.0307090000006</v>
      </c>
      <c r="W81">
        <f t="shared" si="54"/>
        <v>4511.0307090000006</v>
      </c>
      <c r="X81">
        <f t="shared" si="54"/>
        <v>4711.0307090000006</v>
      </c>
    </row>
    <row r="82" spans="2:24" x14ac:dyDescent="0.2">
      <c r="B82" t="s">
        <v>53</v>
      </c>
      <c r="C82" t="s">
        <v>0</v>
      </c>
      <c r="D82">
        <v>534.297327</v>
      </c>
      <c r="E82">
        <v>547.15051200000005</v>
      </c>
      <c r="F82">
        <v>576.229647</v>
      </c>
      <c r="G82">
        <v>624.67321500000003</v>
      </c>
      <c r="H82">
        <v>652.19848300000001</v>
      </c>
      <c r="I82">
        <v>688.73272399999996</v>
      </c>
      <c r="J82">
        <v>741.61730899999998</v>
      </c>
      <c r="K82">
        <v>761.43347000000006</v>
      </c>
      <c r="L82">
        <v>771.63472200000001</v>
      </c>
      <c r="M82">
        <v>792.43415900000002</v>
      </c>
      <c r="N82">
        <f>M82+20</f>
        <v>812.43415900000002</v>
      </c>
      <c r="O82">
        <f t="shared" ref="O82:X82" si="55">N82+20</f>
        <v>832.43415900000002</v>
      </c>
      <c r="P82">
        <f t="shared" si="55"/>
        <v>852.43415900000002</v>
      </c>
      <c r="Q82">
        <f t="shared" si="55"/>
        <v>872.43415900000002</v>
      </c>
      <c r="R82">
        <f t="shared" si="55"/>
        <v>892.43415900000002</v>
      </c>
      <c r="S82">
        <f t="shared" si="55"/>
        <v>912.43415900000002</v>
      </c>
      <c r="T82">
        <f t="shared" si="55"/>
        <v>932.43415900000002</v>
      </c>
      <c r="U82">
        <f t="shared" si="55"/>
        <v>952.43415900000002</v>
      </c>
      <c r="V82">
        <f t="shared" si="55"/>
        <v>972.43415900000002</v>
      </c>
      <c r="W82">
        <f t="shared" si="55"/>
        <v>992.43415900000002</v>
      </c>
      <c r="X82">
        <f t="shared" si="55"/>
        <v>1012.434159</v>
      </c>
    </row>
    <row r="84" spans="2:24" x14ac:dyDescent="0.2">
      <c r="I84">
        <f t="shared" ref="I84:L84" si="56">I80-H80</f>
        <v>150.75428199999999</v>
      </c>
      <c r="J84">
        <f t="shared" si="56"/>
        <v>195.50966500000004</v>
      </c>
      <c r="K84">
        <f t="shared" si="56"/>
        <v>269.855501</v>
      </c>
      <c r="L84">
        <f t="shared" si="56"/>
        <v>328.2520649999999</v>
      </c>
      <c r="M84">
        <f>M80-L80</f>
        <v>460.83474600000022</v>
      </c>
      <c r="N84">
        <f t="shared" ref="N84:X84" si="57">N80-M80</f>
        <v>538.12774814000113</v>
      </c>
      <c r="O84">
        <f t="shared" si="57"/>
        <v>644.26563287960062</v>
      </c>
      <c r="P84">
        <f t="shared" si="57"/>
        <v>765.26282148274549</v>
      </c>
      <c r="Q84">
        <f t="shared" si="57"/>
        <v>903.19961649032984</v>
      </c>
      <c r="R84">
        <f t="shared" si="57"/>
        <v>1060.4475627989759</v>
      </c>
      <c r="S84">
        <f t="shared" si="57"/>
        <v>1239.7102215908326</v>
      </c>
      <c r="T84">
        <f t="shared" si="57"/>
        <v>1444.0696526135489</v>
      </c>
      <c r="U84">
        <f t="shared" si="57"/>
        <v>1677.0394039794464</v>
      </c>
      <c r="V84">
        <f t="shared" si="57"/>
        <v>1942.6249205365693</v>
      </c>
      <c r="W84">
        <f t="shared" si="57"/>
        <v>2245.3924094116883</v>
      </c>
      <c r="X84">
        <f t="shared" si="57"/>
        <v>2590.547346729325</v>
      </c>
    </row>
    <row r="85" spans="2:24" x14ac:dyDescent="0.2">
      <c r="I85">
        <f t="shared" ref="I85:L85" si="58">I81-H81</f>
        <v>173.50719100000015</v>
      </c>
      <c r="J85">
        <f t="shared" si="58"/>
        <v>264.84256600000003</v>
      </c>
      <c r="K85">
        <f t="shared" si="58"/>
        <v>249.52366699999993</v>
      </c>
      <c r="L85">
        <f t="shared" si="58"/>
        <v>212.60249599999997</v>
      </c>
      <c r="M85">
        <f>M81-L81</f>
        <v>188.29537900000014</v>
      </c>
    </row>
    <row r="86" spans="2:24" x14ac:dyDescent="0.2">
      <c r="E86" s="15"/>
      <c r="I86">
        <f t="shared" ref="I86:L86" si="59">I82-H82</f>
        <v>36.534240999999952</v>
      </c>
      <c r="J86">
        <f t="shared" si="59"/>
        <v>52.884585000000015</v>
      </c>
      <c r="K86">
        <f t="shared" si="59"/>
        <v>19.816161000000079</v>
      </c>
      <c r="L86">
        <f t="shared" si="59"/>
        <v>10.201251999999954</v>
      </c>
      <c r="M86">
        <f>M82-L82</f>
        <v>20.799437000000012</v>
      </c>
    </row>
    <row r="87" spans="2:24" x14ac:dyDescent="0.2">
      <c r="E87" s="16"/>
      <c r="F87" s="15"/>
      <c r="G87" s="15"/>
      <c r="H87" s="15"/>
    </row>
    <row r="88" spans="2:24" x14ac:dyDescent="0.2">
      <c r="E88" s="16"/>
      <c r="F88" s="15"/>
      <c r="G88" s="15"/>
      <c r="H88" s="15"/>
    </row>
    <row r="89" spans="2:24" x14ac:dyDescent="0.2">
      <c r="M89">
        <v>2024</v>
      </c>
      <c r="N89">
        <f t="shared" ref="N89:X89" si="60">M89+1</f>
        <v>2025</v>
      </c>
      <c r="O89">
        <f t="shared" si="60"/>
        <v>2026</v>
      </c>
      <c r="P89">
        <f t="shared" si="60"/>
        <v>2027</v>
      </c>
      <c r="Q89">
        <f t="shared" si="60"/>
        <v>2028</v>
      </c>
      <c r="R89">
        <f t="shared" si="60"/>
        <v>2029</v>
      </c>
      <c r="S89">
        <f t="shared" si="60"/>
        <v>2030</v>
      </c>
      <c r="T89">
        <f t="shared" si="60"/>
        <v>2031</v>
      </c>
      <c r="U89">
        <f t="shared" si="60"/>
        <v>2032</v>
      </c>
      <c r="V89">
        <f t="shared" si="60"/>
        <v>2033</v>
      </c>
      <c r="W89">
        <f t="shared" si="60"/>
        <v>2034</v>
      </c>
      <c r="X89">
        <f t="shared" si="60"/>
        <v>2035</v>
      </c>
    </row>
    <row r="90" spans="2:24" x14ac:dyDescent="0.2">
      <c r="B90" t="s">
        <v>85</v>
      </c>
      <c r="C90" t="s">
        <v>80</v>
      </c>
      <c r="M90" s="21">
        <f>elektrikliarabalar!D4</f>
        <v>17</v>
      </c>
      <c r="N90" s="21">
        <f>elektrikliarabalar!F4</f>
        <v>21</v>
      </c>
      <c r="O90" s="21" t="e">
        <f>elektrikliarabalar!#REF!</f>
        <v>#REF!</v>
      </c>
      <c r="P90" s="21">
        <f>elektrikliarabalar!G4</f>
        <v>25</v>
      </c>
      <c r="Q90" s="21">
        <f>elektrikliarabalar!H4</f>
        <v>29</v>
      </c>
      <c r="R90" s="21">
        <f>elektrikliarabalar!I4</f>
        <v>33</v>
      </c>
      <c r="S90" s="21">
        <f>elektrikliarabalar!J4</f>
        <v>37</v>
      </c>
      <c r="T90" s="21">
        <f>elektrikliarabalar!K4</f>
        <v>41</v>
      </c>
      <c r="U90" s="21">
        <f>elektrikliarabalar!L4</f>
        <v>45</v>
      </c>
      <c r="V90" s="21">
        <f>elektrikliarabalar!M4</f>
        <v>49</v>
      </c>
      <c r="W90" s="21">
        <f>elektrikliarabalar!N4</f>
        <v>53</v>
      </c>
      <c r="X90" s="21">
        <f>elektrikliarabalar!O4</f>
        <v>57</v>
      </c>
    </row>
    <row r="91" spans="2:24" x14ac:dyDescent="0.2">
      <c r="B91" t="s">
        <v>84</v>
      </c>
      <c r="C91" t="s">
        <v>80</v>
      </c>
      <c r="M91" s="21">
        <f>elektrikliarabalar!D5</f>
        <v>58</v>
      </c>
      <c r="N91" s="21">
        <f>elektrikliarabalar!E5</f>
        <v>79</v>
      </c>
      <c r="O91" s="21">
        <f>elektrikliarabalar!F5</f>
        <v>104</v>
      </c>
      <c r="P91" s="21">
        <f>elektrikliarabalar!G5</f>
        <v>133</v>
      </c>
      <c r="Q91" s="21">
        <f>elektrikliarabalar!H5</f>
        <v>166</v>
      </c>
      <c r="R91" s="21">
        <f>elektrikliarabalar!I5</f>
        <v>203</v>
      </c>
      <c r="S91" s="21">
        <f>elektrikliarabalar!J5</f>
        <v>244</v>
      </c>
      <c r="T91" s="21">
        <f>elektrikliarabalar!K5</f>
        <v>289</v>
      </c>
      <c r="U91" s="21">
        <f>elektrikliarabalar!L5</f>
        <v>338</v>
      </c>
      <c r="V91" s="21">
        <f>elektrikliarabalar!M5</f>
        <v>391</v>
      </c>
      <c r="W91" s="21">
        <f>elektrikliarabalar!N5</f>
        <v>448</v>
      </c>
      <c r="X91" s="21">
        <f>elektrikliarabalar!O5</f>
        <v>448</v>
      </c>
    </row>
    <row r="92" spans="2:24" x14ac:dyDescent="0.2">
      <c r="B92" t="s">
        <v>83</v>
      </c>
      <c r="C92" t="s">
        <v>82</v>
      </c>
      <c r="M92" s="21">
        <f>elektrikliarabalar!D6</f>
        <v>0.04</v>
      </c>
      <c r="N92" s="21">
        <f>elektrikliarabalar!E6</f>
        <v>5.3943325367019464E-2</v>
      </c>
      <c r="O92" s="21">
        <f>elektrikliarabalar!F6</f>
        <v>7.0310889060910195E-2</v>
      </c>
      <c r="P92" s="21">
        <f>elektrikliarabalar!G6</f>
        <v>8.9026544603018426E-2</v>
      </c>
      <c r="Q92" s="21">
        <f>elektrikliarabalar!H6</f>
        <v>0.11001568081665346</v>
      </c>
      <c r="R92" s="21">
        <f>elektrikliarabalar!I6</f>
        <v>0.13320519626494484</v>
      </c>
      <c r="S92" s="21">
        <f>elektrikliarabalar!J6</f>
        <v>0.15852347407036307</v>
      </c>
      <c r="T92" s="21">
        <f>elektrikliarabalar!K6</f>
        <v>0.18590035711059461</v>
      </c>
      <c r="U92" s="21">
        <f>elektrikliarabalar!L6</f>
        <v>0.21526712358553213</v>
      </c>
      <c r="V92" s="21">
        <f>elektrikliarabalar!M6</f>
        <v>0.24655646295021108</v>
      </c>
      <c r="W92" s="21">
        <f>elektrikliarabalar!N6</f>
        <v>0.27970245220859069</v>
      </c>
      <c r="X92" s="21">
        <f>elektrikliarabalar!O6</f>
        <v>0.27693312099860468</v>
      </c>
    </row>
    <row r="93" spans="2:24" x14ac:dyDescent="0.2">
      <c r="B93" t="s">
        <v>81</v>
      </c>
      <c r="C93" t="s">
        <v>80</v>
      </c>
      <c r="M93" s="21">
        <f>elektrikliarabalar!D7</f>
        <v>1450</v>
      </c>
      <c r="N93" s="21">
        <f>elektrikliarabalar!E7</f>
        <v>1464.5</v>
      </c>
      <c r="O93" s="21">
        <f>elektrikliarabalar!F7</f>
        <v>1479.145</v>
      </c>
      <c r="P93" s="21">
        <f>elektrikliarabalar!G7</f>
        <v>1493.9364499999999</v>
      </c>
      <c r="Q93" s="21">
        <f>elektrikliarabalar!H7</f>
        <v>1508.8758144999999</v>
      </c>
      <c r="R93" s="21">
        <f>elektrikliarabalar!I7</f>
        <v>1523.9645726449999</v>
      </c>
      <c r="S93" s="21">
        <f>elektrikliarabalar!J7</f>
        <v>1539.2042183714498</v>
      </c>
      <c r="T93" s="21">
        <f>elektrikliarabalar!K7</f>
        <v>1554.5962605551642</v>
      </c>
      <c r="U93" s="21">
        <f>elektrikliarabalar!L7</f>
        <v>1570.142223160716</v>
      </c>
      <c r="V93" s="21">
        <f>elektrikliarabalar!M7</f>
        <v>1585.8436453923232</v>
      </c>
      <c r="W93" s="21">
        <f>elektrikliarabalar!N7</f>
        <v>1601.7020818462465</v>
      </c>
      <c r="X93" s="21">
        <f>elektrikliarabalar!O7</f>
        <v>1617.719102664709</v>
      </c>
    </row>
    <row r="94" spans="2:24" x14ac:dyDescent="0.2">
      <c r="B94" t="s">
        <v>79</v>
      </c>
      <c r="C94" t="s">
        <v>76</v>
      </c>
      <c r="M94" s="21">
        <f>elektrikliarabalar!D8</f>
        <v>1</v>
      </c>
      <c r="N94" s="21">
        <f>elektrikliarabalar!E8</f>
        <v>1.3620689655172413</v>
      </c>
      <c r="O94" s="21">
        <f>elektrikliarabalar!F8</f>
        <v>1.7931034482758621</v>
      </c>
      <c r="P94" s="21">
        <f>elektrikliarabalar!G8</f>
        <v>2.2931034482758621</v>
      </c>
      <c r="Q94" s="21">
        <f>elektrikliarabalar!H8</f>
        <v>2.8620689655172415</v>
      </c>
      <c r="R94" s="21">
        <f>elektrikliarabalar!I8</f>
        <v>3.5</v>
      </c>
      <c r="S94" s="21">
        <f>elektrikliarabalar!J8</f>
        <v>4.2068965517241379</v>
      </c>
      <c r="T94" s="21">
        <f>elektrikliarabalar!K8</f>
        <v>4.9827586206896548</v>
      </c>
      <c r="U94" s="21">
        <f>elektrikliarabalar!L8</f>
        <v>5.8275862068965516</v>
      </c>
      <c r="V94" s="21">
        <f>elektrikliarabalar!M8</f>
        <v>6.7413793103448274</v>
      </c>
      <c r="W94" s="21">
        <f>elektrikliarabalar!N8</f>
        <v>7.7241379310344831</v>
      </c>
      <c r="X94" s="21">
        <f>elektrikliarabalar!O8</f>
        <v>7.7241379310344831</v>
      </c>
    </row>
    <row r="95" spans="2:24" x14ac:dyDescent="0.2">
      <c r="B95" t="s">
        <v>78</v>
      </c>
      <c r="C95" t="s">
        <v>76</v>
      </c>
      <c r="M95" s="21">
        <f>elektrikliarabalar!D9</f>
        <v>0.8</v>
      </c>
      <c r="N95" s="21">
        <f>elektrikliarabalar!E9</f>
        <v>1.0896551724137931</v>
      </c>
      <c r="O95" s="21">
        <f>elektrikliarabalar!F9</f>
        <v>1.4344827586206899</v>
      </c>
      <c r="P95" s="21">
        <f>elektrikliarabalar!G9</f>
        <v>1.8344827586206898</v>
      </c>
      <c r="Q95" s="21">
        <f>elektrikliarabalar!H9</f>
        <v>2.2896551724137932</v>
      </c>
      <c r="R95" s="21">
        <f>elektrikliarabalar!I9</f>
        <v>2.8000000000000003</v>
      </c>
      <c r="S95" s="21">
        <f>elektrikliarabalar!J9</f>
        <v>3.3655172413793104</v>
      </c>
      <c r="T95" s="21">
        <f>elektrikliarabalar!K9</f>
        <v>3.9862068965517241</v>
      </c>
      <c r="U95" s="21">
        <f>elektrikliarabalar!L9</f>
        <v>4.6620689655172418</v>
      </c>
      <c r="V95" s="21">
        <f>elektrikliarabalar!M9</f>
        <v>5.3931034482758626</v>
      </c>
      <c r="W95" s="21">
        <f>elektrikliarabalar!N9</f>
        <v>6.179310344827587</v>
      </c>
      <c r="X95" s="21">
        <f>elektrikliarabalar!O9</f>
        <v>6.179310344827587</v>
      </c>
    </row>
    <row r="96" spans="2:24" x14ac:dyDescent="0.2">
      <c r="B96" t="s">
        <v>77</v>
      </c>
      <c r="C96" t="s">
        <v>76</v>
      </c>
      <c r="M96" s="21">
        <f>elektrikliarabalar!D10</f>
        <v>0.2</v>
      </c>
      <c r="N96" s="21">
        <f>elektrikliarabalar!E10</f>
        <v>0.27241379310344827</v>
      </c>
      <c r="O96" s="21">
        <f>elektrikliarabalar!F10</f>
        <v>0.35862068965517246</v>
      </c>
      <c r="P96" s="21">
        <f>elektrikliarabalar!G10</f>
        <v>0.45862068965517244</v>
      </c>
      <c r="Q96" s="21">
        <f>elektrikliarabalar!H10</f>
        <v>0.57241379310344831</v>
      </c>
      <c r="R96" s="21">
        <f>elektrikliarabalar!I10</f>
        <v>0.70000000000000007</v>
      </c>
      <c r="S96" s="21">
        <f>elektrikliarabalar!J10</f>
        <v>0.8413793103448276</v>
      </c>
      <c r="T96" s="21">
        <f>elektrikliarabalar!K10</f>
        <v>0.99655172413793103</v>
      </c>
      <c r="U96" s="21">
        <f>elektrikliarabalar!L10</f>
        <v>1.1655172413793105</v>
      </c>
      <c r="V96" s="21">
        <f>elektrikliarabalar!M10</f>
        <v>1.3482758620689657</v>
      </c>
      <c r="W96" s="21">
        <f>elektrikliarabalar!N10</f>
        <v>1.5448275862068968</v>
      </c>
      <c r="X96" s="21">
        <f>elektrikliarabalar!O10</f>
        <v>1.5448275862068968</v>
      </c>
    </row>
    <row r="97" spans="2:24" x14ac:dyDescent="0.2">
      <c r="B97" t="s">
        <v>70</v>
      </c>
      <c r="C97" t="s">
        <v>71</v>
      </c>
      <c r="M97" s="21">
        <f>elektrikliarabalar!D11</f>
        <v>174</v>
      </c>
      <c r="N97" s="21">
        <f>elektrikliarabalar!E11</f>
        <v>237</v>
      </c>
      <c r="O97" s="21">
        <f>elektrikliarabalar!F11</f>
        <v>312</v>
      </c>
      <c r="P97" s="21">
        <f>elektrikliarabalar!G11</f>
        <v>399</v>
      </c>
      <c r="Q97" s="21">
        <f>elektrikliarabalar!H11</f>
        <v>498</v>
      </c>
      <c r="R97" s="21">
        <f>elektrikliarabalar!I11</f>
        <v>609</v>
      </c>
      <c r="S97" s="21">
        <f>elektrikliarabalar!J11</f>
        <v>732</v>
      </c>
      <c r="T97" s="21">
        <f>elektrikliarabalar!K11</f>
        <v>867</v>
      </c>
      <c r="U97" s="21">
        <f>elektrikliarabalar!L11</f>
        <v>1014</v>
      </c>
      <c r="V97" s="21">
        <f>elektrikliarabalar!M11</f>
        <v>1173</v>
      </c>
      <c r="W97" s="21">
        <f>elektrikliarabalar!N11</f>
        <v>1344</v>
      </c>
      <c r="X97" s="21">
        <f>elektrikliarabalar!O11</f>
        <v>1344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87E0-A879-A74E-BB9B-15439831CD4E}">
  <dimension ref="B5:O36"/>
  <sheetViews>
    <sheetView workbookViewId="0">
      <selection activeCell="O23" sqref="O23"/>
    </sheetView>
  </sheetViews>
  <sheetFormatPr baseColWidth="10" defaultRowHeight="16" x14ac:dyDescent="0.2"/>
  <sheetData>
    <row r="5" spans="2:15" x14ac:dyDescent="0.2"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J5" t="s">
        <v>15</v>
      </c>
      <c r="K5" t="s">
        <v>16</v>
      </c>
      <c r="L5" t="s">
        <v>21</v>
      </c>
      <c r="M5" t="s">
        <v>18</v>
      </c>
      <c r="N5" t="s">
        <v>19</v>
      </c>
    </row>
    <row r="6" spans="2:15" ht="18" x14ac:dyDescent="0.25">
      <c r="B6">
        <v>2015</v>
      </c>
      <c r="C6">
        <v>524.27300000000002</v>
      </c>
      <c r="D6">
        <v>157.3032</v>
      </c>
      <c r="E6">
        <v>125.20820000000001</v>
      </c>
      <c r="F6">
        <v>184.6585</v>
      </c>
      <c r="G6">
        <v>29.00845</v>
      </c>
      <c r="H6">
        <v>28.094619999999999</v>
      </c>
      <c r="J6">
        <v>0.1555</v>
      </c>
      <c r="K6">
        <v>2.1899999999999999E-2</v>
      </c>
      <c r="N6" s="17">
        <v>1.0909E-2</v>
      </c>
    </row>
    <row r="7" spans="2:15" ht="18" x14ac:dyDescent="0.25">
      <c r="B7">
        <v>2016</v>
      </c>
      <c r="C7">
        <v>529.47320000000002</v>
      </c>
      <c r="D7">
        <v>153.96420000000001</v>
      </c>
      <c r="E7">
        <v>128.10230000000001</v>
      </c>
      <c r="F7">
        <v>188.3323</v>
      </c>
      <c r="G7">
        <v>30.56183</v>
      </c>
      <c r="H7">
        <v>28.512609999999999</v>
      </c>
      <c r="J7">
        <v>0.1555</v>
      </c>
      <c r="K7">
        <v>2.1899999999999999E-2</v>
      </c>
      <c r="N7" s="17">
        <v>1.0909E-2</v>
      </c>
    </row>
    <row r="8" spans="2:15" ht="18" x14ac:dyDescent="0.25">
      <c r="B8">
        <v>2017</v>
      </c>
      <c r="C8">
        <v>540.19330000000002</v>
      </c>
      <c r="D8">
        <v>155.6148</v>
      </c>
      <c r="E8">
        <v>131.77099999999999</v>
      </c>
      <c r="F8">
        <v>191.74799999999999</v>
      </c>
      <c r="G8">
        <v>32.292169999999999</v>
      </c>
      <c r="H8">
        <v>28.767289999999999</v>
      </c>
      <c r="J8">
        <v>0.1555</v>
      </c>
      <c r="K8">
        <v>2.1899999999999999E-2</v>
      </c>
      <c r="N8" s="17">
        <v>1.0909E-2</v>
      </c>
    </row>
    <row r="9" spans="2:15" ht="18" x14ac:dyDescent="0.25">
      <c r="B9">
        <v>2018</v>
      </c>
      <c r="C9">
        <v>553.65200000000004</v>
      </c>
      <c r="D9">
        <v>158.03039999999999</v>
      </c>
      <c r="E9">
        <v>137.94139999999999</v>
      </c>
      <c r="F9">
        <v>193.654</v>
      </c>
      <c r="G9">
        <v>34.569229999999997</v>
      </c>
      <c r="H9">
        <v>29.456990000000001</v>
      </c>
      <c r="J9">
        <v>0.1555</v>
      </c>
      <c r="K9">
        <v>2.1899999999999999E-2</v>
      </c>
      <c r="N9" s="17">
        <v>1.0909E-2</v>
      </c>
    </row>
    <row r="10" spans="2:15" ht="18" x14ac:dyDescent="0.25">
      <c r="B10">
        <v>2019</v>
      </c>
      <c r="C10">
        <v>559</v>
      </c>
      <c r="D10">
        <v>157.05940000000001</v>
      </c>
      <c r="E10">
        <v>140.59139999999999</v>
      </c>
      <c r="F10">
        <v>194.39019999999999</v>
      </c>
      <c r="G10">
        <v>36.459769999999999</v>
      </c>
      <c r="H10">
        <v>30.499179999999999</v>
      </c>
      <c r="J10">
        <v>0.1555</v>
      </c>
      <c r="K10">
        <v>2.1899999999999999E-2</v>
      </c>
      <c r="N10" s="17">
        <v>1.0909E-2</v>
      </c>
    </row>
    <row r="11" spans="2:15" ht="18" x14ac:dyDescent="0.25">
      <c r="B11">
        <v>2020</v>
      </c>
      <c r="C11">
        <v>536.06740000000002</v>
      </c>
      <c r="D11">
        <v>152.33879999999999</v>
      </c>
      <c r="E11">
        <v>139.33459999999999</v>
      </c>
      <c r="F11">
        <v>176.7645</v>
      </c>
      <c r="G11">
        <v>38.294980000000002</v>
      </c>
      <c r="H11">
        <v>29.334599999999998</v>
      </c>
      <c r="J11">
        <v>0.1555</v>
      </c>
      <c r="K11">
        <v>2.1899999999999999E-2</v>
      </c>
      <c r="N11" s="17">
        <v>1.0909E-2</v>
      </c>
    </row>
    <row r="12" spans="2:15" ht="18" x14ac:dyDescent="0.25">
      <c r="B12">
        <v>2021</v>
      </c>
      <c r="C12">
        <v>563.26089999999999</v>
      </c>
      <c r="D12">
        <v>160.71180000000001</v>
      </c>
      <c r="E12">
        <v>144.8126</v>
      </c>
      <c r="F12">
        <v>186.64859999999999</v>
      </c>
      <c r="G12">
        <v>40.512500000000003</v>
      </c>
      <c r="H12">
        <v>30.57546</v>
      </c>
      <c r="J12">
        <v>0.1555</v>
      </c>
      <c r="K12">
        <v>2.1899999999999999E-2</v>
      </c>
      <c r="M12" s="17">
        <v>5.097E-3</v>
      </c>
      <c r="N12" s="17">
        <v>1.0909E-2</v>
      </c>
    </row>
    <row r="13" spans="2:15" ht="18" x14ac:dyDescent="0.25">
      <c r="B13">
        <v>2022</v>
      </c>
      <c r="C13">
        <v>571.04020000000003</v>
      </c>
      <c r="D13">
        <v>161.73689999999999</v>
      </c>
      <c r="E13">
        <v>144.21469999999999</v>
      </c>
      <c r="F13">
        <v>192.8236</v>
      </c>
      <c r="G13">
        <v>43.0349</v>
      </c>
      <c r="H13">
        <v>29.229990000000001</v>
      </c>
      <c r="J13">
        <v>0.1555</v>
      </c>
      <c r="K13">
        <v>2.1899999999999999E-2</v>
      </c>
      <c r="M13" s="17">
        <v>5.097E-3</v>
      </c>
      <c r="N13" s="17">
        <v>1.0909E-2</v>
      </c>
    </row>
    <row r="14" spans="2:15" ht="18" x14ac:dyDescent="0.25">
      <c r="B14">
        <v>2023</v>
      </c>
      <c r="C14">
        <v>580.28240000000005</v>
      </c>
      <c r="D14">
        <v>163.14869999999999</v>
      </c>
      <c r="E14">
        <v>144.5444</v>
      </c>
      <c r="F14">
        <v>197.41929999999999</v>
      </c>
      <c r="G14">
        <v>45.305070000000001</v>
      </c>
      <c r="H14">
        <v>29.864979999999999</v>
      </c>
      <c r="J14">
        <v>0.1555</v>
      </c>
      <c r="K14">
        <v>2.1899999999999999E-2</v>
      </c>
      <c r="M14" s="17">
        <v>5.0309999999999999E-3</v>
      </c>
      <c r="N14" s="17">
        <v>1.0909E-2</v>
      </c>
    </row>
    <row r="15" spans="2:15" ht="18" x14ac:dyDescent="0.25">
      <c r="B15">
        <v>2024</v>
      </c>
      <c r="C15">
        <v>592.21669999999995</v>
      </c>
      <c r="D15">
        <v>165.06190000000001</v>
      </c>
      <c r="E15">
        <v>148.6018</v>
      </c>
      <c r="F15">
        <v>199.0515</v>
      </c>
      <c r="G15">
        <v>48.76567</v>
      </c>
      <c r="H15">
        <v>30.73584</v>
      </c>
      <c r="J15">
        <v>1.555E-2</v>
      </c>
      <c r="K15">
        <v>2.1222000000000001E-2</v>
      </c>
      <c r="L15">
        <v>8.0000000000000002E-3</v>
      </c>
      <c r="M15" s="17">
        <v>4.9420000000000002E-3</v>
      </c>
      <c r="N15" s="17">
        <v>1.0909E-2</v>
      </c>
      <c r="O15">
        <f>M15-M14</f>
        <v>-8.899999999999967E-5</v>
      </c>
    </row>
    <row r="16" spans="2:15" ht="18" x14ac:dyDescent="0.25">
      <c r="B16">
        <v>2025</v>
      </c>
      <c r="C16">
        <f>SUM(D16:H16)</f>
        <v>606.07295943142526</v>
      </c>
      <c r="D16">
        <f>J16*elect_fossil!D17</f>
        <v>168.31698433256102</v>
      </c>
      <c r="E16">
        <f>K16*elect_fossil!E17</f>
        <v>153.6489171647612</v>
      </c>
      <c r="F16">
        <f>F15*(1+L16)</f>
        <v>200.643912</v>
      </c>
      <c r="G16">
        <f>(elect_ren!H17+elect_ren!L17)*M16</f>
        <v>52.112846816918257</v>
      </c>
      <c r="H16">
        <f>N16*elect_ren!Q17</f>
        <v>31.350299117184782</v>
      </c>
      <c r="J16">
        <v>1.555E-2</v>
      </c>
      <c r="K16">
        <v>2.1222000000000001E-2</v>
      </c>
      <c r="L16">
        <v>8.0000000000000002E-3</v>
      </c>
      <c r="M16">
        <f t="shared" ref="M16:M26" si="0">M15+$O$15</f>
        <v>4.8530000000000005E-3</v>
      </c>
      <c r="N16" s="17">
        <v>1.0909E-2</v>
      </c>
    </row>
    <row r="17" spans="2:14" ht="18" x14ac:dyDescent="0.25">
      <c r="B17">
        <v>2026</v>
      </c>
      <c r="C17">
        <f t="shared" ref="C17:C26" si="1">SUM(D17:H17)</f>
        <v>614.42005954824106</v>
      </c>
      <c r="D17">
        <f>J17*elect_fossil!D18</f>
        <v>168.46834088674015</v>
      </c>
      <c r="E17">
        <f>K17*elect_fossil!E18</f>
        <v>155.9189490653805</v>
      </c>
      <c r="F17">
        <f t="shared" ref="F17:F26" si="2">F16*(1+L17)</f>
        <v>202.16880573120002</v>
      </c>
      <c r="G17">
        <f>(elect_ren!H18+elect_ren!L18)*M17</f>
        <v>55.886658765391907</v>
      </c>
      <c r="H17">
        <f>N17*elect_ren!Q18</f>
        <v>31.977305099528476</v>
      </c>
      <c r="J17">
        <v>1.555E-2</v>
      </c>
      <c r="K17">
        <v>2.1222000000000001E-2</v>
      </c>
      <c r="L17" s="12">
        <f>L16*0.95</f>
        <v>7.6E-3</v>
      </c>
      <c r="M17">
        <f t="shared" si="0"/>
        <v>4.7640000000000009E-3</v>
      </c>
      <c r="N17" s="17">
        <v>1.0909E-2</v>
      </c>
    </row>
    <row r="18" spans="2:14" ht="18" x14ac:dyDescent="0.25">
      <c r="B18">
        <v>2027</v>
      </c>
      <c r="C18">
        <f t="shared" si="1"/>
        <v>621.43464169761955</v>
      </c>
      <c r="D18">
        <f>J18*elect_fossil!D19</f>
        <v>167.7011185339361</v>
      </c>
      <c r="E18">
        <f>K18*elect_fossil!E19</f>
        <v>157.34583168146943</v>
      </c>
      <c r="F18">
        <f t="shared" si="2"/>
        <v>203.6284645085793</v>
      </c>
      <c r="G18">
        <f>(elect_ren!H19+elect_ren!L19)*M18</f>
        <v>60.142375772115606</v>
      </c>
      <c r="H18">
        <f>N18*elect_ren!Q19</f>
        <v>32.616851201519047</v>
      </c>
      <c r="J18">
        <v>1.555E-2</v>
      </c>
      <c r="K18">
        <v>2.1222000000000001E-2</v>
      </c>
      <c r="L18" s="12">
        <f t="shared" ref="L18:L26" si="3">L17*0.95</f>
        <v>7.2199999999999999E-3</v>
      </c>
      <c r="M18">
        <f t="shared" si="0"/>
        <v>4.6750000000000012E-3</v>
      </c>
      <c r="N18" s="17">
        <v>1.0909E-2</v>
      </c>
    </row>
    <row r="19" spans="2:14" ht="18" x14ac:dyDescent="0.25">
      <c r="B19">
        <v>2028</v>
      </c>
      <c r="C19">
        <f t="shared" si="1"/>
        <v>626.82046688173443</v>
      </c>
      <c r="D19">
        <f>J19*elect_fossil!D20</f>
        <v>165.85007235311465</v>
      </c>
      <c r="E19">
        <f>K19*elect_fossil!E20</f>
        <v>157.73723863886903</v>
      </c>
      <c r="F19">
        <f t="shared" si="2"/>
        <v>205.02515214664362</v>
      </c>
      <c r="G19">
        <f>(elect_ren!H20+elect_ren!L20)*M19</f>
        <v>64.938815517557643</v>
      </c>
      <c r="H19">
        <f>N19*elect_ren!Q20</f>
        <v>33.269188225549428</v>
      </c>
      <c r="J19">
        <v>1.555E-2</v>
      </c>
      <c r="K19">
        <v>2.1222000000000001E-2</v>
      </c>
      <c r="L19" s="12">
        <f t="shared" si="3"/>
        <v>6.8589999999999996E-3</v>
      </c>
      <c r="M19">
        <f t="shared" si="0"/>
        <v>4.5860000000000015E-3</v>
      </c>
      <c r="N19" s="17">
        <v>1.0909E-2</v>
      </c>
    </row>
    <row r="20" spans="2:14" ht="18" x14ac:dyDescent="0.25">
      <c r="B20">
        <v>2029</v>
      </c>
      <c r="C20">
        <f t="shared" si="1"/>
        <v>630.22972134522342</v>
      </c>
      <c r="D20">
        <f>J20*elect_fossil!D21</f>
        <v>162.72490101353782</v>
      </c>
      <c r="E20">
        <f>K20*elect_fossil!E21</f>
        <v>156.86765411838149</v>
      </c>
      <c r="F20">
        <f t="shared" si="2"/>
        <v>206.36110628928878</v>
      </c>
      <c r="G20">
        <f>(elect_ren!H21+elect_ren!L21)*M20</f>
        <v>70.341487933954738</v>
      </c>
      <c r="H20">
        <f>N20*elect_ren!Q21</f>
        <v>33.934571990060419</v>
      </c>
      <c r="J20">
        <v>1.555E-2</v>
      </c>
      <c r="K20">
        <v>2.1222000000000001E-2</v>
      </c>
      <c r="L20" s="12">
        <f t="shared" si="3"/>
        <v>6.5160499999999989E-3</v>
      </c>
      <c r="M20">
        <f t="shared" si="0"/>
        <v>4.4970000000000019E-3</v>
      </c>
      <c r="N20" s="17">
        <v>1.0909E-2</v>
      </c>
    </row>
    <row r="21" spans="2:14" ht="18" x14ac:dyDescent="0.25">
      <c r="B21">
        <v>2030</v>
      </c>
      <c r="C21">
        <f t="shared" si="1"/>
        <v>631.25463405079904</v>
      </c>
      <c r="D21">
        <f>J21*elect_fossil!D22</f>
        <v>158.10657005853363</v>
      </c>
      <c r="E21">
        <f>K21*elect_fossil!E22</f>
        <v>154.47299119020255</v>
      </c>
      <c r="F21">
        <f t="shared" si="2"/>
        <v>207.63853261159329</v>
      </c>
      <c r="G21">
        <f>(elect_ren!H22+elect_ren!L22)*M21</f>
        <v>76.423276760608019</v>
      </c>
      <c r="H21">
        <f>N21*elect_ren!Q22</f>
        <v>34.613263429861625</v>
      </c>
      <c r="J21">
        <v>1.555E-2</v>
      </c>
      <c r="K21">
        <v>2.1222000000000001E-2</v>
      </c>
      <c r="L21" s="12">
        <f t="shared" si="3"/>
        <v>6.1902474999999983E-3</v>
      </c>
      <c r="M21">
        <f t="shared" si="0"/>
        <v>4.4080000000000022E-3</v>
      </c>
      <c r="N21" s="17">
        <v>1.0909E-2</v>
      </c>
    </row>
    <row r="22" spans="2:14" ht="18" x14ac:dyDescent="0.25">
      <c r="B22">
        <v>2031</v>
      </c>
      <c r="C22">
        <f t="shared" si="1"/>
        <v>629.41775601697168</v>
      </c>
      <c r="D22">
        <f>J22*elect_fossil!D23</f>
        <v>151.74309968457695</v>
      </c>
      <c r="E22">
        <f>K22*elect_fossil!E23</f>
        <v>150.24435287236832</v>
      </c>
      <c r="F22">
        <f t="shared" si="2"/>
        <v>208.85959982362576</v>
      </c>
      <c r="G22">
        <f>(elect_ren!H23+elect_ren!L23)*M22</f>
        <v>83.265174937941737</v>
      </c>
      <c r="H22">
        <f>N22*elect_ren!Q23</f>
        <v>35.305528698458865</v>
      </c>
      <c r="J22">
        <v>1.555E-2</v>
      </c>
      <c r="K22">
        <v>2.1222000000000001E-2</v>
      </c>
      <c r="L22" s="12">
        <f t="shared" si="3"/>
        <v>5.880735124999998E-3</v>
      </c>
      <c r="M22">
        <f t="shared" si="0"/>
        <v>4.3190000000000025E-3</v>
      </c>
      <c r="N22" s="17">
        <v>1.0909E-2</v>
      </c>
    </row>
    <row r="23" spans="2:14" ht="18" x14ac:dyDescent="0.25">
      <c r="B23">
        <v>2032</v>
      </c>
      <c r="C23">
        <f t="shared" si="1"/>
        <v>624.16068878324143</v>
      </c>
      <c r="D23">
        <f>J23*elect_fossil!D24</f>
        <v>143.34473920133243</v>
      </c>
      <c r="E23">
        <f>K23*elect_fossil!E24</f>
        <v>143.82080024415924</v>
      </c>
      <c r="F23">
        <f t="shared" si="2"/>
        <v>210.0264354092582</v>
      </c>
      <c r="G23">
        <f>(elect_ren!H24+elect_ren!L24)*M23</f>
        <v>90.95707465606344</v>
      </c>
      <c r="H23">
        <f>N23*elect_ren!Q24</f>
        <v>36.011639272428042</v>
      </c>
      <c r="J23">
        <v>1.555E-2</v>
      </c>
      <c r="K23">
        <v>2.1222000000000001E-2</v>
      </c>
      <c r="L23" s="12">
        <f t="shared" si="3"/>
        <v>5.5866983687499977E-3</v>
      </c>
      <c r="M23">
        <f t="shared" si="0"/>
        <v>4.2300000000000029E-3</v>
      </c>
      <c r="N23" s="17">
        <v>1.0909E-2</v>
      </c>
    </row>
    <row r="24" spans="2:14" ht="18" x14ac:dyDescent="0.25">
      <c r="B24">
        <v>2033</v>
      </c>
      <c r="C24">
        <f t="shared" si="1"/>
        <v>614.83101561731803</v>
      </c>
      <c r="D24">
        <f>J24*elect_fossil!D25</f>
        <v>132.57843906602795</v>
      </c>
      <c r="E24">
        <f>K24*elect_fossil!E25</f>
        <v>134.78097055036565</v>
      </c>
      <c r="F24">
        <f t="shared" si="2"/>
        <v>211.14112203614872</v>
      </c>
      <c r="G24">
        <f>(elect_ren!H25+elect_ren!L25)*M24</f>
        <v>99.598611906899151</v>
      </c>
      <c r="H24">
        <f>N24*elect_ren!Q25</f>
        <v>36.7318720578766</v>
      </c>
      <c r="J24">
        <v>1.555E-2</v>
      </c>
      <c r="K24">
        <v>2.1222000000000001E-2</v>
      </c>
      <c r="L24" s="12">
        <f t="shared" si="3"/>
        <v>5.3073634503124972E-3</v>
      </c>
      <c r="M24">
        <f t="shared" si="0"/>
        <v>4.1410000000000032E-3</v>
      </c>
      <c r="N24" s="17">
        <v>1.0909E-2</v>
      </c>
    </row>
    <row r="25" spans="2:14" ht="18" x14ac:dyDescent="0.25">
      <c r="B25">
        <v>2034</v>
      </c>
      <c r="C25">
        <f t="shared" si="1"/>
        <v>600.667150117858</v>
      </c>
      <c r="D25">
        <f>J25*elect_fossil!D26</f>
        <v>119.06151845646863</v>
      </c>
      <c r="E25">
        <f>K25*elect_fossil!E26</f>
        <v>122.63336347199368</v>
      </c>
      <c r="F25">
        <f t="shared" si="2"/>
        <v>212.20569457640372</v>
      </c>
      <c r="G25">
        <f>(elect_ren!H26+elect_ren!L26)*M25</f>
        <v>109.30006411395787</v>
      </c>
      <c r="H25">
        <f>N25*elect_ren!Q26</f>
        <v>37.466509499034132</v>
      </c>
      <c r="J25">
        <v>1.555E-2</v>
      </c>
      <c r="K25">
        <v>2.1222000000000001E-2</v>
      </c>
      <c r="L25" s="12">
        <f t="shared" si="3"/>
        <v>5.0419952777968719E-3</v>
      </c>
      <c r="M25">
        <f t="shared" si="0"/>
        <v>4.0520000000000035E-3</v>
      </c>
      <c r="N25" s="17">
        <v>1.0909E-2</v>
      </c>
    </row>
    <row r="26" spans="2:14" ht="18" x14ac:dyDescent="0.25">
      <c r="B26">
        <v>2035</v>
      </c>
      <c r="C26">
        <f t="shared" si="1"/>
        <v>580.78077175895453</v>
      </c>
      <c r="D26">
        <f>J26*elect_fossil!D27</f>
        <v>102.35441154421487</v>
      </c>
      <c r="E26">
        <f>K26*elect_fossil!E27</f>
        <v>106.80508508519272</v>
      </c>
      <c r="F26">
        <f t="shared" si="2"/>
        <v>213.22213768088073</v>
      </c>
      <c r="G26">
        <f>(elect_ren!H27+elect_ren!L27)*M26</f>
        <v>120.18329775965144</v>
      </c>
      <c r="H26">
        <f>N26*elect_ren!Q27</f>
        <v>38.215839689014821</v>
      </c>
      <c r="J26">
        <v>1.555E-2</v>
      </c>
      <c r="K26">
        <v>2.1222000000000001E-2</v>
      </c>
      <c r="L26" s="12">
        <f t="shared" si="3"/>
        <v>4.7898955139070278E-3</v>
      </c>
      <c r="M26">
        <f t="shared" si="0"/>
        <v>3.9630000000000038E-3</v>
      </c>
      <c r="N26" s="17">
        <v>1.0909E-2</v>
      </c>
    </row>
    <row r="28" spans="2:14" x14ac:dyDescent="0.2">
      <c r="G28" s="20">
        <f t="shared" ref="G28:G35" si="4">F7/F6-1</f>
        <v>1.9895103664331781E-2</v>
      </c>
    </row>
    <row r="29" spans="2:14" x14ac:dyDescent="0.2">
      <c r="G29" s="20">
        <f t="shared" si="4"/>
        <v>1.8136559687318643E-2</v>
      </c>
    </row>
    <row r="30" spans="2:14" x14ac:dyDescent="0.2">
      <c r="G30" s="20">
        <f t="shared" si="4"/>
        <v>9.9401297536350075E-3</v>
      </c>
    </row>
    <row r="31" spans="2:14" x14ac:dyDescent="0.2">
      <c r="G31" s="20">
        <f t="shared" si="4"/>
        <v>3.8016255796420317E-3</v>
      </c>
    </row>
    <row r="32" spans="2:14" x14ac:dyDescent="0.2">
      <c r="G32" s="20"/>
    </row>
    <row r="33" spans="7:7" x14ac:dyDescent="0.2">
      <c r="G33" s="20"/>
    </row>
    <row r="34" spans="7:7" x14ac:dyDescent="0.2">
      <c r="G34" s="20"/>
    </row>
    <row r="35" spans="7:7" x14ac:dyDescent="0.2">
      <c r="G35" s="20">
        <f t="shared" si="4"/>
        <v>2.3833700854044793E-2</v>
      </c>
    </row>
    <row r="36" spans="7:7" x14ac:dyDescent="0.2">
      <c r="G36" s="20">
        <f>F15/F14-1</f>
        <v>8.267682035140389E-3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FB54-5F41-E94E-9E16-02DC2742D557}">
  <dimension ref="A11:I26"/>
  <sheetViews>
    <sheetView workbookViewId="0">
      <selection activeCell="B25" sqref="B25:C26"/>
    </sheetView>
  </sheetViews>
  <sheetFormatPr baseColWidth="10" defaultRowHeight="16" x14ac:dyDescent="0.2"/>
  <sheetData>
    <row r="11" spans="1:9" x14ac:dyDescent="0.2">
      <c r="D11" s="14">
        <v>100.98755966116745</v>
      </c>
      <c r="E11" s="14">
        <v>101.82249269395075</v>
      </c>
    </row>
    <row r="14" spans="1:9" x14ac:dyDescent="0.2">
      <c r="C14">
        <v>2023</v>
      </c>
      <c r="G14">
        <v>2024</v>
      </c>
    </row>
    <row r="15" spans="1:9" x14ac:dyDescent="0.2">
      <c r="B15" t="s">
        <v>32</v>
      </c>
      <c r="C15" t="s">
        <v>33</v>
      </c>
      <c r="D15" t="s">
        <v>32</v>
      </c>
      <c r="E15" t="s">
        <v>33</v>
      </c>
      <c r="F15" t="s">
        <v>32</v>
      </c>
      <c r="G15" t="s">
        <v>33</v>
      </c>
      <c r="H15" t="s">
        <v>32</v>
      </c>
      <c r="I15" t="s">
        <v>33</v>
      </c>
    </row>
    <row r="16" spans="1:9" x14ac:dyDescent="0.2">
      <c r="A16" t="s">
        <v>34</v>
      </c>
      <c r="B16" t="s">
        <v>35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36</v>
      </c>
      <c r="I16" t="s">
        <v>36</v>
      </c>
    </row>
    <row r="17" spans="1:9" x14ac:dyDescent="0.2">
      <c r="A17" t="s">
        <v>37</v>
      </c>
      <c r="B17">
        <v>43440.361902201177</v>
      </c>
      <c r="C17">
        <v>25947.723857715257</v>
      </c>
      <c r="D17">
        <v>43440.361902201177</v>
      </c>
      <c r="E17">
        <v>25947.723857715257</v>
      </c>
      <c r="F17">
        <v>43214.57159801478</v>
      </c>
      <c r="G17">
        <v>26223.469074228087</v>
      </c>
      <c r="H17">
        <v>43214.57159801478</v>
      </c>
      <c r="I17">
        <v>26223.469074228087</v>
      </c>
    </row>
    <row r="19" spans="1:9" x14ac:dyDescent="0.2">
      <c r="A19" t="s">
        <v>40</v>
      </c>
      <c r="B19" s="14">
        <v>100.98755966116745</v>
      </c>
      <c r="C19" s="14">
        <v>101.82249269395075</v>
      </c>
    </row>
    <row r="20" spans="1:9" x14ac:dyDescent="0.2">
      <c r="A20" t="s">
        <v>38</v>
      </c>
      <c r="B20">
        <f>B17</f>
        <v>43440.361902201177</v>
      </c>
      <c r="C20">
        <f>H17</f>
        <v>43214.57159801478</v>
      </c>
    </row>
    <row r="21" spans="1:9" x14ac:dyDescent="0.2">
      <c r="A21" t="s">
        <v>39</v>
      </c>
      <c r="B21">
        <f>C17</f>
        <v>25947.723857715257</v>
      </c>
      <c r="C21">
        <f>I17</f>
        <v>26223.469074228087</v>
      </c>
    </row>
    <row r="25" spans="1:9" x14ac:dyDescent="0.2">
      <c r="B25" s="7">
        <f>B20/B19/1000</f>
        <v>0.43015557607245769</v>
      </c>
      <c r="C25" s="7">
        <f>C20/C19/1000</f>
        <v>0.42441085908106185</v>
      </c>
    </row>
    <row r="26" spans="1:9" x14ac:dyDescent="0.2">
      <c r="B26" s="7">
        <f>B21/B19/1000</f>
        <v>0.25693980471233119</v>
      </c>
      <c r="C26" s="7">
        <f>C21/C19/1000</f>
        <v>0.25754102438886783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93117-A25F-114A-A6B4-2EF8C9825ECC}">
  <dimension ref="B6:Z43"/>
  <sheetViews>
    <sheetView topLeftCell="K1" zoomScale="75" workbookViewId="0">
      <selection activeCell="Q7" sqref="Q7:Q16"/>
    </sheetView>
  </sheetViews>
  <sheetFormatPr baseColWidth="10" defaultRowHeight="16" x14ac:dyDescent="0.2"/>
  <sheetData>
    <row r="6" spans="2:26" x14ac:dyDescent="0.2">
      <c r="C6" t="s">
        <v>60</v>
      </c>
      <c r="D6" t="s">
        <v>59</v>
      </c>
      <c r="H6" t="s">
        <v>58</v>
      </c>
      <c r="L6" t="s">
        <v>57</v>
      </c>
      <c r="Q6" t="s">
        <v>56</v>
      </c>
      <c r="V6" t="s">
        <v>55</v>
      </c>
      <c r="Z6" t="s">
        <v>54</v>
      </c>
    </row>
    <row r="7" spans="2:26" ht="18" x14ac:dyDescent="0.25">
      <c r="B7">
        <v>2015</v>
      </c>
      <c r="C7">
        <v>24303.818350000001</v>
      </c>
      <c r="G7" s="17">
        <v>2015</v>
      </c>
      <c r="H7">
        <v>1622.582879</v>
      </c>
      <c r="K7" s="17">
        <v>2015</v>
      </c>
      <c r="L7">
        <v>3879.1656210000001</v>
      </c>
      <c r="P7" s="17">
        <v>2015</v>
      </c>
      <c r="Q7">
        <v>2575.340553</v>
      </c>
      <c r="U7" s="17">
        <v>2015</v>
      </c>
      <c r="V7">
        <v>16071.664803</v>
      </c>
      <c r="W7" s="7" t="e">
        <f t="shared" ref="W7:W28" si="0">V7/V6-1</f>
        <v>#VALUE!</v>
      </c>
      <c r="X7" s="7"/>
      <c r="Y7" s="17">
        <v>2015</v>
      </c>
      <c r="Z7">
        <f t="shared" ref="Z7:Z28" si="1">C7-H7-L7-Q7</f>
        <v>16226.729297</v>
      </c>
    </row>
    <row r="8" spans="2:26" ht="18" x14ac:dyDescent="0.25">
      <c r="B8">
        <v>2016</v>
      </c>
      <c r="C8">
        <v>24977.3603</v>
      </c>
      <c r="D8">
        <f t="shared" ref="D8:D16" si="2">C8/C7-1</f>
        <v>2.7713421006539063E-2</v>
      </c>
      <c r="G8" s="17">
        <v>2016</v>
      </c>
      <c r="H8">
        <v>1837.8295700000001</v>
      </c>
      <c r="K8" s="17">
        <v>2016</v>
      </c>
      <c r="L8">
        <v>4015.954322</v>
      </c>
      <c r="M8" s="6">
        <f t="shared" ref="M8:M16" si="3">L8/L7-1</f>
        <v>3.5262402888778244E-2</v>
      </c>
      <c r="P8" s="17">
        <v>2016</v>
      </c>
      <c r="Q8">
        <v>2613.6563160000001</v>
      </c>
      <c r="R8" s="7">
        <f t="shared" ref="R8:R16" si="4">Q8/Q7-1</f>
        <v>1.4877940300115355E-2</v>
      </c>
      <c r="U8" s="17">
        <v>2016</v>
      </c>
      <c r="V8">
        <v>16297.870096000001</v>
      </c>
      <c r="W8" s="7">
        <f t="shared" si="0"/>
        <v>1.4074789125627873E-2</v>
      </c>
      <c r="X8" s="7"/>
      <c r="Y8" s="17">
        <v>2016</v>
      </c>
      <c r="Z8">
        <f t="shared" si="1"/>
        <v>16509.920091999997</v>
      </c>
    </row>
    <row r="9" spans="2:26" ht="18" x14ac:dyDescent="0.25">
      <c r="B9">
        <v>2017</v>
      </c>
      <c r="C9">
        <v>25729.964820000001</v>
      </c>
      <c r="D9">
        <f t="shared" si="2"/>
        <v>3.013146749538631E-2</v>
      </c>
      <c r="G9" s="17">
        <v>2017</v>
      </c>
      <c r="H9">
        <v>2164.6456250000001</v>
      </c>
      <c r="K9" s="17">
        <v>2017</v>
      </c>
      <c r="L9">
        <v>4068.4180369999999</v>
      </c>
      <c r="M9" s="6">
        <f t="shared" si="3"/>
        <v>1.3063822641755651E-2</v>
      </c>
      <c r="P9" s="17">
        <v>2017</v>
      </c>
      <c r="Q9">
        <v>2637.0019849999999</v>
      </c>
      <c r="R9" s="7">
        <f t="shared" si="4"/>
        <v>8.9321877773618219E-3</v>
      </c>
      <c r="U9" s="17">
        <v>2017</v>
      </c>
      <c r="V9">
        <v>16636.521306999999</v>
      </c>
      <c r="W9" s="7">
        <f t="shared" si="0"/>
        <v>2.0778863066476028E-2</v>
      </c>
      <c r="X9" s="7"/>
      <c r="Y9" s="17">
        <v>2017</v>
      </c>
      <c r="Z9">
        <f t="shared" si="1"/>
        <v>16859.899173000002</v>
      </c>
    </row>
    <row r="10" spans="2:26" ht="18" x14ac:dyDescent="0.25">
      <c r="B10">
        <v>2018</v>
      </c>
      <c r="C10">
        <v>26776.552080000001</v>
      </c>
      <c r="D10">
        <f t="shared" si="2"/>
        <v>4.0675813873887856E-2</v>
      </c>
      <c r="G10" s="17">
        <v>2018</v>
      </c>
      <c r="H10">
        <v>2471.4345640000001</v>
      </c>
      <c r="K10" s="17">
        <v>2018</v>
      </c>
      <c r="L10">
        <v>4188.5958659999997</v>
      </c>
      <c r="M10" s="6">
        <f t="shared" si="3"/>
        <v>2.953920366762941E-2</v>
      </c>
      <c r="P10" s="17">
        <v>2018</v>
      </c>
      <c r="Q10">
        <v>2700.2244420000002</v>
      </c>
      <c r="R10" s="7">
        <f t="shared" si="4"/>
        <v>2.3975126814324454E-2</v>
      </c>
      <c r="U10" s="17">
        <v>2018</v>
      </c>
      <c r="V10">
        <v>17193.976074999999</v>
      </c>
      <c r="W10" s="7">
        <f t="shared" si="0"/>
        <v>3.3507892528316319E-2</v>
      </c>
      <c r="X10" s="7"/>
      <c r="Y10" s="17">
        <v>2018</v>
      </c>
      <c r="Z10">
        <f t="shared" si="1"/>
        <v>17416.297208000004</v>
      </c>
    </row>
    <row r="11" spans="2:26" ht="18" x14ac:dyDescent="0.25">
      <c r="B11">
        <v>2019</v>
      </c>
      <c r="C11">
        <v>27138.722989999998</v>
      </c>
      <c r="D11">
        <f t="shared" si="2"/>
        <v>1.3525673840229402E-2</v>
      </c>
      <c r="G11" s="17">
        <v>2019</v>
      </c>
      <c r="H11">
        <v>2780.9849669999999</v>
      </c>
      <c r="K11" s="17">
        <v>2019</v>
      </c>
      <c r="L11">
        <v>4242.6261089999998</v>
      </c>
      <c r="M11" s="6">
        <f t="shared" si="3"/>
        <v>1.2899368840660674E-2</v>
      </c>
      <c r="P11" s="17">
        <v>2019</v>
      </c>
      <c r="Q11">
        <v>2795.7579179999998</v>
      </c>
      <c r="R11" s="7">
        <f t="shared" si="4"/>
        <v>3.5379827881729664E-2</v>
      </c>
      <c r="U11" s="17">
        <v>2019</v>
      </c>
      <c r="V11">
        <v>17105.501233999999</v>
      </c>
      <c r="W11" s="7">
        <f t="shared" si="0"/>
        <v>-5.1456882697796802E-3</v>
      </c>
      <c r="X11" s="7"/>
      <c r="Y11" s="17">
        <v>2019</v>
      </c>
      <c r="Z11">
        <f t="shared" si="1"/>
        <v>17319.353995999998</v>
      </c>
    </row>
    <row r="12" spans="2:26" ht="18" x14ac:dyDescent="0.25">
      <c r="B12">
        <v>2020</v>
      </c>
      <c r="C12">
        <v>27016.628959999998</v>
      </c>
      <c r="D12">
        <f t="shared" si="2"/>
        <v>-4.4988863346661079E-3</v>
      </c>
      <c r="G12" s="17">
        <v>2020</v>
      </c>
      <c r="H12">
        <v>3141.7806810000002</v>
      </c>
      <c r="K12" s="17">
        <v>2020</v>
      </c>
      <c r="L12">
        <v>4359.1282119999996</v>
      </c>
      <c r="M12" s="6">
        <f t="shared" si="3"/>
        <v>2.7459903372786254E-2</v>
      </c>
      <c r="P12" s="17">
        <v>2020</v>
      </c>
      <c r="Q12">
        <v>2689.004954</v>
      </c>
      <c r="R12" s="7">
        <f t="shared" si="4"/>
        <v>-3.8183908310762349E-2</v>
      </c>
      <c r="U12" s="17">
        <v>2020</v>
      </c>
      <c r="V12">
        <v>16613.399388000002</v>
      </c>
      <c r="W12" s="7">
        <f t="shared" si="0"/>
        <v>-2.8768630586624599E-2</v>
      </c>
      <c r="X12" s="7"/>
      <c r="Y12" s="17">
        <v>2020</v>
      </c>
      <c r="Z12">
        <f t="shared" si="1"/>
        <v>16826.715112999998</v>
      </c>
    </row>
    <row r="13" spans="2:26" ht="18" x14ac:dyDescent="0.25">
      <c r="B13">
        <v>2021</v>
      </c>
      <c r="C13">
        <v>28543.676009999999</v>
      </c>
      <c r="D13">
        <f t="shared" si="2"/>
        <v>5.6522486660378624E-2</v>
      </c>
      <c r="G13" s="17">
        <v>2021</v>
      </c>
      <c r="H13">
        <v>3655.0174969999998</v>
      </c>
      <c r="K13" s="17">
        <v>2021</v>
      </c>
      <c r="L13">
        <v>4293.6660670000001</v>
      </c>
      <c r="M13" s="6">
        <f t="shared" si="3"/>
        <v>-1.5017256161402259E-2</v>
      </c>
      <c r="P13" s="17">
        <v>2021</v>
      </c>
      <c r="Q13">
        <v>2802.750489</v>
      </c>
      <c r="R13" s="7">
        <f t="shared" si="4"/>
        <v>4.2300232593770026E-2</v>
      </c>
      <c r="U13" s="17">
        <v>2021</v>
      </c>
      <c r="V13">
        <v>17574.478621999999</v>
      </c>
      <c r="W13" s="7">
        <f t="shared" si="0"/>
        <v>5.7849643625265124E-2</v>
      </c>
      <c r="X13" s="7"/>
      <c r="Y13" s="17">
        <v>2021</v>
      </c>
      <c r="Z13">
        <f t="shared" si="1"/>
        <v>17792.241956999998</v>
      </c>
    </row>
    <row r="14" spans="2:26" ht="18" x14ac:dyDescent="0.25">
      <c r="B14">
        <v>2022</v>
      </c>
      <c r="C14">
        <v>29203.616000000002</v>
      </c>
      <c r="D14">
        <f t="shared" si="2"/>
        <v>2.3120357369835531E-2</v>
      </c>
      <c r="G14" s="17">
        <v>2022</v>
      </c>
      <c r="H14">
        <v>4194.2128249999996</v>
      </c>
      <c r="K14" s="17">
        <v>2022</v>
      </c>
      <c r="L14">
        <v>4334.7919860000002</v>
      </c>
      <c r="M14" s="6">
        <f t="shared" si="3"/>
        <v>9.5782760834810521E-3</v>
      </c>
      <c r="N14" s="7">
        <f>AVERAGE(M8:M14)</f>
        <v>1.6112245904812719E-2</v>
      </c>
      <c r="P14" s="17">
        <v>2022</v>
      </c>
      <c r="Q14">
        <v>2679.4154440000002</v>
      </c>
      <c r="R14" s="7">
        <f t="shared" si="4"/>
        <v>-4.4005003472144533E-2</v>
      </c>
      <c r="U14" s="17">
        <v>2022</v>
      </c>
      <c r="V14">
        <v>17753.979776</v>
      </c>
      <c r="W14" s="7">
        <f t="shared" si="0"/>
        <v>1.0213739927129373E-2</v>
      </c>
      <c r="X14" s="7"/>
      <c r="Y14" s="17">
        <v>2022</v>
      </c>
      <c r="Z14">
        <f t="shared" si="1"/>
        <v>17995.195745000005</v>
      </c>
    </row>
    <row r="15" spans="2:26" ht="18" x14ac:dyDescent="0.25">
      <c r="B15">
        <v>2023</v>
      </c>
      <c r="C15">
        <v>29963.22999</v>
      </c>
      <c r="D15">
        <f t="shared" si="2"/>
        <v>2.6010956656874251E-2</v>
      </c>
      <c r="E15">
        <f>AVERAGE(D15:D16)</f>
        <v>3.457665724391823E-2</v>
      </c>
      <c r="G15" s="17">
        <v>2023</v>
      </c>
      <c r="H15">
        <v>4745.2686389999999</v>
      </c>
      <c r="K15" s="17">
        <v>2023</v>
      </c>
      <c r="L15">
        <v>4260.7528769999999</v>
      </c>
      <c r="M15" s="6">
        <f t="shared" si="3"/>
        <v>-1.7080198828253623E-2</v>
      </c>
      <c r="N15" s="7">
        <f>AVERAGE(M9:M15)</f>
        <v>8.6347313738081664E-3</v>
      </c>
      <c r="P15" s="17">
        <v>2023</v>
      </c>
      <c r="Q15">
        <v>2737.6231830000002</v>
      </c>
      <c r="R15" s="7">
        <f t="shared" si="4"/>
        <v>2.1724044000098752E-2</v>
      </c>
      <c r="U15" s="17">
        <v>2023</v>
      </c>
      <c r="V15">
        <v>17975.502171</v>
      </c>
      <c r="W15" s="7">
        <f t="shared" si="0"/>
        <v>1.2477337351676887E-2</v>
      </c>
      <c r="X15" s="7"/>
      <c r="Y15" s="17">
        <v>2023</v>
      </c>
      <c r="Z15">
        <f t="shared" si="1"/>
        <v>18219.585290999999</v>
      </c>
    </row>
    <row r="16" spans="2:26" ht="18" x14ac:dyDescent="0.25">
      <c r="B16">
        <v>2024</v>
      </c>
      <c r="C16">
        <v>31255.914379999998</v>
      </c>
      <c r="D16">
        <f t="shared" si="2"/>
        <v>4.3142357830962208E-2</v>
      </c>
      <c r="G16" s="17">
        <v>2024</v>
      </c>
      <c r="H16">
        <v>5415.1982010000002</v>
      </c>
      <c r="K16" s="17">
        <v>2024</v>
      </c>
      <c r="L16">
        <v>4452.908891</v>
      </c>
      <c r="M16" s="6">
        <f t="shared" si="3"/>
        <v>4.509907510413913E-2</v>
      </c>
      <c r="N16" s="7">
        <f>AVERAGE(M10:M16)</f>
        <v>1.321119601129152E-2</v>
      </c>
      <c r="O16" s="11"/>
      <c r="P16" s="17">
        <v>2024</v>
      </c>
      <c r="Q16">
        <v>2817.4523210000002</v>
      </c>
      <c r="R16" s="7">
        <f t="shared" si="4"/>
        <v>2.9160016796950128E-2</v>
      </c>
      <c r="S16" s="8">
        <f>AVERAGE(R8:R16)</f>
        <v>1.046227382016037E-2</v>
      </c>
      <c r="T16" s="8"/>
      <c r="U16" s="17">
        <v>2024</v>
      </c>
      <c r="V16">
        <v>18309.153343999998</v>
      </c>
      <c r="W16" s="7">
        <f t="shared" si="0"/>
        <v>1.8561438218859916E-2</v>
      </c>
      <c r="X16" s="8"/>
      <c r="Y16" s="17">
        <v>2024</v>
      </c>
      <c r="Z16">
        <f t="shared" si="1"/>
        <v>18570.354966999999</v>
      </c>
    </row>
    <row r="17" spans="2:26" ht="18" x14ac:dyDescent="0.25">
      <c r="B17">
        <v>2025</v>
      </c>
      <c r="C17">
        <f t="shared" ref="C17:C28" si="5">C16*(1+D17)</f>
        <v>32349.871383299997</v>
      </c>
      <c r="D17" s="8">
        <v>3.5000000000000003E-2</v>
      </c>
      <c r="G17">
        <v>2025</v>
      </c>
      <c r="H17">
        <f t="shared" ref="H17:H28" si="6">H16*(1+I17)</f>
        <v>6227.4779311499997</v>
      </c>
      <c r="I17" s="8">
        <v>0.15</v>
      </c>
      <c r="K17">
        <v>2025</v>
      </c>
      <c r="L17">
        <f t="shared" ref="L17:L28" si="7">L16*(1+M17)</f>
        <v>4510.7967065829998</v>
      </c>
      <c r="M17" s="8">
        <v>1.2999999999999999E-2</v>
      </c>
      <c r="N17" s="9"/>
      <c r="P17">
        <v>2025</v>
      </c>
      <c r="Q17">
        <f t="shared" ref="Q17:Q28" si="8">Q16*(1+R17)</f>
        <v>2873.8013674200001</v>
      </c>
      <c r="R17" s="8">
        <v>0.02</v>
      </c>
      <c r="U17" s="17">
        <v>2025</v>
      </c>
      <c r="V17">
        <f t="shared" ref="V17:V28" si="9">C17-H17-L17-Q17</f>
        <v>18737.795378146995</v>
      </c>
      <c r="W17" s="7">
        <f t="shared" si="0"/>
        <v>2.3411352021226239E-2</v>
      </c>
      <c r="X17" s="8"/>
      <c r="Y17">
        <v>2025</v>
      </c>
      <c r="Z17">
        <f t="shared" si="1"/>
        <v>18737.795378146995</v>
      </c>
    </row>
    <row r="18" spans="2:26" ht="18" x14ac:dyDescent="0.25">
      <c r="B18">
        <v>2026</v>
      </c>
      <c r="C18">
        <f t="shared" si="5"/>
        <v>33482.11688171549</v>
      </c>
      <c r="D18" s="8">
        <v>3.5000000000000003E-2</v>
      </c>
      <c r="G18">
        <v>2026</v>
      </c>
      <c r="H18">
        <f t="shared" si="6"/>
        <v>7161.5996208224988</v>
      </c>
      <c r="I18" s="8">
        <v>0.15</v>
      </c>
      <c r="K18">
        <v>2026</v>
      </c>
      <c r="L18">
        <f t="shared" si="7"/>
        <v>4569.4370637685788</v>
      </c>
      <c r="M18" s="8">
        <v>1.2999999999999999E-2</v>
      </c>
      <c r="N18" s="9"/>
      <c r="P18">
        <v>2026</v>
      </c>
      <c r="Q18">
        <f t="shared" si="8"/>
        <v>2931.2773947684</v>
      </c>
      <c r="R18" s="8">
        <v>0.02</v>
      </c>
      <c r="U18" s="17">
        <v>2026</v>
      </c>
      <c r="V18">
        <f t="shared" si="9"/>
        <v>18819.802802356015</v>
      </c>
      <c r="W18" s="7">
        <f t="shared" si="0"/>
        <v>4.3765780634290596E-3</v>
      </c>
      <c r="X18" s="8"/>
      <c r="Y18">
        <v>2026</v>
      </c>
      <c r="Z18">
        <f t="shared" si="1"/>
        <v>18819.802802356015</v>
      </c>
    </row>
    <row r="19" spans="2:26" ht="18" x14ac:dyDescent="0.25">
      <c r="B19">
        <v>2027</v>
      </c>
      <c r="C19">
        <f t="shared" si="5"/>
        <v>34653.990972575528</v>
      </c>
      <c r="D19" s="8">
        <v>3.5000000000000003E-2</v>
      </c>
      <c r="G19">
        <v>2027</v>
      </c>
      <c r="H19">
        <f t="shared" si="6"/>
        <v>8235.8395639458722</v>
      </c>
      <c r="I19" s="8">
        <v>0.15</v>
      </c>
      <c r="K19">
        <v>2027</v>
      </c>
      <c r="L19">
        <f t="shared" si="7"/>
        <v>4628.8397455975701</v>
      </c>
      <c r="M19" s="8">
        <v>1.2999999999999999E-2</v>
      </c>
      <c r="N19" s="9"/>
      <c r="P19">
        <v>2027</v>
      </c>
      <c r="Q19">
        <f t="shared" si="8"/>
        <v>2989.902942663768</v>
      </c>
      <c r="R19" s="8">
        <v>0.02</v>
      </c>
      <c r="U19" s="17">
        <v>2027</v>
      </c>
      <c r="V19">
        <f t="shared" si="9"/>
        <v>18799.408720368319</v>
      </c>
      <c r="W19" s="7">
        <f t="shared" si="0"/>
        <v>-1.0836501424521527E-3</v>
      </c>
      <c r="X19" s="8"/>
      <c r="Y19">
        <v>2027</v>
      </c>
      <c r="Z19">
        <f t="shared" si="1"/>
        <v>18799.408720368319</v>
      </c>
    </row>
    <row r="20" spans="2:26" ht="18" x14ac:dyDescent="0.25">
      <c r="B20">
        <v>2028</v>
      </c>
      <c r="C20">
        <f t="shared" si="5"/>
        <v>35866.880656615671</v>
      </c>
      <c r="D20" s="8">
        <v>3.5000000000000003E-2</v>
      </c>
      <c r="G20">
        <v>2028</v>
      </c>
      <c r="H20">
        <f t="shared" si="6"/>
        <v>9471.2154985377529</v>
      </c>
      <c r="I20" s="8">
        <v>0.15</v>
      </c>
      <c r="K20">
        <v>2028</v>
      </c>
      <c r="L20">
        <f t="shared" si="7"/>
        <v>4689.0146622903376</v>
      </c>
      <c r="M20" s="8">
        <v>1.2999999999999999E-2</v>
      </c>
      <c r="P20">
        <v>2028</v>
      </c>
      <c r="Q20">
        <f t="shared" si="8"/>
        <v>3049.7010015170436</v>
      </c>
      <c r="R20" s="8">
        <v>0.02</v>
      </c>
      <c r="U20" s="17">
        <v>2028</v>
      </c>
      <c r="V20">
        <f t="shared" si="9"/>
        <v>18656.949494270535</v>
      </c>
      <c r="W20" s="7">
        <f t="shared" si="0"/>
        <v>-7.5778567409642283E-3</v>
      </c>
      <c r="X20" s="8"/>
      <c r="Y20">
        <v>2028</v>
      </c>
      <c r="Z20">
        <f t="shared" si="1"/>
        <v>18656.949494270535</v>
      </c>
    </row>
    <row r="21" spans="2:26" ht="18" x14ac:dyDescent="0.25">
      <c r="B21">
        <v>2029</v>
      </c>
      <c r="C21">
        <f t="shared" si="5"/>
        <v>37122.221479597218</v>
      </c>
      <c r="D21" s="8">
        <v>3.5000000000000003E-2</v>
      </c>
      <c r="G21">
        <v>2029</v>
      </c>
      <c r="H21">
        <f t="shared" si="6"/>
        <v>10891.897823318415</v>
      </c>
      <c r="I21" s="8">
        <v>0.15</v>
      </c>
      <c r="K21">
        <v>2029</v>
      </c>
      <c r="L21">
        <f t="shared" si="7"/>
        <v>4749.9718529001111</v>
      </c>
      <c r="M21" s="8">
        <v>1.2999999999999999E-2</v>
      </c>
      <c r="P21">
        <v>2029</v>
      </c>
      <c r="Q21">
        <f t="shared" si="8"/>
        <v>3110.6950215473844</v>
      </c>
      <c r="R21" s="8">
        <v>0.02</v>
      </c>
      <c r="U21" s="17">
        <v>2029</v>
      </c>
      <c r="V21">
        <f t="shared" si="9"/>
        <v>18369.656781831305</v>
      </c>
      <c r="W21" s="7">
        <f t="shared" si="0"/>
        <v>-1.5398697012470097E-2</v>
      </c>
      <c r="X21" s="8"/>
      <c r="Y21">
        <v>2029</v>
      </c>
      <c r="Z21">
        <f t="shared" si="1"/>
        <v>18369.656781831305</v>
      </c>
    </row>
    <row r="22" spans="2:26" ht="18" x14ac:dyDescent="0.25">
      <c r="B22">
        <v>2030</v>
      </c>
      <c r="C22">
        <f t="shared" si="5"/>
        <v>38421.499231383117</v>
      </c>
      <c r="D22" s="8">
        <v>3.5000000000000003E-2</v>
      </c>
      <c r="G22">
        <v>2030</v>
      </c>
      <c r="H22">
        <f t="shared" si="6"/>
        <v>12525.682496816176</v>
      </c>
      <c r="I22" s="8">
        <v>0.15</v>
      </c>
      <c r="K22">
        <v>2030</v>
      </c>
      <c r="L22">
        <f t="shared" si="7"/>
        <v>4811.7214869878117</v>
      </c>
      <c r="M22" s="8">
        <v>1.2999999999999999E-2</v>
      </c>
      <c r="P22">
        <v>2030</v>
      </c>
      <c r="Q22">
        <f t="shared" si="8"/>
        <v>3172.9089219783323</v>
      </c>
      <c r="R22" s="8">
        <v>0.02</v>
      </c>
      <c r="U22" s="17">
        <v>2030</v>
      </c>
      <c r="V22">
        <f t="shared" si="9"/>
        <v>17911.1863256008</v>
      </c>
      <c r="W22" s="7">
        <f t="shared" si="0"/>
        <v>-2.4958030608604465E-2</v>
      </c>
      <c r="X22" s="8"/>
      <c r="Y22">
        <v>2030</v>
      </c>
      <c r="Z22">
        <f t="shared" si="1"/>
        <v>17911.1863256008</v>
      </c>
    </row>
    <row r="23" spans="2:26" ht="18" x14ac:dyDescent="0.25">
      <c r="B23">
        <v>2031</v>
      </c>
      <c r="C23">
        <f t="shared" si="5"/>
        <v>39766.251704481525</v>
      </c>
      <c r="D23" s="8">
        <v>3.5000000000000003E-2</v>
      </c>
      <c r="G23">
        <v>2031</v>
      </c>
      <c r="H23">
        <f t="shared" si="6"/>
        <v>14404.534871338601</v>
      </c>
      <c r="I23" s="8">
        <v>0.15</v>
      </c>
      <c r="K23">
        <v>2031</v>
      </c>
      <c r="L23">
        <f t="shared" si="7"/>
        <v>4874.2738663186528</v>
      </c>
      <c r="M23" s="8">
        <v>1.2999999999999999E-2</v>
      </c>
      <c r="P23">
        <v>2031</v>
      </c>
      <c r="Q23">
        <f t="shared" si="8"/>
        <v>3236.3671004178991</v>
      </c>
      <c r="R23" s="8">
        <v>0.02</v>
      </c>
      <c r="U23" s="17">
        <v>2031</v>
      </c>
      <c r="V23">
        <f t="shared" si="9"/>
        <v>17251.075866406372</v>
      </c>
      <c r="W23" s="7">
        <f t="shared" si="0"/>
        <v>-3.6854647547880148E-2</v>
      </c>
      <c r="X23" s="8"/>
      <c r="Y23">
        <v>2031</v>
      </c>
      <c r="Z23">
        <f t="shared" si="1"/>
        <v>17251.075866406372</v>
      </c>
    </row>
    <row r="24" spans="2:26" ht="18" x14ac:dyDescent="0.25">
      <c r="B24">
        <v>2032</v>
      </c>
      <c r="C24">
        <f t="shared" si="5"/>
        <v>41158.070514138373</v>
      </c>
      <c r="D24" s="8">
        <v>3.5000000000000003E-2</v>
      </c>
      <c r="G24">
        <v>2032</v>
      </c>
      <c r="H24">
        <f t="shared" si="6"/>
        <v>16565.21510203939</v>
      </c>
      <c r="I24" s="8">
        <v>0.15</v>
      </c>
      <c r="K24">
        <v>2032</v>
      </c>
      <c r="L24">
        <f t="shared" si="7"/>
        <v>4937.6394265807949</v>
      </c>
      <c r="M24" s="8">
        <v>1.2999999999999999E-2</v>
      </c>
      <c r="P24">
        <v>2032</v>
      </c>
      <c r="Q24">
        <f t="shared" si="8"/>
        <v>3301.094442426257</v>
      </c>
      <c r="R24" s="8">
        <v>0.02</v>
      </c>
      <c r="U24" s="17">
        <v>2032</v>
      </c>
      <c r="V24">
        <f t="shared" si="9"/>
        <v>16354.121543091933</v>
      </c>
      <c r="W24" s="7">
        <f t="shared" si="0"/>
        <v>-5.1994109252114007E-2</v>
      </c>
      <c r="X24" s="8"/>
      <c r="Y24">
        <v>2032</v>
      </c>
      <c r="Z24">
        <f t="shared" si="1"/>
        <v>16354.121543091933</v>
      </c>
    </row>
    <row r="25" spans="2:26" ht="18" x14ac:dyDescent="0.25">
      <c r="B25">
        <v>2033</v>
      </c>
      <c r="C25">
        <f t="shared" si="5"/>
        <v>42598.602982133212</v>
      </c>
      <c r="D25" s="8">
        <v>3.5000000000000003E-2</v>
      </c>
      <c r="G25">
        <v>2033</v>
      </c>
      <c r="H25">
        <f t="shared" si="6"/>
        <v>19049.997367345299</v>
      </c>
      <c r="I25" s="8">
        <v>0.15</v>
      </c>
      <c r="K25">
        <v>2033</v>
      </c>
      <c r="L25">
        <f t="shared" si="7"/>
        <v>5001.8287391263448</v>
      </c>
      <c r="M25" s="8">
        <v>1.2999999999999999E-2</v>
      </c>
      <c r="P25">
        <v>2033</v>
      </c>
      <c r="Q25">
        <f t="shared" si="8"/>
        <v>3367.1163312747822</v>
      </c>
      <c r="R25" s="8">
        <v>0.02</v>
      </c>
      <c r="U25" s="17">
        <v>2033</v>
      </c>
      <c r="V25">
        <f t="shared" si="9"/>
        <v>15179.660544386788</v>
      </c>
      <c r="W25" s="7">
        <f t="shared" si="0"/>
        <v>-7.1814373863525738E-2</v>
      </c>
      <c r="X25" s="8"/>
      <c r="Y25">
        <v>2033</v>
      </c>
      <c r="Z25">
        <f t="shared" si="1"/>
        <v>15179.660544386788</v>
      </c>
    </row>
    <row r="26" spans="2:26" ht="18" x14ac:dyDescent="0.25">
      <c r="B26">
        <v>2034</v>
      </c>
      <c r="C26">
        <f t="shared" si="5"/>
        <v>44089.554086507873</v>
      </c>
      <c r="D26" s="8">
        <v>3.5000000000000003E-2</v>
      </c>
      <c r="G26">
        <v>2034</v>
      </c>
      <c r="H26">
        <f t="shared" si="6"/>
        <v>21907.49697244709</v>
      </c>
      <c r="I26" s="8">
        <v>0.15</v>
      </c>
      <c r="K26">
        <v>2034</v>
      </c>
      <c r="L26">
        <f t="shared" si="7"/>
        <v>5066.8525127349867</v>
      </c>
      <c r="M26" s="8">
        <v>1.2999999999999999E-2</v>
      </c>
      <c r="P26">
        <v>2034</v>
      </c>
      <c r="Q26">
        <f t="shared" si="8"/>
        <v>3434.458657900278</v>
      </c>
      <c r="R26" s="8">
        <v>0.02</v>
      </c>
      <c r="U26" s="17">
        <v>2034</v>
      </c>
      <c r="V26">
        <f t="shared" si="9"/>
        <v>13680.745943425518</v>
      </c>
      <c r="W26" s="7">
        <f t="shared" si="0"/>
        <v>-9.8744935473247253E-2</v>
      </c>
      <c r="X26" s="8"/>
      <c r="Y26">
        <v>2034</v>
      </c>
      <c r="Z26">
        <f t="shared" si="1"/>
        <v>13680.745943425518</v>
      </c>
    </row>
    <row r="27" spans="2:26" ht="18" x14ac:dyDescent="0.25">
      <c r="B27">
        <v>2035</v>
      </c>
      <c r="C27">
        <f t="shared" si="5"/>
        <v>45632.688479535645</v>
      </c>
      <c r="D27" s="8">
        <v>3.5000000000000003E-2</v>
      </c>
      <c r="G27">
        <v>2035</v>
      </c>
      <c r="H27">
        <f t="shared" si="6"/>
        <v>25193.62151831415</v>
      </c>
      <c r="I27" s="8">
        <v>0.15</v>
      </c>
      <c r="K27">
        <v>2035</v>
      </c>
      <c r="L27">
        <f t="shared" si="7"/>
        <v>5132.7215954005414</v>
      </c>
      <c r="M27" s="8">
        <v>1.2999999999999999E-2</v>
      </c>
      <c r="P27">
        <v>2035</v>
      </c>
      <c r="Q27">
        <f t="shared" si="8"/>
        <v>3503.1478310582838</v>
      </c>
      <c r="R27" s="8">
        <v>0.02</v>
      </c>
      <c r="U27" s="17">
        <v>2035</v>
      </c>
      <c r="V27">
        <f t="shared" si="9"/>
        <v>11803.19753476267</v>
      </c>
      <c r="W27" s="7">
        <f t="shared" si="0"/>
        <v>-0.1372402072538399</v>
      </c>
      <c r="X27" s="8"/>
      <c r="Y27">
        <v>2035</v>
      </c>
      <c r="Z27">
        <f t="shared" si="1"/>
        <v>11803.19753476267</v>
      </c>
    </row>
    <row r="28" spans="2:26" ht="18" x14ac:dyDescent="0.25">
      <c r="B28">
        <v>2036</v>
      </c>
      <c r="C28">
        <f t="shared" si="5"/>
        <v>47229.832576319386</v>
      </c>
      <c r="D28" s="8">
        <v>3.5000000000000003E-2</v>
      </c>
      <c r="G28">
        <v>2036</v>
      </c>
      <c r="H28">
        <f t="shared" si="6"/>
        <v>28972.664746061269</v>
      </c>
      <c r="I28" s="8">
        <v>0.15</v>
      </c>
      <c r="K28">
        <v>2036</v>
      </c>
      <c r="L28">
        <f t="shared" si="7"/>
        <v>5199.4469761407481</v>
      </c>
      <c r="M28" s="8">
        <v>1.2999999999999999E-2</v>
      </c>
      <c r="P28">
        <v>2036</v>
      </c>
      <c r="Q28">
        <f t="shared" si="8"/>
        <v>3573.2107876794494</v>
      </c>
      <c r="R28" s="8">
        <v>0.02</v>
      </c>
      <c r="U28" s="17">
        <v>2036</v>
      </c>
      <c r="V28">
        <f t="shared" si="9"/>
        <v>9484.5100664379188</v>
      </c>
      <c r="W28" s="7">
        <f t="shared" si="0"/>
        <v>-0.19644570562305463</v>
      </c>
      <c r="Y28">
        <v>2036</v>
      </c>
      <c r="Z28">
        <f t="shared" si="1"/>
        <v>9484.5100664379188</v>
      </c>
    </row>
    <row r="34" spans="13:14" ht="18" x14ac:dyDescent="0.25">
      <c r="M34" s="17">
        <v>2015</v>
      </c>
      <c r="N34">
        <v>16071.664803</v>
      </c>
    </row>
    <row r="35" spans="13:14" ht="18" x14ac:dyDescent="0.25">
      <c r="M35" s="17">
        <v>2016</v>
      </c>
      <c r="N35">
        <v>16297.870096000001</v>
      </c>
    </row>
    <row r="36" spans="13:14" ht="18" x14ac:dyDescent="0.25">
      <c r="M36" s="17">
        <v>2017</v>
      </c>
      <c r="N36">
        <v>16636.521306999999</v>
      </c>
    </row>
    <row r="37" spans="13:14" ht="18" x14ac:dyDescent="0.25">
      <c r="M37" s="17">
        <v>2018</v>
      </c>
      <c r="N37">
        <v>17193.976074999999</v>
      </c>
    </row>
    <row r="38" spans="13:14" ht="18" x14ac:dyDescent="0.25">
      <c r="M38" s="17">
        <v>2019</v>
      </c>
      <c r="N38">
        <v>17105.501233999999</v>
      </c>
    </row>
    <row r="39" spans="13:14" ht="18" x14ac:dyDescent="0.25">
      <c r="M39" s="17">
        <v>2020</v>
      </c>
      <c r="N39">
        <v>16613.399388000002</v>
      </c>
    </row>
    <row r="40" spans="13:14" ht="18" x14ac:dyDescent="0.25">
      <c r="M40" s="17">
        <v>2021</v>
      </c>
      <c r="N40">
        <v>17574.478621999999</v>
      </c>
    </row>
    <row r="41" spans="13:14" ht="18" x14ac:dyDescent="0.25">
      <c r="M41" s="17">
        <v>2022</v>
      </c>
      <c r="N41">
        <v>17753.979776</v>
      </c>
    </row>
    <row r="42" spans="13:14" ht="18" x14ac:dyDescent="0.25">
      <c r="M42" s="17">
        <v>2023</v>
      </c>
      <c r="N42">
        <v>17975.502171</v>
      </c>
    </row>
    <row r="43" spans="13:14" ht="18" x14ac:dyDescent="0.25">
      <c r="M43" s="17">
        <v>2024</v>
      </c>
      <c r="N43">
        <v>18309.153343999998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C690-F2C1-E444-9520-B8A0A95D3B1F}">
  <dimension ref="A4:R31"/>
  <sheetViews>
    <sheetView topLeftCell="H1" workbookViewId="0">
      <selection activeCell="O8" sqref="O8:R29"/>
    </sheetView>
  </sheetViews>
  <sheetFormatPr baseColWidth="10" defaultRowHeight="16" x14ac:dyDescent="0.2"/>
  <cols>
    <col min="16" max="16" width="10.5" customWidth="1"/>
  </cols>
  <sheetData>
    <row r="4" spans="1:18" x14ac:dyDescent="0.2">
      <c r="J4" t="s">
        <v>67</v>
      </c>
      <c r="O4" t="s">
        <v>66</v>
      </c>
    </row>
    <row r="6" spans="1:18" x14ac:dyDescent="0.2">
      <c r="B6" t="s">
        <v>55</v>
      </c>
      <c r="C6" t="s">
        <v>65</v>
      </c>
      <c r="D6" t="s">
        <v>64</v>
      </c>
      <c r="E6" t="s">
        <v>63</v>
      </c>
      <c r="F6" t="s">
        <v>21</v>
      </c>
      <c r="G6" t="s">
        <v>62</v>
      </c>
      <c r="J6" t="s">
        <v>64</v>
      </c>
      <c r="K6" t="s">
        <v>63</v>
      </c>
      <c r="L6" t="s">
        <v>21</v>
      </c>
      <c r="M6" t="s">
        <v>62</v>
      </c>
      <c r="O6" t="s">
        <v>64</v>
      </c>
      <c r="P6" t="s">
        <v>63</v>
      </c>
      <c r="Q6" t="s">
        <v>21</v>
      </c>
      <c r="R6" t="s">
        <v>62</v>
      </c>
    </row>
    <row r="7" spans="1:18" ht="18" x14ac:dyDescent="0.25">
      <c r="A7" s="17">
        <v>2015</v>
      </c>
      <c r="B7">
        <v>16071.664803</v>
      </c>
      <c r="C7">
        <f t="shared" ref="C7:C16" si="0">D7+E7+F7</f>
        <v>16071.665000000001</v>
      </c>
      <c r="D7" s="5">
        <v>9417.5609999999997</v>
      </c>
      <c r="E7" s="5">
        <v>5632.7110000000002</v>
      </c>
      <c r="F7" s="5">
        <v>1021.393</v>
      </c>
      <c r="G7" s="5">
        <v>155.06450000000001</v>
      </c>
    </row>
    <row r="8" spans="1:18" ht="18" x14ac:dyDescent="0.25">
      <c r="A8" s="17">
        <v>2016</v>
      </c>
      <c r="B8">
        <v>16297.870096000001</v>
      </c>
      <c r="C8">
        <f t="shared" si="0"/>
        <v>16297.869999999999</v>
      </c>
      <c r="D8" s="5">
        <v>9438.0329999999994</v>
      </c>
      <c r="E8" s="5">
        <v>5921.2420000000002</v>
      </c>
      <c r="F8" s="5">
        <v>938.59500000000003</v>
      </c>
      <c r="G8" s="5">
        <v>212.05</v>
      </c>
      <c r="J8" s="19">
        <f t="shared" ref="J8:J16" si="1">D8/D7-1</f>
        <v>2.1738112447584612E-3</v>
      </c>
      <c r="K8" s="19">
        <f t="shared" ref="K8:K16" si="2">E8/E7-1</f>
        <v>5.1224179617949561E-2</v>
      </c>
      <c r="L8" s="19">
        <f t="shared" ref="L8:L16" si="3">F8/F7-1</f>
        <v>-8.1063802082058545E-2</v>
      </c>
      <c r="M8" s="19">
        <f t="shared" ref="M8:M16" si="4">G8/G7-1</f>
        <v>0.36749546156599355</v>
      </c>
      <c r="O8" s="19">
        <f t="shared" ref="O8:O16" si="5">D8/$C8</f>
        <v>0.5790961027422602</v>
      </c>
      <c r="P8" s="19">
        <f t="shared" ref="P8:P16" si="6">E8/$C8</f>
        <v>0.3633138563505538</v>
      </c>
      <c r="Q8" s="19">
        <f t="shared" ref="Q8:Q16" si="7">F8/$C8</f>
        <v>5.7590040907186037E-2</v>
      </c>
      <c r="R8" s="19">
        <f t="shared" ref="R8:R16" si="8">G8/$C8</f>
        <v>1.3010902651696205E-2</v>
      </c>
    </row>
    <row r="9" spans="1:18" ht="18" x14ac:dyDescent="0.25">
      <c r="A9" s="17">
        <v>2017</v>
      </c>
      <c r="B9">
        <v>16636.521306999999</v>
      </c>
      <c r="C9">
        <f t="shared" si="0"/>
        <v>16636.521199999999</v>
      </c>
      <c r="D9" s="5">
        <v>9751.5120000000006</v>
      </c>
      <c r="E9" s="5">
        <v>6036.0349999999999</v>
      </c>
      <c r="F9" s="5">
        <v>848.9742</v>
      </c>
      <c r="G9" s="5">
        <v>223.37790000000001</v>
      </c>
      <c r="J9" s="19">
        <f t="shared" si="1"/>
        <v>3.321444203469115E-2</v>
      </c>
      <c r="K9" s="19">
        <f t="shared" si="2"/>
        <v>1.93866421943234E-2</v>
      </c>
      <c r="L9" s="19">
        <f t="shared" si="3"/>
        <v>-9.5483994694197216E-2</v>
      </c>
      <c r="M9" s="19">
        <f t="shared" si="4"/>
        <v>5.3420891299221784E-2</v>
      </c>
      <c r="O9" s="19">
        <f t="shared" si="5"/>
        <v>0.5861509075587269</v>
      </c>
      <c r="P9" s="19">
        <f t="shared" si="6"/>
        <v>0.36281833968991067</v>
      </c>
      <c r="Q9" s="19">
        <f t="shared" si="7"/>
        <v>5.1030752751362471E-2</v>
      </c>
      <c r="R9" s="19">
        <f t="shared" si="8"/>
        <v>1.3426959717996814E-2</v>
      </c>
    </row>
    <row r="10" spans="1:18" ht="18" x14ac:dyDescent="0.25">
      <c r="A10" s="17">
        <v>2018</v>
      </c>
      <c r="B10">
        <v>17193.976074999999</v>
      </c>
      <c r="C10">
        <f t="shared" si="0"/>
        <v>17193.972300000001</v>
      </c>
      <c r="D10" s="5">
        <v>10134.33</v>
      </c>
      <c r="E10" s="5">
        <v>6296.1930000000002</v>
      </c>
      <c r="F10" s="5">
        <v>763.44929999999999</v>
      </c>
      <c r="G10" s="5">
        <v>222.3211</v>
      </c>
      <c r="J10" s="19">
        <f t="shared" si="1"/>
        <v>3.9257296714601653E-2</v>
      </c>
      <c r="K10" s="19">
        <f t="shared" si="2"/>
        <v>4.3100810382975085E-2</v>
      </c>
      <c r="L10" s="19">
        <f t="shared" si="3"/>
        <v>-0.10073910373248096</v>
      </c>
      <c r="M10" s="19">
        <f t="shared" si="4"/>
        <v>-4.73099621762052E-3</v>
      </c>
      <c r="O10" s="19">
        <f t="shared" si="5"/>
        <v>0.5894117905494124</v>
      </c>
      <c r="P10" s="19">
        <f t="shared" si="6"/>
        <v>0.36618606161183592</v>
      </c>
      <c r="Q10" s="19">
        <f t="shared" si="7"/>
        <v>4.4402147838751606E-2</v>
      </c>
      <c r="R10" s="19">
        <f t="shared" si="8"/>
        <v>1.2930176699191262E-2</v>
      </c>
    </row>
    <row r="11" spans="1:18" ht="18" x14ac:dyDescent="0.25">
      <c r="A11" s="17">
        <v>2019</v>
      </c>
      <c r="B11">
        <v>17105.501233999999</v>
      </c>
      <c r="C11">
        <f t="shared" si="0"/>
        <v>17105.501400000001</v>
      </c>
      <c r="D11" s="5">
        <v>9902.6090000000004</v>
      </c>
      <c r="E11" s="5">
        <v>6485.3609999999999</v>
      </c>
      <c r="F11" s="5">
        <v>717.53139999999996</v>
      </c>
      <c r="G11" s="5">
        <v>213.8528</v>
      </c>
      <c r="J11" s="19">
        <f t="shared" si="1"/>
        <v>-2.2864955058696457E-2</v>
      </c>
      <c r="K11" s="19">
        <f t="shared" si="2"/>
        <v>3.0044822323584963E-2</v>
      </c>
      <c r="L11" s="19">
        <f t="shared" si="3"/>
        <v>-6.0145316787899361E-2</v>
      </c>
      <c r="M11" s="19">
        <f t="shared" si="4"/>
        <v>-3.8090401675774377E-2</v>
      </c>
      <c r="O11" s="19">
        <f t="shared" si="5"/>
        <v>0.5789136938131495</v>
      </c>
      <c r="P11" s="19">
        <f t="shared" si="6"/>
        <v>0.37913890089184987</v>
      </c>
      <c r="Q11" s="19">
        <f t="shared" si="7"/>
        <v>4.1947405295000587E-2</v>
      </c>
      <c r="R11" s="19">
        <f t="shared" si="8"/>
        <v>1.2501989564597036E-2</v>
      </c>
    </row>
    <row r="12" spans="1:18" ht="18" x14ac:dyDescent="0.25">
      <c r="A12" s="17">
        <v>2020</v>
      </c>
      <c r="B12">
        <v>16613.399388000002</v>
      </c>
      <c r="C12">
        <f t="shared" si="0"/>
        <v>16613.3992</v>
      </c>
      <c r="D12" s="5">
        <v>9497.9560000000001</v>
      </c>
      <c r="E12" s="5">
        <v>6456.7470000000003</v>
      </c>
      <c r="F12" s="5">
        <v>658.69619999999998</v>
      </c>
      <c r="G12" s="5">
        <v>213.31569999999999</v>
      </c>
      <c r="J12" s="19">
        <f t="shared" si="1"/>
        <v>-4.0863271487342367E-2</v>
      </c>
      <c r="K12" s="19">
        <f t="shared" si="2"/>
        <v>-4.4120905528619581E-3</v>
      </c>
      <c r="L12" s="19">
        <f t="shared" si="3"/>
        <v>-8.1996690319057763E-2</v>
      </c>
      <c r="M12" s="19">
        <f t="shared" si="4"/>
        <v>-2.5115406485208824E-3</v>
      </c>
      <c r="O12" s="19">
        <f t="shared" si="5"/>
        <v>0.57170455520023866</v>
      </c>
      <c r="P12" s="19">
        <f t="shared" si="6"/>
        <v>0.38864695432106394</v>
      </c>
      <c r="Q12" s="19">
        <f t="shared" si="7"/>
        <v>3.9648490478697458E-2</v>
      </c>
      <c r="R12" s="19">
        <f t="shared" si="8"/>
        <v>1.2839979189809633E-2</v>
      </c>
    </row>
    <row r="13" spans="1:18" ht="18" x14ac:dyDescent="0.25">
      <c r="A13" s="17">
        <v>2021</v>
      </c>
      <c r="B13">
        <v>17574.478621999999</v>
      </c>
      <c r="C13">
        <f t="shared" si="0"/>
        <v>17574.483400000001</v>
      </c>
      <c r="D13" s="5">
        <v>10233.98</v>
      </c>
      <c r="E13" s="5">
        <v>6630.3410000000003</v>
      </c>
      <c r="F13" s="5">
        <v>710.16240000000005</v>
      </c>
      <c r="G13" s="5">
        <v>217.76329999999999</v>
      </c>
      <c r="J13" s="19">
        <f t="shared" si="1"/>
        <v>7.7492883732036555E-2</v>
      </c>
      <c r="K13" s="19">
        <f t="shared" si="2"/>
        <v>2.6885674783292624E-2</v>
      </c>
      <c r="L13" s="19">
        <f t="shared" si="3"/>
        <v>7.8133439968228302E-2</v>
      </c>
      <c r="M13" s="19">
        <f t="shared" si="4"/>
        <v>2.0849848370279256E-2</v>
      </c>
      <c r="O13" s="19">
        <f t="shared" si="5"/>
        <v>0.58232038843315292</v>
      </c>
      <c r="P13" s="19">
        <f t="shared" si="6"/>
        <v>0.37727089036369627</v>
      </c>
      <c r="Q13" s="19">
        <f t="shared" si="7"/>
        <v>4.0408721203150699E-2</v>
      </c>
      <c r="R13" s="19">
        <f t="shared" si="8"/>
        <v>1.2390879153807729E-2</v>
      </c>
    </row>
    <row r="14" spans="1:18" ht="18" x14ac:dyDescent="0.25">
      <c r="A14" s="17">
        <v>2022</v>
      </c>
      <c r="B14">
        <v>17753.979776</v>
      </c>
      <c r="C14">
        <f t="shared" si="0"/>
        <v>17753.980099999997</v>
      </c>
      <c r="D14" s="5">
        <v>10311.73</v>
      </c>
      <c r="E14" s="5">
        <v>6696.067</v>
      </c>
      <c r="F14" s="5">
        <v>746.18309999999997</v>
      </c>
      <c r="G14" s="5">
        <v>241.21600000000001</v>
      </c>
      <c r="J14" s="19">
        <f t="shared" si="1"/>
        <v>7.5972397835446515E-3</v>
      </c>
      <c r="K14" s="19">
        <f t="shared" si="2"/>
        <v>9.9129139813471934E-3</v>
      </c>
      <c r="L14" s="19">
        <f t="shared" si="3"/>
        <v>5.0721778567831777E-2</v>
      </c>
      <c r="M14" s="19">
        <f t="shared" si="4"/>
        <v>0.10769812911542043</v>
      </c>
      <c r="O14" s="19">
        <f t="shared" si="5"/>
        <v>0.58081229909680931</v>
      </c>
      <c r="P14" s="19">
        <f t="shared" si="6"/>
        <v>0.3771586406137743</v>
      </c>
      <c r="Q14" s="19">
        <f t="shared" si="7"/>
        <v>4.2029060289416463E-2</v>
      </c>
      <c r="R14" s="19">
        <f t="shared" si="8"/>
        <v>1.3586587268958358E-2</v>
      </c>
    </row>
    <row r="15" spans="1:18" ht="18" x14ac:dyDescent="0.25">
      <c r="A15" s="17">
        <v>2023</v>
      </c>
      <c r="B15">
        <v>17975.502171</v>
      </c>
      <c r="C15">
        <f t="shared" si="0"/>
        <v>17975.5</v>
      </c>
      <c r="D15" s="5">
        <v>10460.950000000001</v>
      </c>
      <c r="E15" s="5">
        <v>6809.6540000000005</v>
      </c>
      <c r="F15" s="5">
        <v>704.89599999999996</v>
      </c>
      <c r="G15" s="5">
        <v>244.0831</v>
      </c>
      <c r="J15" s="19">
        <f t="shared" si="1"/>
        <v>1.4470898675586152E-2</v>
      </c>
      <c r="K15" s="19">
        <f t="shared" si="2"/>
        <v>1.6963241257890616E-2</v>
      </c>
      <c r="L15" s="19">
        <f t="shared" si="3"/>
        <v>-5.5331057484416357E-2</v>
      </c>
      <c r="M15" s="19">
        <f t="shared" si="4"/>
        <v>1.1886027460864979E-2</v>
      </c>
      <c r="O15" s="19">
        <f t="shared" si="5"/>
        <v>0.58195599566076051</v>
      </c>
      <c r="P15" s="19">
        <f t="shared" si="6"/>
        <v>0.37882974048009793</v>
      </c>
      <c r="Q15" s="19">
        <f t="shared" si="7"/>
        <v>3.9214263859141604E-2</v>
      </c>
      <c r="R15" s="19">
        <f t="shared" si="8"/>
        <v>1.3578654279435899E-2</v>
      </c>
    </row>
    <row r="16" spans="1:18" ht="18" x14ac:dyDescent="0.25">
      <c r="A16" s="17">
        <v>2024</v>
      </c>
      <c r="B16">
        <v>18309.153343999998</v>
      </c>
      <c r="C16">
        <f t="shared" si="0"/>
        <v>18309.156000000003</v>
      </c>
      <c r="D16" s="5">
        <v>10613.25</v>
      </c>
      <c r="E16" s="5">
        <v>7001.2190000000001</v>
      </c>
      <c r="F16" s="5">
        <v>694.68700000000001</v>
      </c>
      <c r="G16" s="5">
        <v>261.20159999999998</v>
      </c>
      <c r="J16" s="19">
        <f t="shared" si="1"/>
        <v>1.4558907173822577E-2</v>
      </c>
      <c r="K16" s="19">
        <f t="shared" si="2"/>
        <v>2.8131385236312978E-2</v>
      </c>
      <c r="L16" s="19">
        <f t="shared" si="3"/>
        <v>-1.4482987561285521E-2</v>
      </c>
      <c r="M16" s="19">
        <f t="shared" si="4"/>
        <v>7.0133901118102804E-2</v>
      </c>
      <c r="O16" s="19">
        <f t="shared" si="5"/>
        <v>0.57966899184211429</v>
      </c>
      <c r="P16" s="19">
        <f t="shared" si="6"/>
        <v>0.38238895337392936</v>
      </c>
      <c r="Q16" s="19">
        <f t="shared" si="7"/>
        <v>3.7942054783956174E-2</v>
      </c>
      <c r="R16" s="19">
        <f t="shared" si="8"/>
        <v>1.4266173711120269E-2</v>
      </c>
    </row>
    <row r="17" spans="1:18" ht="18" x14ac:dyDescent="0.25">
      <c r="A17" s="17">
        <v>2025</v>
      </c>
      <c r="B17">
        <f>elect_ren!V17</f>
        <v>18737.795378146995</v>
      </c>
      <c r="C17">
        <f t="shared" ref="C17:C28" si="9">B17</f>
        <v>18737.795378146995</v>
      </c>
      <c r="D17" s="18">
        <f t="shared" ref="D17:D28" si="10">$C17*O17</f>
        <v>10824.243365438007</v>
      </c>
      <c r="E17" s="18">
        <f t="shared" ref="E17:E28" si="11">$C17*P17</f>
        <v>7240.0771446970684</v>
      </c>
      <c r="F17" s="18">
        <f t="shared" ref="F17:F28" si="12">$C17*Q17</f>
        <v>673.47486801192008</v>
      </c>
      <c r="G17">
        <f t="shared" ref="G17:G28" si="13">G16*(1+R17)</f>
        <v>264.59722079999995</v>
      </c>
      <c r="O17" s="8">
        <f t="shared" ref="O17:O29" si="14">1-P17-Q17</f>
        <v>0.57766899184211451</v>
      </c>
      <c r="P17" s="8">
        <f t="shared" ref="P17:P29" si="15">P16+0.4%</f>
        <v>0.38638895337392937</v>
      </c>
      <c r="Q17" s="8">
        <f t="shared" ref="Q17:Q29" si="16">Q16-0.002</f>
        <v>3.5942054783956172E-2</v>
      </c>
      <c r="R17" s="8">
        <v>1.2999999999999999E-2</v>
      </c>
    </row>
    <row r="18" spans="1:18" ht="18" x14ac:dyDescent="0.25">
      <c r="A18" s="17">
        <v>2026</v>
      </c>
      <c r="B18">
        <f>elect_ren!V18</f>
        <v>18819.802802356015</v>
      </c>
      <c r="C18">
        <f t="shared" si="9"/>
        <v>18819.802802356015</v>
      </c>
      <c r="D18" s="18">
        <f t="shared" si="10"/>
        <v>10833.976905899688</v>
      </c>
      <c r="E18" s="18">
        <f t="shared" si="11"/>
        <v>7347.0431187155073</v>
      </c>
      <c r="F18" s="18">
        <f t="shared" si="12"/>
        <v>638.78277774081971</v>
      </c>
      <c r="G18">
        <f t="shared" si="13"/>
        <v>268.03698467039993</v>
      </c>
      <c r="O18" s="8">
        <f t="shared" si="14"/>
        <v>0.57566899184211451</v>
      </c>
      <c r="P18" s="8">
        <f t="shared" si="15"/>
        <v>0.39038895337392937</v>
      </c>
      <c r="Q18" s="8">
        <f t="shared" si="16"/>
        <v>3.394205478395617E-2</v>
      </c>
      <c r="R18" s="8">
        <v>1.2999999999999999E-2</v>
      </c>
    </row>
    <row r="19" spans="1:18" ht="18" x14ac:dyDescent="0.25">
      <c r="A19" s="17">
        <v>2027</v>
      </c>
      <c r="B19">
        <f>elect_ren!V19</f>
        <v>18799.408720368319</v>
      </c>
      <c r="C19">
        <f t="shared" si="9"/>
        <v>18799.408720368319</v>
      </c>
      <c r="D19" s="18">
        <f t="shared" si="10"/>
        <v>10784.63784784155</v>
      </c>
      <c r="E19" s="18">
        <f t="shared" si="11"/>
        <v>7414.2791292747825</v>
      </c>
      <c r="F19" s="18">
        <f t="shared" si="12"/>
        <v>600.49174325198817</v>
      </c>
      <c r="G19">
        <f t="shared" si="13"/>
        <v>271.52146547111511</v>
      </c>
      <c r="O19" s="8">
        <f t="shared" si="14"/>
        <v>0.57366899184211451</v>
      </c>
      <c r="P19" s="8">
        <f t="shared" si="15"/>
        <v>0.39438895337392937</v>
      </c>
      <c r="Q19" s="8">
        <f t="shared" si="16"/>
        <v>3.1942054783956168E-2</v>
      </c>
      <c r="R19" s="8">
        <v>1.2999999999999999E-2</v>
      </c>
    </row>
    <row r="20" spans="1:18" ht="18" x14ac:dyDescent="0.25">
      <c r="A20" s="17">
        <v>2028</v>
      </c>
      <c r="B20">
        <f>elect_ren!V20</f>
        <v>18656.949494270535</v>
      </c>
      <c r="C20">
        <f t="shared" si="9"/>
        <v>18656.949494270535</v>
      </c>
      <c r="D20" s="18">
        <f t="shared" si="10"/>
        <v>10665.599508238885</v>
      </c>
      <c r="E20" s="18">
        <f t="shared" si="11"/>
        <v>7432.7225821726997</v>
      </c>
      <c r="F20" s="18">
        <f t="shared" si="12"/>
        <v>558.62740385895165</v>
      </c>
      <c r="G20">
        <f t="shared" si="13"/>
        <v>275.05124452223959</v>
      </c>
      <c r="O20" s="8">
        <f t="shared" si="14"/>
        <v>0.5716689918421145</v>
      </c>
      <c r="P20" s="8">
        <f t="shared" si="15"/>
        <v>0.39838895337392938</v>
      </c>
      <c r="Q20" s="8">
        <f t="shared" si="16"/>
        <v>2.9942054783956167E-2</v>
      </c>
      <c r="R20" s="8">
        <v>1.2999999999999999E-2</v>
      </c>
    </row>
    <row r="21" spans="1:18" ht="18" x14ac:dyDescent="0.25">
      <c r="A21" s="17">
        <v>2029</v>
      </c>
      <c r="B21">
        <f>elect_ren!V21</f>
        <v>18369.656781831305</v>
      </c>
      <c r="C21">
        <f t="shared" si="9"/>
        <v>18369.656781831305</v>
      </c>
      <c r="D21" s="18">
        <f t="shared" si="10"/>
        <v>10464.6238593915</v>
      </c>
      <c r="E21" s="18">
        <f t="shared" si="11"/>
        <v>7391.7469662794028</v>
      </c>
      <c r="F21" s="18">
        <f t="shared" si="12"/>
        <v>513.28595616040218</v>
      </c>
      <c r="G21">
        <f t="shared" si="13"/>
        <v>278.62691070102869</v>
      </c>
      <c r="O21" s="8">
        <f t="shared" si="14"/>
        <v>0.5696689918421145</v>
      </c>
      <c r="P21" s="8">
        <f t="shared" si="15"/>
        <v>0.40238895337392938</v>
      </c>
      <c r="Q21" s="8">
        <f t="shared" si="16"/>
        <v>2.7942054783956165E-2</v>
      </c>
      <c r="R21" s="8">
        <v>1.2999999999999999E-2</v>
      </c>
    </row>
    <row r="22" spans="1:18" ht="18" x14ac:dyDescent="0.25">
      <c r="A22" s="17">
        <v>2030</v>
      </c>
      <c r="B22">
        <f>elect_ren!V22</f>
        <v>17911.1863256008</v>
      </c>
      <c r="C22">
        <f t="shared" si="9"/>
        <v>17911.1863256008</v>
      </c>
      <c r="D22" s="18">
        <f t="shared" si="10"/>
        <v>10167.625084150073</v>
      </c>
      <c r="E22" s="18">
        <f t="shared" si="11"/>
        <v>7278.908264546345</v>
      </c>
      <c r="F22" s="18">
        <f t="shared" si="12"/>
        <v>464.65297690438246</v>
      </c>
      <c r="G22">
        <f t="shared" si="13"/>
        <v>282.24906054014201</v>
      </c>
      <c r="O22" s="8">
        <f t="shared" si="14"/>
        <v>0.5676689918421145</v>
      </c>
      <c r="P22" s="8">
        <f t="shared" si="15"/>
        <v>0.40638895337392938</v>
      </c>
      <c r="Q22" s="8">
        <f t="shared" si="16"/>
        <v>2.5942054783956163E-2</v>
      </c>
      <c r="R22" s="8">
        <v>1.2999999999999999E-2</v>
      </c>
    </row>
    <row r="23" spans="1:18" ht="18" x14ac:dyDescent="0.25">
      <c r="A23" s="17">
        <v>2031</v>
      </c>
      <c r="B23">
        <f>elect_ren!V23</f>
        <v>17251.075866406372</v>
      </c>
      <c r="C23">
        <f t="shared" si="9"/>
        <v>17251.075866406372</v>
      </c>
      <c r="D23" s="18">
        <f t="shared" si="10"/>
        <v>9758.3986935419252</v>
      </c>
      <c r="E23" s="18">
        <f t="shared" si="11"/>
        <v>7079.6509693887629</v>
      </c>
      <c r="F23" s="18">
        <f t="shared" si="12"/>
        <v>413.02620347568535</v>
      </c>
      <c r="G23">
        <f t="shared" si="13"/>
        <v>285.91829832716382</v>
      </c>
      <c r="O23" s="8">
        <f t="shared" si="14"/>
        <v>0.5656689918421145</v>
      </c>
      <c r="P23" s="8">
        <f t="shared" si="15"/>
        <v>0.41038895337392939</v>
      </c>
      <c r="Q23" s="8">
        <f t="shared" si="16"/>
        <v>2.3942054783956161E-2</v>
      </c>
      <c r="R23" s="8">
        <v>1.2999999999999999E-2</v>
      </c>
    </row>
    <row r="24" spans="1:18" ht="18" x14ac:dyDescent="0.25">
      <c r="A24" s="17">
        <v>2032</v>
      </c>
      <c r="B24">
        <f>elect_ren!V24</f>
        <v>16354.121543091933</v>
      </c>
      <c r="C24">
        <f t="shared" si="9"/>
        <v>16354.121543091933</v>
      </c>
      <c r="D24" s="18">
        <f t="shared" si="10"/>
        <v>9218.3112026580347</v>
      </c>
      <c r="E24" s="18">
        <f t="shared" si="11"/>
        <v>6776.967309591897</v>
      </c>
      <c r="F24" s="18">
        <f t="shared" si="12"/>
        <v>358.84303084200081</v>
      </c>
      <c r="G24">
        <f t="shared" si="13"/>
        <v>289.6352362054169</v>
      </c>
      <c r="O24" s="8">
        <f t="shared" si="14"/>
        <v>0.5636689918421145</v>
      </c>
      <c r="P24" s="8">
        <f t="shared" si="15"/>
        <v>0.41438895337392939</v>
      </c>
      <c r="Q24" s="8">
        <f t="shared" si="16"/>
        <v>2.1942054783956159E-2</v>
      </c>
      <c r="R24" s="8">
        <v>1.2999999999999999E-2</v>
      </c>
    </row>
    <row r="25" spans="1:18" ht="18" x14ac:dyDescent="0.25">
      <c r="A25" s="17">
        <v>2033</v>
      </c>
      <c r="B25">
        <f>elect_ren!V25</f>
        <v>15179.660544386788</v>
      </c>
      <c r="C25">
        <f t="shared" si="9"/>
        <v>15179.660544386788</v>
      </c>
      <c r="D25" s="18">
        <f t="shared" si="10"/>
        <v>8525.9446344712505</v>
      </c>
      <c r="E25" s="18">
        <f t="shared" si="11"/>
        <v>6351.0022877375195</v>
      </c>
      <c r="F25" s="18">
        <f t="shared" si="12"/>
        <v>302.71362217801908</v>
      </c>
      <c r="G25">
        <f t="shared" si="13"/>
        <v>293.40049427608727</v>
      </c>
      <c r="O25" s="8">
        <f t="shared" si="14"/>
        <v>0.5616689918421145</v>
      </c>
      <c r="P25" s="8">
        <f t="shared" si="15"/>
        <v>0.4183889533739294</v>
      </c>
      <c r="Q25" s="8">
        <f t="shared" si="16"/>
        <v>1.9942054783956158E-2</v>
      </c>
      <c r="R25" s="8">
        <v>1.2999999999999999E-2</v>
      </c>
    </row>
    <row r="26" spans="1:18" ht="18" x14ac:dyDescent="0.25">
      <c r="A26" s="17">
        <v>2034</v>
      </c>
      <c r="B26">
        <f>elect_ren!V26</f>
        <v>13680.745943425518</v>
      </c>
      <c r="C26">
        <f t="shared" si="9"/>
        <v>13680.745943425518</v>
      </c>
      <c r="D26" s="18">
        <f t="shared" si="10"/>
        <v>7656.6892898050573</v>
      </c>
      <c r="E26" s="18">
        <f t="shared" si="11"/>
        <v>5778.5959604181353</v>
      </c>
      <c r="F26" s="18">
        <f t="shared" si="12"/>
        <v>245.46069320232658</v>
      </c>
      <c r="G26">
        <f t="shared" si="13"/>
        <v>297.21470070167635</v>
      </c>
      <c r="O26" s="8">
        <f t="shared" si="14"/>
        <v>0.55966899184211449</v>
      </c>
      <c r="P26" s="8">
        <f t="shared" si="15"/>
        <v>0.4223889533739294</v>
      </c>
      <c r="Q26" s="8">
        <f t="shared" si="16"/>
        <v>1.7942054783956156E-2</v>
      </c>
      <c r="R26" s="8">
        <v>1.2999999999999999E-2</v>
      </c>
    </row>
    <row r="27" spans="1:18" ht="18" x14ac:dyDescent="0.25">
      <c r="A27" s="17">
        <v>2035</v>
      </c>
      <c r="B27">
        <f>elect_ren!V27</f>
        <v>11803.19753476267</v>
      </c>
      <c r="C27">
        <f t="shared" si="9"/>
        <v>11803.19753476267</v>
      </c>
      <c r="D27" s="18">
        <f t="shared" si="10"/>
        <v>6582.2772697244291</v>
      </c>
      <c r="E27" s="18">
        <f t="shared" si="11"/>
        <v>5032.7530433131988</v>
      </c>
      <c r="F27" s="18">
        <f t="shared" si="12"/>
        <v>188.16722172504271</v>
      </c>
      <c r="G27">
        <f t="shared" si="13"/>
        <v>301.07849181079808</v>
      </c>
      <c r="O27" s="8">
        <f t="shared" si="14"/>
        <v>0.55766899184211449</v>
      </c>
      <c r="P27" s="8">
        <f t="shared" si="15"/>
        <v>0.4263889533739294</v>
      </c>
      <c r="Q27" s="8">
        <f t="shared" si="16"/>
        <v>1.5942054783956154E-2</v>
      </c>
      <c r="R27" s="8">
        <v>1.2999999999999999E-2</v>
      </c>
    </row>
    <row r="28" spans="1:18" ht="18" x14ac:dyDescent="0.25">
      <c r="A28" s="17">
        <v>2036</v>
      </c>
      <c r="B28">
        <f>elect_ren!V28</f>
        <v>9484.5100664379188</v>
      </c>
      <c r="C28">
        <f t="shared" si="9"/>
        <v>9484.5100664379188</v>
      </c>
      <c r="D28" s="18">
        <f t="shared" si="10"/>
        <v>5270.2481467339448</v>
      </c>
      <c r="E28" s="18">
        <f t="shared" si="11"/>
        <v>4082.0283607587135</v>
      </c>
      <c r="F28" s="18">
        <f t="shared" si="12"/>
        <v>132.23355894526108</v>
      </c>
      <c r="G28">
        <f t="shared" si="13"/>
        <v>304.99251220433842</v>
      </c>
      <c r="O28" s="8">
        <f t="shared" si="14"/>
        <v>0.55566899184211449</v>
      </c>
      <c r="P28" s="8">
        <f t="shared" si="15"/>
        <v>0.43038895337392941</v>
      </c>
      <c r="Q28" s="8">
        <f t="shared" si="16"/>
        <v>1.3942054783956154E-2</v>
      </c>
      <c r="R28" s="8">
        <v>1.2999999999999999E-2</v>
      </c>
    </row>
    <row r="29" spans="1:18" x14ac:dyDescent="0.2">
      <c r="O29" s="8">
        <f t="shared" si="14"/>
        <v>0.55366899184211449</v>
      </c>
      <c r="P29" s="8">
        <f t="shared" si="15"/>
        <v>0.43438895337392941</v>
      </c>
      <c r="Q29" s="8">
        <f t="shared" si="16"/>
        <v>1.1942054783956154E-2</v>
      </c>
      <c r="R29" s="8">
        <v>1.2999999999999999E-2</v>
      </c>
    </row>
    <row r="31" spans="1:18" x14ac:dyDescent="0.2">
      <c r="J31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017F8-DB8A-D445-8E6D-E6183E7197C6}">
  <dimension ref="B3:P25"/>
  <sheetViews>
    <sheetView workbookViewId="0">
      <selection activeCell="E5" sqref="E5:O5"/>
    </sheetView>
  </sheetViews>
  <sheetFormatPr baseColWidth="10" defaultRowHeight="16" x14ac:dyDescent="0.2"/>
  <sheetData>
    <row r="3" spans="2:16" x14ac:dyDescent="0.2">
      <c r="D3">
        <v>2024</v>
      </c>
      <c r="E3">
        <f t="shared" ref="E3:L3" si="0">D3+1</f>
        <v>2025</v>
      </c>
      <c r="F3">
        <f t="shared" si="0"/>
        <v>2026</v>
      </c>
      <c r="G3">
        <f t="shared" si="0"/>
        <v>2027</v>
      </c>
      <c r="H3">
        <f t="shared" si="0"/>
        <v>2028</v>
      </c>
      <c r="I3">
        <f t="shared" si="0"/>
        <v>2029</v>
      </c>
      <c r="J3">
        <f t="shared" si="0"/>
        <v>2030</v>
      </c>
      <c r="K3">
        <f t="shared" si="0"/>
        <v>2031</v>
      </c>
      <c r="L3">
        <f t="shared" si="0"/>
        <v>2032</v>
      </c>
      <c r="M3">
        <f t="shared" ref="M3:O3" si="1">L3+1</f>
        <v>2033</v>
      </c>
      <c r="N3">
        <f t="shared" si="1"/>
        <v>2034</v>
      </c>
      <c r="O3">
        <f t="shared" si="1"/>
        <v>2035</v>
      </c>
    </row>
    <row r="4" spans="2:16" x14ac:dyDescent="0.2">
      <c r="B4" t="s">
        <v>85</v>
      </c>
      <c r="C4" t="s">
        <v>80</v>
      </c>
      <c r="D4">
        <v>17</v>
      </c>
      <c r="E4">
        <v>21</v>
      </c>
      <c r="F4">
        <f>ana!E51</f>
        <v>21</v>
      </c>
      <c r="G4">
        <f>ana!F51</f>
        <v>25</v>
      </c>
      <c r="H4">
        <f>ana!G51</f>
        <v>29</v>
      </c>
      <c r="I4">
        <f>ana!H51</f>
        <v>33</v>
      </c>
      <c r="J4">
        <f>ana!I51</f>
        <v>37</v>
      </c>
      <c r="K4">
        <f>ana!J51</f>
        <v>41</v>
      </c>
      <c r="L4">
        <f>ana!K51</f>
        <v>45</v>
      </c>
      <c r="M4">
        <f>ana!L51</f>
        <v>49</v>
      </c>
      <c r="N4">
        <f>ana!M51</f>
        <v>53</v>
      </c>
      <c r="O4">
        <f>ana!N51</f>
        <v>57</v>
      </c>
    </row>
    <row r="5" spans="2:16" x14ac:dyDescent="0.2">
      <c r="B5" t="s">
        <v>84</v>
      </c>
      <c r="C5" t="s">
        <v>80</v>
      </c>
      <c r="D5">
        <v>58</v>
      </c>
      <c r="E5">
        <f>D5+F4</f>
        <v>79</v>
      </c>
      <c r="F5">
        <f t="shared" ref="F5:O5" si="2">E5+G4</f>
        <v>104</v>
      </c>
      <c r="G5">
        <f t="shared" si="2"/>
        <v>133</v>
      </c>
      <c r="H5">
        <f t="shared" si="2"/>
        <v>166</v>
      </c>
      <c r="I5">
        <f t="shared" si="2"/>
        <v>203</v>
      </c>
      <c r="J5">
        <f t="shared" si="2"/>
        <v>244</v>
      </c>
      <c r="K5">
        <f t="shared" si="2"/>
        <v>289</v>
      </c>
      <c r="L5">
        <f t="shared" si="2"/>
        <v>338</v>
      </c>
      <c r="M5">
        <f t="shared" si="2"/>
        <v>391</v>
      </c>
      <c r="N5">
        <f t="shared" si="2"/>
        <v>448</v>
      </c>
      <c r="O5">
        <f t="shared" si="2"/>
        <v>448</v>
      </c>
    </row>
    <row r="6" spans="2:16" x14ac:dyDescent="0.2">
      <c r="B6" t="s">
        <v>83</v>
      </c>
      <c r="C6" t="s">
        <v>82</v>
      </c>
      <c r="D6" s="6">
        <f t="shared" ref="D6:L6" si="3">D5/D7</f>
        <v>0.04</v>
      </c>
      <c r="E6" s="6">
        <f t="shared" si="3"/>
        <v>5.3943325367019464E-2</v>
      </c>
      <c r="F6" s="31">
        <f t="shared" si="3"/>
        <v>7.0310889060910195E-2</v>
      </c>
      <c r="G6" s="31">
        <f t="shared" si="3"/>
        <v>8.9026544603018426E-2</v>
      </c>
      <c r="H6" s="31">
        <f t="shared" si="3"/>
        <v>0.11001568081665346</v>
      </c>
      <c r="I6" s="31">
        <f t="shared" si="3"/>
        <v>0.13320519626494484</v>
      </c>
      <c r="J6" s="31">
        <f t="shared" si="3"/>
        <v>0.15852347407036307</v>
      </c>
      <c r="K6" s="31">
        <f t="shared" si="3"/>
        <v>0.18590035711059461</v>
      </c>
      <c r="L6" s="31">
        <f t="shared" si="3"/>
        <v>0.21526712358553213</v>
      </c>
      <c r="M6" s="31">
        <f t="shared" ref="M6:O6" si="4">M5/M7</f>
        <v>0.24655646295021108</v>
      </c>
      <c r="N6" s="31">
        <f t="shared" si="4"/>
        <v>0.27970245220859069</v>
      </c>
      <c r="O6" s="31">
        <f t="shared" si="4"/>
        <v>0.27693312099860468</v>
      </c>
      <c r="P6" s="6"/>
    </row>
    <row r="7" spans="2:16" x14ac:dyDescent="0.2">
      <c r="B7" t="s">
        <v>81</v>
      </c>
      <c r="C7" t="s">
        <v>80</v>
      </c>
      <c r="D7">
        <f>D5*25</f>
        <v>1450</v>
      </c>
      <c r="E7">
        <f t="shared" ref="E7:L7" si="5">D7*1.01</f>
        <v>1464.5</v>
      </c>
      <c r="F7" s="21">
        <f t="shared" si="5"/>
        <v>1479.145</v>
      </c>
      <c r="G7" s="21">
        <f t="shared" si="5"/>
        <v>1493.9364499999999</v>
      </c>
      <c r="H7" s="21">
        <f t="shared" si="5"/>
        <v>1508.8758144999999</v>
      </c>
      <c r="I7" s="21">
        <f t="shared" si="5"/>
        <v>1523.9645726449999</v>
      </c>
      <c r="J7" s="21">
        <f t="shared" si="5"/>
        <v>1539.2042183714498</v>
      </c>
      <c r="K7" s="21">
        <f t="shared" si="5"/>
        <v>1554.5962605551642</v>
      </c>
      <c r="L7" s="21">
        <f t="shared" si="5"/>
        <v>1570.142223160716</v>
      </c>
      <c r="M7" s="21">
        <f t="shared" ref="M7:O7" si="6">L7*1.01</f>
        <v>1585.8436453923232</v>
      </c>
      <c r="N7" s="21">
        <f t="shared" si="6"/>
        <v>1601.7020818462465</v>
      </c>
      <c r="O7" s="21">
        <f t="shared" si="6"/>
        <v>1617.719102664709</v>
      </c>
    </row>
    <row r="8" spans="2:16" x14ac:dyDescent="0.2">
      <c r="B8" t="s">
        <v>79</v>
      </c>
      <c r="C8" t="s">
        <v>76</v>
      </c>
      <c r="D8" s="21">
        <v>1</v>
      </c>
      <c r="E8" s="21">
        <f t="shared" ref="E8:L8" si="7">E5/$D$5</f>
        <v>1.3620689655172413</v>
      </c>
      <c r="F8" s="21">
        <f t="shared" si="7"/>
        <v>1.7931034482758621</v>
      </c>
      <c r="G8" s="21">
        <f t="shared" si="7"/>
        <v>2.2931034482758621</v>
      </c>
      <c r="H8" s="21">
        <f t="shared" si="7"/>
        <v>2.8620689655172415</v>
      </c>
      <c r="I8" s="21">
        <f t="shared" si="7"/>
        <v>3.5</v>
      </c>
      <c r="J8" s="21">
        <f t="shared" si="7"/>
        <v>4.2068965517241379</v>
      </c>
      <c r="K8" s="21">
        <f t="shared" si="7"/>
        <v>4.9827586206896548</v>
      </c>
      <c r="L8" s="21">
        <f t="shared" si="7"/>
        <v>5.8275862068965516</v>
      </c>
      <c r="M8" s="21">
        <f t="shared" ref="M8:O8" si="8">M5/$D$5</f>
        <v>6.7413793103448274</v>
      </c>
      <c r="N8" s="21">
        <f t="shared" si="8"/>
        <v>7.7241379310344831</v>
      </c>
      <c r="O8" s="21">
        <f t="shared" si="8"/>
        <v>7.7241379310344831</v>
      </c>
      <c r="P8" s="21"/>
    </row>
    <row r="9" spans="2:16" x14ac:dyDescent="0.2">
      <c r="B9" t="s">
        <v>78</v>
      </c>
      <c r="C9" t="s">
        <v>76</v>
      </c>
      <c r="D9" s="21">
        <f t="shared" ref="D9:L9" si="9">D8*0.8</f>
        <v>0.8</v>
      </c>
      <c r="E9" s="21">
        <f t="shared" si="9"/>
        <v>1.0896551724137931</v>
      </c>
      <c r="F9" s="21">
        <f t="shared" si="9"/>
        <v>1.4344827586206899</v>
      </c>
      <c r="G9" s="21">
        <f t="shared" si="9"/>
        <v>1.8344827586206898</v>
      </c>
      <c r="H9" s="21">
        <f t="shared" si="9"/>
        <v>2.2896551724137932</v>
      </c>
      <c r="I9" s="21">
        <f t="shared" si="9"/>
        <v>2.8000000000000003</v>
      </c>
      <c r="J9" s="21">
        <f t="shared" si="9"/>
        <v>3.3655172413793104</v>
      </c>
      <c r="K9" s="21">
        <f t="shared" si="9"/>
        <v>3.9862068965517241</v>
      </c>
      <c r="L9" s="21">
        <f t="shared" si="9"/>
        <v>4.6620689655172418</v>
      </c>
      <c r="M9" s="21">
        <f t="shared" ref="M9:O9" si="10">M8*0.8</f>
        <v>5.3931034482758626</v>
      </c>
      <c r="N9" s="21">
        <f t="shared" si="10"/>
        <v>6.179310344827587</v>
      </c>
      <c r="O9" s="21">
        <f t="shared" si="10"/>
        <v>6.179310344827587</v>
      </c>
      <c r="P9" s="21"/>
    </row>
    <row r="10" spans="2:16" x14ac:dyDescent="0.2">
      <c r="B10" t="s">
        <v>77</v>
      </c>
      <c r="C10" t="s">
        <v>76</v>
      </c>
      <c r="D10" s="21">
        <f t="shared" ref="D10:L10" si="11">D8*0.2</f>
        <v>0.2</v>
      </c>
      <c r="E10" s="21">
        <f t="shared" si="11"/>
        <v>0.27241379310344827</v>
      </c>
      <c r="F10" s="21">
        <f t="shared" si="11"/>
        <v>0.35862068965517246</v>
      </c>
      <c r="G10" s="21">
        <f t="shared" si="11"/>
        <v>0.45862068965517244</v>
      </c>
      <c r="H10" s="21">
        <f t="shared" si="11"/>
        <v>0.57241379310344831</v>
      </c>
      <c r="I10" s="21">
        <f t="shared" si="11"/>
        <v>0.70000000000000007</v>
      </c>
      <c r="J10" s="21">
        <f t="shared" si="11"/>
        <v>0.8413793103448276</v>
      </c>
      <c r="K10" s="21">
        <f t="shared" si="11"/>
        <v>0.99655172413793103</v>
      </c>
      <c r="L10" s="21">
        <f t="shared" si="11"/>
        <v>1.1655172413793105</v>
      </c>
      <c r="M10" s="21">
        <f t="shared" ref="M10:O10" si="12">M8*0.2</f>
        <v>1.3482758620689657</v>
      </c>
      <c r="N10" s="21">
        <f t="shared" si="12"/>
        <v>1.5448275862068968</v>
      </c>
      <c r="O10" s="21">
        <f t="shared" si="12"/>
        <v>1.5448275862068968</v>
      </c>
      <c r="P10" s="21"/>
    </row>
    <row r="11" spans="2:16" x14ac:dyDescent="0.2">
      <c r="B11" t="s">
        <v>70</v>
      </c>
      <c r="C11" t="s">
        <v>71</v>
      </c>
      <c r="D11" s="21">
        <f t="shared" ref="D11:L11" si="13">D5*3</f>
        <v>174</v>
      </c>
      <c r="E11" s="21">
        <f t="shared" si="13"/>
        <v>237</v>
      </c>
      <c r="F11" s="21">
        <f t="shared" si="13"/>
        <v>312</v>
      </c>
      <c r="G11" s="21">
        <f t="shared" si="13"/>
        <v>399</v>
      </c>
      <c r="H11" s="21">
        <f t="shared" si="13"/>
        <v>498</v>
      </c>
      <c r="I11" s="21">
        <f t="shared" si="13"/>
        <v>609</v>
      </c>
      <c r="J11" s="21">
        <f t="shared" si="13"/>
        <v>732</v>
      </c>
      <c r="K11" s="21">
        <f t="shared" si="13"/>
        <v>867</v>
      </c>
      <c r="L11" s="21">
        <f t="shared" si="13"/>
        <v>1014</v>
      </c>
      <c r="M11" s="21">
        <f t="shared" ref="M11:O11" si="14">M5*3</f>
        <v>1173</v>
      </c>
      <c r="N11" s="21">
        <f t="shared" si="14"/>
        <v>1344</v>
      </c>
      <c r="O11" s="21">
        <f t="shared" si="14"/>
        <v>1344</v>
      </c>
      <c r="P11" s="21"/>
    </row>
    <row r="18" spans="4:5" x14ac:dyDescent="0.2">
      <c r="D18" t="str">
        <f t="shared" ref="D18:E25" si="15">_xlfn.TRANSLATE(B4,"tr","en")</f>
        <v>Electric car sales</v>
      </c>
      <c r="E18" t="str">
        <f t="shared" si="15"/>
        <v>(pcs)</v>
      </c>
    </row>
    <row r="19" spans="4:5" x14ac:dyDescent="0.2">
      <c r="D19" t="str">
        <f t="shared" si="15"/>
        <v>Total Electric Car</v>
      </c>
      <c r="E19" t="str">
        <f t="shared" si="15"/>
        <v>(pcs)</v>
      </c>
    </row>
    <row r="20" spans="4:5" x14ac:dyDescent="0.2">
      <c r="D20" t="str">
        <f t="shared" si="15"/>
        <v>Electric car</v>
      </c>
      <c r="E20" t="str">
        <f t="shared" si="15"/>
        <v>(rate)</v>
      </c>
    </row>
    <row r="21" spans="4:5" x14ac:dyDescent="0.2">
      <c r="D21" t="str">
        <f t="shared" si="15"/>
        <v>Total Car</v>
      </c>
      <c r="E21" t="str">
        <f t="shared" si="15"/>
        <v>(pcs)</v>
      </c>
    </row>
    <row r="22" spans="4:5" x14ac:dyDescent="0.2">
      <c r="D22" t="str">
        <f t="shared" si="15"/>
        <v>Oil Equivalent</v>
      </c>
      <c r="E22" t="str">
        <f t="shared" si="15"/>
        <v>(MV/G)</v>
      </c>
    </row>
    <row r="23" spans="4:5" x14ac:dyDescent="0.2">
      <c r="D23" t="str">
        <f t="shared" si="15"/>
        <v>Gasoline Substitution</v>
      </c>
      <c r="E23" t="str">
        <f t="shared" si="15"/>
        <v>(MV/G)</v>
      </c>
    </row>
    <row r="24" spans="4:5" x14ac:dyDescent="0.2">
      <c r="D24" t="str">
        <f t="shared" si="15"/>
        <v>Diesel Substitution</v>
      </c>
      <c r="E24" t="str">
        <f t="shared" si="15"/>
        <v>(MV/G)</v>
      </c>
    </row>
    <row r="25" spans="4:5" x14ac:dyDescent="0.2">
      <c r="D25" t="str">
        <f t="shared" si="15"/>
        <v>Electricity Demand</v>
      </c>
      <c r="E25" t="str">
        <f t="shared" si="15"/>
        <v>(TWh)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</vt:lpstr>
      <vt:lpstr>english</vt:lpstr>
      <vt:lpstr>model</vt:lpstr>
      <vt:lpstr>primary</vt:lpstr>
      <vt:lpstr>petrol</vt:lpstr>
      <vt:lpstr>elect_ren</vt:lpstr>
      <vt:lpstr>elect_fossil</vt:lpstr>
      <vt:lpstr>elektrikliarabalar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Sanli</dc:creator>
  <cp:lastModifiedBy>B Sanli</cp:lastModifiedBy>
  <dcterms:created xsi:type="dcterms:W3CDTF">2025-09-01T18:16:04Z</dcterms:created>
  <dcterms:modified xsi:type="dcterms:W3CDTF">2025-09-02T20:45:43Z</dcterms:modified>
</cp:coreProperties>
</file>