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9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0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1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2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3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4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5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7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8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19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20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21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2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23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24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dows 10\OneDrive - Ohio University\"/>
    </mc:Choice>
  </mc:AlternateContent>
  <xr:revisionPtr revIDLastSave="0" documentId="13_ncr:1_{2AB3A16A-7912-4C27-88E5-4DB39D654E1A}" xr6:coauthVersionLast="45" xr6:coauthVersionMax="45" xr10:uidLastSave="{00000000-0000-0000-0000-000000000000}"/>
  <bookViews>
    <workbookView xWindow="-120" yWindow="-120" windowWidth="29040" windowHeight="15840" activeTab="6" xr2:uid="{00000000-000D-0000-FFFF-FFFF00000000}"/>
  </bookViews>
  <sheets>
    <sheet name="Thesis results" sheetId="7" r:id="rId1"/>
    <sheet name="-ITER" sheetId="6" r:id="rId2"/>
    <sheet name="PAST ALL" sheetId="53" r:id="rId3"/>
    <sheet name="PAST ALL P Values" sheetId="54" r:id="rId4"/>
    <sheet name="PAST SEDIMENTS" sheetId="55" r:id="rId5"/>
    <sheet name="PAST SEDIMENT P VALUES" sheetId="56" r:id="rId6"/>
    <sheet name="Sediment Conc" sheetId="51" r:id="rId7"/>
    <sheet name="Grain Size" sheetId="52" r:id="rId8"/>
    <sheet name="Variations in SO4 (1)" sheetId="35" r:id="rId9"/>
    <sheet name="Variations in Fe conc" sheetId="9" r:id="rId10"/>
    <sheet name="Variability of PO4" sheetId="25" r:id="rId11"/>
    <sheet name="Variations in PO4(1)" sheetId="37" r:id="rId12"/>
    <sheet name="Variability of No3" sheetId="24" r:id="rId13"/>
    <sheet name="Variations in NO3 (2)" sheetId="36" r:id="rId14"/>
    <sheet name="Discharges" sheetId="50" r:id="rId15"/>
    <sheet name="Variability of Co" sheetId="23" r:id="rId16"/>
    <sheet name="Variability of Cu" sheetId="22" r:id="rId17"/>
    <sheet name="Variability of Zn" sheetId="21" r:id="rId18"/>
    <sheet name="Variations in Ni" sheetId="20" r:id="rId19"/>
    <sheet name="Variations in Na" sheetId="16" r:id="rId20"/>
    <sheet name="Variability in K" sheetId="17" r:id="rId21"/>
    <sheet name="Variability in Cl" sheetId="19" r:id="rId22"/>
    <sheet name="Variability in Ca" sheetId="13" r:id="rId23"/>
    <sheet name="Variability in Mg" sheetId="14" r:id="rId24"/>
    <sheet name="Variability Silica" sheetId="15" r:id="rId25"/>
    <sheet name="Water Total Fe Al Mn SO4 Openin" sheetId="8" r:id="rId26"/>
    <sheet name="Variation in Al conc (1)" sheetId="33" r:id="rId27"/>
    <sheet name="Variations in Al conc" sheetId="10" r:id="rId28"/>
    <sheet name="Variation in Mn conc (2)" sheetId="34" r:id="rId29"/>
    <sheet name="Variations in Mn conc" sheetId="11" r:id="rId30"/>
    <sheet name="Variations in SO4" sheetId="12" r:id="rId31"/>
    <sheet name="PAST ESSEX" sheetId="27" r:id="rId32"/>
    <sheet name="PAST PINE RUN" sheetId="29" r:id="rId33"/>
    <sheet name="PAST YORK CLAY" sheetId="31" r:id="rId34"/>
    <sheet name="PAST SINES" sheetId="32" r:id="rId3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N25" i="6" l="1"/>
  <c r="EN26" i="6"/>
  <c r="EN27" i="6"/>
  <c r="EN28" i="6"/>
  <c r="EN29" i="6"/>
  <c r="EN30" i="6"/>
  <c r="EN31" i="6"/>
  <c r="EN32" i="6"/>
  <c r="EN33" i="6"/>
  <c r="EN34" i="6"/>
  <c r="EN35" i="6"/>
  <c r="EN36" i="6"/>
  <c r="EN37" i="6"/>
  <c r="EN38" i="6"/>
  <c r="EN39" i="6"/>
  <c r="EN40" i="6"/>
  <c r="EN41" i="6"/>
  <c r="EN42" i="6"/>
  <c r="EN43" i="6"/>
  <c r="EN24" i="6"/>
  <c r="EK25" i="6"/>
  <c r="EK26" i="6"/>
  <c r="EK27" i="6"/>
  <c r="EK28" i="6"/>
  <c r="EK29" i="6"/>
  <c r="EK30" i="6"/>
  <c r="EK31" i="6"/>
  <c r="EK32" i="6"/>
  <c r="EK33" i="6"/>
  <c r="EK34" i="6"/>
  <c r="EK35" i="6"/>
  <c r="EK36" i="6"/>
  <c r="EK37" i="6"/>
  <c r="EK38" i="6"/>
  <c r="EK39" i="6"/>
  <c r="EK40" i="6"/>
  <c r="EK41" i="6"/>
  <c r="EK42" i="6"/>
  <c r="EK43" i="6"/>
  <c r="EK24" i="6"/>
  <c r="DL25" i="6"/>
  <c r="DL26" i="6"/>
  <c r="DL27" i="6"/>
  <c r="DL28" i="6"/>
  <c r="DL29" i="6"/>
  <c r="DL30" i="6"/>
  <c r="DL31" i="6"/>
  <c r="DL32" i="6"/>
  <c r="DL33" i="6"/>
  <c r="DL34" i="6"/>
  <c r="DL35" i="6"/>
  <c r="DL36" i="6"/>
  <c r="DL37" i="6"/>
  <c r="DL38" i="6"/>
  <c r="DL39" i="6"/>
  <c r="DL40" i="6"/>
  <c r="DL41" i="6"/>
  <c r="DL42" i="6"/>
  <c r="DL43" i="6"/>
  <c r="DL24" i="6"/>
  <c r="DI25" i="6"/>
  <c r="DI26" i="6"/>
  <c r="DI27" i="6"/>
  <c r="DI28" i="6"/>
  <c r="DI29" i="6"/>
  <c r="DI30" i="6"/>
  <c r="DI31" i="6"/>
  <c r="DI32" i="6"/>
  <c r="DI33" i="6"/>
  <c r="DI34" i="6"/>
  <c r="DI35" i="6"/>
  <c r="DI36" i="6"/>
  <c r="DI37" i="6"/>
  <c r="DI38" i="6"/>
  <c r="DI39" i="6"/>
  <c r="DI40" i="6"/>
  <c r="DI41" i="6"/>
  <c r="DI42" i="6"/>
  <c r="DI43" i="6"/>
  <c r="DI24" i="6"/>
  <c r="DD22" i="6"/>
  <c r="DD23" i="6"/>
  <c r="DD24" i="6"/>
  <c r="DD25" i="6"/>
  <c r="DD26" i="6"/>
  <c r="DD27" i="6"/>
  <c r="DD28" i="6"/>
  <c r="DD29" i="6"/>
  <c r="DD30" i="6"/>
  <c r="DD31" i="6"/>
  <c r="DD32" i="6"/>
  <c r="DD33" i="6"/>
  <c r="DD34" i="6"/>
  <c r="DD35" i="6"/>
  <c r="DD36" i="6"/>
  <c r="DD37" i="6"/>
  <c r="DD38" i="6"/>
  <c r="DD39" i="6"/>
  <c r="DD40" i="6"/>
  <c r="DD41" i="6"/>
  <c r="DD42" i="6"/>
  <c r="DD43" i="6"/>
  <c r="DD21" i="6"/>
  <c r="BX25" i="6"/>
  <c r="BX26" i="6"/>
  <c r="BX27" i="6"/>
  <c r="BX28" i="6"/>
  <c r="BX29" i="6"/>
  <c r="BX30" i="6"/>
  <c r="BX31" i="6"/>
  <c r="BX32" i="6"/>
  <c r="BX33" i="6"/>
  <c r="BX34" i="6"/>
  <c r="BX35" i="6"/>
  <c r="BX36" i="6"/>
  <c r="BX37" i="6"/>
  <c r="BX38" i="6"/>
  <c r="BX39" i="6"/>
  <c r="BX40" i="6"/>
  <c r="BX41" i="6"/>
  <c r="BX42" i="6"/>
  <c r="BX43" i="6"/>
  <c r="BX24" i="6"/>
  <c r="BU25" i="6"/>
  <c r="BU26" i="6"/>
  <c r="BU27" i="6"/>
  <c r="BU28" i="6"/>
  <c r="BU29" i="6"/>
  <c r="BU30" i="6"/>
  <c r="BU31" i="6"/>
  <c r="BU32" i="6"/>
  <c r="BU33" i="6"/>
  <c r="BU34" i="6"/>
  <c r="BU35" i="6"/>
  <c r="BU36" i="6"/>
  <c r="BU37" i="6"/>
  <c r="BU38" i="6"/>
  <c r="BU39" i="6"/>
  <c r="BU40" i="6"/>
  <c r="BU41" i="6"/>
  <c r="BU42" i="6"/>
  <c r="BU43" i="6"/>
  <c r="BU24" i="6"/>
  <c r="EH5" i="6"/>
  <c r="EH6" i="6"/>
  <c r="EH7" i="6"/>
  <c r="EH8" i="6"/>
  <c r="EH9" i="6"/>
  <c r="EH10" i="6"/>
  <c r="EH11" i="6"/>
  <c r="EH12" i="6"/>
  <c r="EH13" i="6"/>
  <c r="EH14" i="6"/>
  <c r="EH15" i="6"/>
  <c r="EH16" i="6"/>
  <c r="EH17" i="6"/>
  <c r="EH18" i="6"/>
  <c r="EH19" i="6"/>
  <c r="EH20" i="6"/>
  <c r="EH21" i="6"/>
  <c r="EH22" i="6"/>
  <c r="EH23" i="6"/>
  <c r="EH24" i="6"/>
  <c r="EH25" i="6"/>
  <c r="EH26" i="6"/>
  <c r="EH27" i="6"/>
  <c r="EH28" i="6"/>
  <c r="EH29" i="6"/>
  <c r="EH30" i="6"/>
  <c r="EH31" i="6"/>
  <c r="EH32" i="6"/>
  <c r="EH33" i="6"/>
  <c r="EH34" i="6"/>
  <c r="EH35" i="6"/>
  <c r="EH36" i="6"/>
  <c r="EH37" i="6"/>
  <c r="EH38" i="6"/>
  <c r="EH39" i="6"/>
  <c r="EH40" i="6"/>
  <c r="EH41" i="6"/>
  <c r="EH42" i="6"/>
  <c r="EH43" i="6"/>
  <c r="EH4" i="6"/>
  <c r="DW5" i="6"/>
  <c r="DW6" i="6"/>
  <c r="DW7" i="6"/>
  <c r="DW8" i="6"/>
  <c r="DW9" i="6"/>
  <c r="DW10" i="6"/>
  <c r="DW11" i="6"/>
  <c r="DW12" i="6"/>
  <c r="DW13" i="6"/>
  <c r="DW14" i="6"/>
  <c r="DW15" i="6"/>
  <c r="DW16" i="6"/>
  <c r="DW17" i="6"/>
  <c r="DW18" i="6"/>
  <c r="DW19" i="6"/>
  <c r="DW20" i="6"/>
  <c r="DW21" i="6"/>
  <c r="DW22" i="6"/>
  <c r="DW23" i="6"/>
  <c r="DW24" i="6"/>
  <c r="DW25" i="6"/>
  <c r="DW26" i="6"/>
  <c r="DW27" i="6"/>
  <c r="DW28" i="6"/>
  <c r="DW29" i="6"/>
  <c r="DW30" i="6"/>
  <c r="DW31" i="6"/>
  <c r="DW32" i="6"/>
  <c r="DW33" i="6"/>
  <c r="DW34" i="6"/>
  <c r="DW35" i="6"/>
  <c r="DW36" i="6"/>
  <c r="DW37" i="6"/>
  <c r="DW38" i="6"/>
  <c r="DW39" i="6"/>
  <c r="DW40" i="6"/>
  <c r="DW41" i="6"/>
  <c r="DW42" i="6"/>
  <c r="DW43" i="6"/>
  <c r="DW4" i="6"/>
  <c r="DT5" i="6"/>
  <c r="DT6" i="6"/>
  <c r="DT7" i="6"/>
  <c r="DT8" i="6"/>
  <c r="DT9" i="6"/>
  <c r="DT10" i="6"/>
  <c r="DT11" i="6"/>
  <c r="DT12" i="6"/>
  <c r="DT13" i="6"/>
  <c r="DT14" i="6"/>
  <c r="DT15" i="6"/>
  <c r="DT16" i="6"/>
  <c r="DT17" i="6"/>
  <c r="DT18" i="6"/>
  <c r="DT19" i="6"/>
  <c r="DT20" i="6"/>
  <c r="DT21" i="6"/>
  <c r="DT22" i="6"/>
  <c r="DT23" i="6"/>
  <c r="DT24" i="6"/>
  <c r="DT25" i="6"/>
  <c r="DT26" i="6"/>
  <c r="DT27" i="6"/>
  <c r="DT28" i="6"/>
  <c r="DT29" i="6"/>
  <c r="DT30" i="6"/>
  <c r="DT31" i="6"/>
  <c r="DT32" i="6"/>
  <c r="DT33" i="6"/>
  <c r="DT34" i="6"/>
  <c r="DT35" i="6"/>
  <c r="DT36" i="6"/>
  <c r="DT37" i="6"/>
  <c r="DT38" i="6"/>
  <c r="DT39" i="6"/>
  <c r="DT40" i="6"/>
  <c r="DT41" i="6"/>
  <c r="DT42" i="6"/>
  <c r="DT43" i="6"/>
  <c r="DT4" i="6"/>
  <c r="DO5" i="6"/>
  <c r="DO6" i="6"/>
  <c r="DO7" i="6"/>
  <c r="DO8" i="6"/>
  <c r="DO9" i="6"/>
  <c r="DO10" i="6"/>
  <c r="DO11" i="6"/>
  <c r="DO12" i="6"/>
  <c r="DO13" i="6"/>
  <c r="DO14" i="6"/>
  <c r="DO15" i="6"/>
  <c r="DO16" i="6"/>
  <c r="DO17" i="6"/>
  <c r="DO18" i="6"/>
  <c r="DO19" i="6"/>
  <c r="DO20" i="6"/>
  <c r="DO21" i="6"/>
  <c r="DO22" i="6"/>
  <c r="DO23" i="6"/>
  <c r="DO24" i="6"/>
  <c r="DO25" i="6"/>
  <c r="DO26" i="6"/>
  <c r="DO27" i="6"/>
  <c r="DO28" i="6"/>
  <c r="DO29" i="6"/>
  <c r="DO30" i="6"/>
  <c r="DO31" i="6"/>
  <c r="DO32" i="6"/>
  <c r="DO33" i="6"/>
  <c r="DO34" i="6"/>
  <c r="DO35" i="6"/>
  <c r="DO36" i="6"/>
  <c r="DO37" i="6"/>
  <c r="DO38" i="6"/>
  <c r="DO39" i="6"/>
  <c r="DO40" i="6"/>
  <c r="DO41" i="6"/>
  <c r="DO42" i="6"/>
  <c r="DO43" i="6"/>
  <c r="DO4" i="6"/>
  <c r="DA5" i="6"/>
  <c r="DA6" i="6"/>
  <c r="DA7" i="6"/>
  <c r="DA8" i="6"/>
  <c r="DA9" i="6"/>
  <c r="DA10" i="6"/>
  <c r="DA11" i="6"/>
  <c r="DA12" i="6"/>
  <c r="DA13" i="6"/>
  <c r="DA14" i="6"/>
  <c r="DA15" i="6"/>
  <c r="DA16" i="6"/>
  <c r="DA17" i="6"/>
  <c r="DA18" i="6"/>
  <c r="DA19" i="6"/>
  <c r="DA20" i="6"/>
  <c r="DA21" i="6"/>
  <c r="DA22" i="6"/>
  <c r="DA23" i="6"/>
  <c r="DA24" i="6"/>
  <c r="DA25" i="6"/>
  <c r="DA26" i="6"/>
  <c r="DA27" i="6"/>
  <c r="DA28" i="6"/>
  <c r="DA29" i="6"/>
  <c r="DA30" i="6"/>
  <c r="DA31" i="6"/>
  <c r="DA32" i="6"/>
  <c r="DA33" i="6"/>
  <c r="DA34" i="6"/>
  <c r="DA35" i="6"/>
  <c r="DA36" i="6"/>
  <c r="DA37" i="6"/>
  <c r="DA38" i="6"/>
  <c r="DA39" i="6"/>
  <c r="DA40" i="6"/>
  <c r="DA41" i="6"/>
  <c r="DA42" i="6"/>
  <c r="DA43" i="6"/>
  <c r="DA4" i="6"/>
  <c r="CX5" i="6"/>
  <c r="CX6" i="6"/>
  <c r="CX7" i="6"/>
  <c r="CX8" i="6"/>
  <c r="CX9" i="6"/>
  <c r="CX10" i="6"/>
  <c r="CX11" i="6"/>
  <c r="CX12" i="6"/>
  <c r="CX13" i="6"/>
  <c r="CX14" i="6"/>
  <c r="CX15" i="6"/>
  <c r="CX16" i="6"/>
  <c r="CX17" i="6"/>
  <c r="CX18" i="6"/>
  <c r="CX19" i="6"/>
  <c r="CX20" i="6"/>
  <c r="CX21" i="6"/>
  <c r="CX22" i="6"/>
  <c r="CX23" i="6"/>
  <c r="CX24" i="6"/>
  <c r="CX25" i="6"/>
  <c r="CX26" i="6"/>
  <c r="CX27" i="6"/>
  <c r="CX28" i="6"/>
  <c r="CX29" i="6"/>
  <c r="CX30" i="6"/>
  <c r="CX31" i="6"/>
  <c r="CX32" i="6"/>
  <c r="CX33" i="6"/>
  <c r="CX34" i="6"/>
  <c r="CX35" i="6"/>
  <c r="CX36" i="6"/>
  <c r="CX37" i="6"/>
  <c r="CX38" i="6"/>
  <c r="CX39" i="6"/>
  <c r="CX40" i="6"/>
  <c r="CX41" i="6"/>
  <c r="CX42" i="6"/>
  <c r="CX43" i="6"/>
  <c r="CX4" i="6"/>
  <c r="CU5" i="6"/>
  <c r="CU6" i="6"/>
  <c r="CU7" i="6"/>
  <c r="CU8" i="6"/>
  <c r="CU9" i="6"/>
  <c r="CU10" i="6"/>
  <c r="CU11" i="6"/>
  <c r="CU12" i="6"/>
  <c r="CU13" i="6"/>
  <c r="CU14" i="6"/>
  <c r="CU15" i="6"/>
  <c r="CU16" i="6"/>
  <c r="CU17" i="6"/>
  <c r="CU18" i="6"/>
  <c r="CU19" i="6"/>
  <c r="CU20" i="6"/>
  <c r="CU21" i="6"/>
  <c r="CU22" i="6"/>
  <c r="CU23" i="6"/>
  <c r="CU24" i="6"/>
  <c r="CU25" i="6"/>
  <c r="CU26" i="6"/>
  <c r="CU27" i="6"/>
  <c r="CU28" i="6"/>
  <c r="CU29" i="6"/>
  <c r="CU30" i="6"/>
  <c r="CU31" i="6"/>
  <c r="CU32" i="6"/>
  <c r="CU33" i="6"/>
  <c r="CU34" i="6"/>
  <c r="CU35" i="6"/>
  <c r="CU36" i="6"/>
  <c r="CU37" i="6"/>
  <c r="CU38" i="6"/>
  <c r="CU39" i="6"/>
  <c r="CU40" i="6"/>
  <c r="CU41" i="6"/>
  <c r="CU42" i="6"/>
  <c r="CU43" i="6"/>
  <c r="CU4" i="6"/>
  <c r="CR5" i="6"/>
  <c r="CR6" i="6"/>
  <c r="CR7" i="6"/>
  <c r="CR8" i="6"/>
  <c r="CR9" i="6"/>
  <c r="CR10" i="6"/>
  <c r="CR11" i="6"/>
  <c r="CR12" i="6"/>
  <c r="CR13" i="6"/>
  <c r="CR14" i="6"/>
  <c r="CR15" i="6"/>
  <c r="CR16" i="6"/>
  <c r="CR17" i="6"/>
  <c r="CR18" i="6"/>
  <c r="CR19" i="6"/>
  <c r="CR20" i="6"/>
  <c r="CR21" i="6"/>
  <c r="CR22" i="6"/>
  <c r="CR23" i="6"/>
  <c r="CR24" i="6"/>
  <c r="CR25" i="6"/>
  <c r="CR26" i="6"/>
  <c r="CR27" i="6"/>
  <c r="CR28" i="6"/>
  <c r="CR29" i="6"/>
  <c r="CR30" i="6"/>
  <c r="CR31" i="6"/>
  <c r="CR32" i="6"/>
  <c r="CR33" i="6"/>
  <c r="CR34" i="6"/>
  <c r="CR35" i="6"/>
  <c r="CR36" i="6"/>
  <c r="CR37" i="6"/>
  <c r="CR38" i="6"/>
  <c r="CR39" i="6"/>
  <c r="CR40" i="6"/>
  <c r="CR41" i="6"/>
  <c r="CR42" i="6"/>
  <c r="CR43" i="6"/>
  <c r="CR4" i="6"/>
  <c r="CO5" i="6"/>
  <c r="CO6" i="6"/>
  <c r="CO7" i="6"/>
  <c r="CO8" i="6"/>
  <c r="CO9" i="6"/>
  <c r="CO10" i="6"/>
  <c r="CO11" i="6"/>
  <c r="CO12" i="6"/>
  <c r="CO13" i="6"/>
  <c r="CO14" i="6"/>
  <c r="CO15" i="6"/>
  <c r="CO16" i="6"/>
  <c r="CO17" i="6"/>
  <c r="CO18" i="6"/>
  <c r="CO19" i="6"/>
  <c r="CO20" i="6"/>
  <c r="CO21" i="6"/>
  <c r="CO22" i="6"/>
  <c r="CO23" i="6"/>
  <c r="CO24" i="6"/>
  <c r="CO25" i="6"/>
  <c r="CO26" i="6"/>
  <c r="CO27" i="6"/>
  <c r="CO28" i="6"/>
  <c r="CO29" i="6"/>
  <c r="CO30" i="6"/>
  <c r="CO31" i="6"/>
  <c r="CO32" i="6"/>
  <c r="CO33" i="6"/>
  <c r="CO34" i="6"/>
  <c r="CO35" i="6"/>
  <c r="CO36" i="6"/>
  <c r="CO37" i="6"/>
  <c r="CO38" i="6"/>
  <c r="CO39" i="6"/>
  <c r="CO40" i="6"/>
  <c r="CO41" i="6"/>
  <c r="CO42" i="6"/>
  <c r="CO43" i="6"/>
  <c r="CO4" i="6"/>
  <c r="BR5" i="6"/>
  <c r="BR6" i="6"/>
  <c r="BR7" i="6"/>
  <c r="BR8" i="6"/>
  <c r="BR9" i="6"/>
  <c r="BR10" i="6"/>
  <c r="BR11" i="6"/>
  <c r="BR12" i="6"/>
  <c r="BR13" i="6"/>
  <c r="BR14" i="6"/>
  <c r="BR15" i="6"/>
  <c r="BR16" i="6"/>
  <c r="BR17" i="6"/>
  <c r="BR18" i="6"/>
  <c r="BR19" i="6"/>
  <c r="BR20" i="6"/>
  <c r="BR21" i="6"/>
  <c r="BR22" i="6"/>
  <c r="BR23" i="6"/>
  <c r="BR24" i="6"/>
  <c r="BR25" i="6"/>
  <c r="BR26" i="6"/>
  <c r="BR27" i="6"/>
  <c r="BR28" i="6"/>
  <c r="BR29" i="6"/>
  <c r="BR30" i="6"/>
  <c r="BR31" i="6"/>
  <c r="BR32" i="6"/>
  <c r="BR33" i="6"/>
  <c r="BR34" i="6"/>
  <c r="BR35" i="6"/>
  <c r="BR36" i="6"/>
  <c r="BR37" i="6"/>
  <c r="BR38" i="6"/>
  <c r="BR39" i="6"/>
  <c r="BR40" i="6"/>
  <c r="BR41" i="6"/>
  <c r="BR42" i="6"/>
  <c r="BR43" i="6"/>
  <c r="BR4" i="6"/>
  <c r="BJ5" i="6"/>
  <c r="BJ6" i="6"/>
  <c r="BJ7" i="6"/>
  <c r="BJ8" i="6"/>
  <c r="BJ9" i="6"/>
  <c r="BJ10" i="6"/>
  <c r="BJ11" i="6"/>
  <c r="BJ12" i="6"/>
  <c r="BJ13" i="6"/>
  <c r="BJ14" i="6"/>
  <c r="BJ15" i="6"/>
  <c r="BJ16" i="6"/>
  <c r="BJ17" i="6"/>
  <c r="BJ18" i="6"/>
  <c r="BJ19" i="6"/>
  <c r="BJ20" i="6"/>
  <c r="BJ21" i="6"/>
  <c r="BJ22" i="6"/>
  <c r="BJ23" i="6"/>
  <c r="BJ24" i="6"/>
  <c r="BJ25" i="6"/>
  <c r="BJ26" i="6"/>
  <c r="BJ27" i="6"/>
  <c r="BJ28" i="6"/>
  <c r="BJ29" i="6"/>
  <c r="BJ30" i="6"/>
  <c r="BJ31" i="6"/>
  <c r="BJ32" i="6"/>
  <c r="BJ33" i="6"/>
  <c r="BJ34" i="6"/>
  <c r="BJ35" i="6"/>
  <c r="BJ36" i="6"/>
  <c r="BJ37" i="6"/>
  <c r="BJ38" i="6"/>
  <c r="BJ39" i="6"/>
  <c r="BJ40" i="6"/>
  <c r="BJ41" i="6"/>
  <c r="BJ42" i="6"/>
  <c r="BJ43" i="6"/>
  <c r="BJ4" i="6"/>
  <c r="BG5" i="6"/>
  <c r="BG6" i="6"/>
  <c r="BG7" i="6"/>
  <c r="BG8" i="6"/>
  <c r="BG9" i="6"/>
  <c r="BG10" i="6"/>
  <c r="BG11" i="6"/>
  <c r="BG12" i="6"/>
  <c r="BG13" i="6"/>
  <c r="BG14" i="6"/>
  <c r="BG15" i="6"/>
  <c r="BG16" i="6"/>
  <c r="BG17" i="6"/>
  <c r="BG18" i="6"/>
  <c r="BG19" i="6"/>
  <c r="BG20" i="6"/>
  <c r="BG21" i="6"/>
  <c r="BG22" i="6"/>
  <c r="BG23" i="6"/>
  <c r="BG24" i="6"/>
  <c r="BG25" i="6"/>
  <c r="BG26" i="6"/>
  <c r="BG27" i="6"/>
  <c r="BG28" i="6"/>
  <c r="BG29" i="6"/>
  <c r="BG30" i="6"/>
  <c r="BG31" i="6"/>
  <c r="BG32" i="6"/>
  <c r="BG33" i="6"/>
  <c r="BG34" i="6"/>
  <c r="BG35" i="6"/>
  <c r="BG36" i="6"/>
  <c r="BG37" i="6"/>
  <c r="BG38" i="6"/>
  <c r="BG39" i="6"/>
  <c r="BG40" i="6"/>
  <c r="BG41" i="6"/>
  <c r="BG42" i="6"/>
  <c r="BG43" i="6"/>
  <c r="BG4" i="6"/>
  <c r="R14" i="50" l="1"/>
  <c r="S14" i="50"/>
  <c r="Q15" i="50"/>
  <c r="R15" i="50"/>
  <c r="S15" i="50"/>
  <c r="Q17" i="50"/>
  <c r="S17" i="50"/>
  <c r="T17" i="50"/>
  <c r="U17" i="50"/>
  <c r="R22" i="50"/>
  <c r="S22" i="50"/>
  <c r="T22" i="50"/>
  <c r="S23" i="50"/>
  <c r="U23" i="50"/>
  <c r="R24" i="50"/>
  <c r="T24" i="50"/>
  <c r="U24" i="50"/>
  <c r="R26" i="50"/>
  <c r="S26" i="50"/>
  <c r="T26" i="50"/>
  <c r="R30" i="50"/>
  <c r="Q31" i="50"/>
  <c r="R31" i="50"/>
  <c r="Q32" i="50"/>
  <c r="R32" i="50"/>
  <c r="S32" i="50"/>
  <c r="Q34" i="50"/>
  <c r="S34" i="50"/>
  <c r="T34" i="50"/>
  <c r="U34" i="50"/>
  <c r="S4" i="50"/>
  <c r="T4" i="50"/>
  <c r="U4" i="50"/>
  <c r="S5" i="50"/>
  <c r="T5" i="50"/>
  <c r="U5" i="50"/>
  <c r="S7" i="50"/>
  <c r="T7" i="50"/>
  <c r="T8" i="50"/>
  <c r="U8" i="50"/>
  <c r="Q7" i="50"/>
  <c r="Q8" i="50"/>
  <c r="E13" i="50"/>
  <c r="E22" i="50"/>
  <c r="E30" i="50"/>
  <c r="U30" i="50" s="1"/>
  <c r="E34" i="50"/>
  <c r="R34" i="50" s="1"/>
  <c r="E33" i="50"/>
  <c r="E32" i="50"/>
  <c r="T32" i="50" s="1"/>
  <c r="E31" i="50"/>
  <c r="U31" i="50" s="1"/>
  <c r="E26" i="50"/>
  <c r="Q26" i="50" s="1"/>
  <c r="E25" i="50"/>
  <c r="E24" i="50"/>
  <c r="S24" i="50" s="1"/>
  <c r="E23" i="50"/>
  <c r="T23" i="50" s="1"/>
  <c r="E17" i="50"/>
  <c r="R17" i="50" s="1"/>
  <c r="E16" i="50"/>
  <c r="E15" i="50"/>
  <c r="T15" i="50" s="1"/>
  <c r="E14" i="50"/>
  <c r="E5" i="50"/>
  <c r="R5" i="50" s="1"/>
  <c r="E6" i="50"/>
  <c r="E7" i="50"/>
  <c r="R7" i="50" s="1"/>
  <c r="E8" i="50"/>
  <c r="R8" i="50" s="1"/>
  <c r="E4" i="50"/>
  <c r="R4" i="50" s="1"/>
  <c r="D9" i="34"/>
  <c r="F9" i="34"/>
  <c r="H9" i="34"/>
  <c r="B9" i="34"/>
  <c r="F9" i="33"/>
  <c r="H9" i="33"/>
  <c r="D9" i="9"/>
  <c r="F9" i="9"/>
  <c r="H9" i="9"/>
  <c r="B9" i="9"/>
  <c r="D3" i="33"/>
  <c r="D4" i="33"/>
  <c r="D9" i="33" s="1"/>
  <c r="D5" i="33"/>
  <c r="D6" i="33"/>
  <c r="D7" i="33"/>
  <c r="B7" i="33"/>
  <c r="B6" i="33"/>
  <c r="B5" i="33"/>
  <c r="B4" i="33"/>
  <c r="B3" i="33"/>
  <c r="B9" i="33" s="1"/>
  <c r="O7" i="33"/>
  <c r="N7" i="33"/>
  <c r="N6" i="33"/>
  <c r="Q5" i="33"/>
  <c r="O5" i="33"/>
  <c r="Q4" i="33"/>
  <c r="O4" i="33"/>
  <c r="N3" i="33"/>
  <c r="BN4" i="6"/>
  <c r="D3" i="13"/>
  <c r="D3" i="12"/>
  <c r="F3" i="12"/>
  <c r="D4" i="12"/>
  <c r="E4" i="12"/>
  <c r="F4" i="12"/>
  <c r="D5" i="12"/>
  <c r="E5" i="12"/>
  <c r="F5" i="12"/>
  <c r="D6" i="12"/>
  <c r="E6" i="12"/>
  <c r="F6" i="12"/>
  <c r="D7" i="12"/>
  <c r="E7" i="12"/>
  <c r="F7" i="12"/>
  <c r="D3" i="25"/>
  <c r="F4" i="25"/>
  <c r="F5" i="25"/>
  <c r="F6" i="25"/>
  <c r="F7" i="25"/>
  <c r="F3" i="25"/>
  <c r="E4" i="25"/>
  <c r="E5" i="25"/>
  <c r="E6" i="25"/>
  <c r="E7" i="25"/>
  <c r="E3" i="25"/>
  <c r="D4" i="25"/>
  <c r="D5" i="25"/>
  <c r="D6" i="25"/>
  <c r="D7" i="25"/>
  <c r="C4" i="25"/>
  <c r="C5" i="25"/>
  <c r="C6" i="25"/>
  <c r="C7" i="25"/>
  <c r="C3" i="25"/>
  <c r="F4" i="24"/>
  <c r="F5" i="24"/>
  <c r="F6" i="24"/>
  <c r="F7" i="24"/>
  <c r="F3" i="24"/>
  <c r="E4" i="24"/>
  <c r="E5" i="24"/>
  <c r="E6" i="24"/>
  <c r="E7" i="24"/>
  <c r="E3" i="24"/>
  <c r="D4" i="24"/>
  <c r="D5" i="24"/>
  <c r="D6" i="24"/>
  <c r="D7" i="24"/>
  <c r="D3" i="24"/>
  <c r="C4" i="24"/>
  <c r="C5" i="24"/>
  <c r="C6" i="24"/>
  <c r="C7" i="24"/>
  <c r="C3" i="24"/>
  <c r="F6" i="23"/>
  <c r="F7" i="23"/>
  <c r="F5" i="23"/>
  <c r="E5" i="23"/>
  <c r="E6" i="23"/>
  <c r="E7" i="23"/>
  <c r="E4" i="23"/>
  <c r="D4" i="23"/>
  <c r="D5" i="23"/>
  <c r="D6" i="23"/>
  <c r="D7" i="23"/>
  <c r="D3" i="23"/>
  <c r="C4" i="23"/>
  <c r="C5" i="23"/>
  <c r="C6" i="23"/>
  <c r="C7" i="23"/>
  <c r="C3" i="23"/>
  <c r="F6" i="22"/>
  <c r="F7" i="22"/>
  <c r="F5" i="22"/>
  <c r="E5" i="22"/>
  <c r="E6" i="22"/>
  <c r="E7" i="22"/>
  <c r="E4" i="22"/>
  <c r="D4" i="22"/>
  <c r="D5" i="22"/>
  <c r="D6" i="22"/>
  <c r="D7" i="22"/>
  <c r="D3" i="22"/>
  <c r="C4" i="22"/>
  <c r="C5" i="22"/>
  <c r="C6" i="22"/>
  <c r="C7" i="22"/>
  <c r="C3" i="22"/>
  <c r="F6" i="21"/>
  <c r="F7" i="21"/>
  <c r="F5" i="21"/>
  <c r="E5" i="21"/>
  <c r="E6" i="21"/>
  <c r="E7" i="21"/>
  <c r="E4" i="21"/>
  <c r="D4" i="21"/>
  <c r="D5" i="21"/>
  <c r="D6" i="21"/>
  <c r="D7" i="21"/>
  <c r="D3" i="21"/>
  <c r="C4" i="21"/>
  <c r="C5" i="21"/>
  <c r="C6" i="21"/>
  <c r="C7" i="21"/>
  <c r="C3" i="21"/>
  <c r="F6" i="20"/>
  <c r="F7" i="20"/>
  <c r="F5" i="20"/>
  <c r="E5" i="20"/>
  <c r="E6" i="20"/>
  <c r="E7" i="20"/>
  <c r="E4" i="20"/>
  <c r="D4" i="20"/>
  <c r="D5" i="20"/>
  <c r="D6" i="20"/>
  <c r="D7" i="20"/>
  <c r="D3" i="20"/>
  <c r="C4" i="20"/>
  <c r="C5" i="20"/>
  <c r="C6" i="20"/>
  <c r="C7" i="20"/>
  <c r="C3" i="20"/>
  <c r="F4" i="19"/>
  <c r="F5" i="19"/>
  <c r="F6" i="19"/>
  <c r="F7" i="19"/>
  <c r="F3" i="19"/>
  <c r="E4" i="19"/>
  <c r="E5" i="19"/>
  <c r="E6" i="19"/>
  <c r="E7" i="19"/>
  <c r="E3" i="19"/>
  <c r="D4" i="19"/>
  <c r="D5" i="19"/>
  <c r="D6" i="19"/>
  <c r="D7" i="19"/>
  <c r="D3" i="19"/>
  <c r="C4" i="19"/>
  <c r="C5" i="19"/>
  <c r="C6" i="19"/>
  <c r="C7" i="19"/>
  <c r="C3" i="19"/>
  <c r="F4" i="17"/>
  <c r="F5" i="17"/>
  <c r="F6" i="17"/>
  <c r="F7" i="17"/>
  <c r="F3" i="17"/>
  <c r="E5" i="17"/>
  <c r="E6" i="17"/>
  <c r="E7" i="17"/>
  <c r="E4" i="17"/>
  <c r="D4" i="17"/>
  <c r="D5" i="17"/>
  <c r="D6" i="17"/>
  <c r="D7" i="17"/>
  <c r="D3" i="17"/>
  <c r="C4" i="17"/>
  <c r="C5" i="17"/>
  <c r="C6" i="17"/>
  <c r="C7" i="17"/>
  <c r="C3" i="17"/>
  <c r="F4" i="16"/>
  <c r="F5" i="16"/>
  <c r="F6" i="16"/>
  <c r="F7" i="16"/>
  <c r="F3" i="16"/>
  <c r="E7" i="16"/>
  <c r="E5" i="16"/>
  <c r="E6" i="16"/>
  <c r="E4" i="16"/>
  <c r="D4" i="16"/>
  <c r="D5" i="16"/>
  <c r="D6" i="16"/>
  <c r="D7" i="16"/>
  <c r="D3" i="16"/>
  <c r="C4" i="16"/>
  <c r="C5" i="16"/>
  <c r="C6" i="16"/>
  <c r="C7" i="16"/>
  <c r="C3" i="16"/>
  <c r="F6" i="15"/>
  <c r="F7" i="15"/>
  <c r="F5" i="15"/>
  <c r="E5" i="15"/>
  <c r="E6" i="15"/>
  <c r="E7" i="15"/>
  <c r="E4" i="15"/>
  <c r="D4" i="15"/>
  <c r="D5" i="15"/>
  <c r="D6" i="15"/>
  <c r="D7" i="15"/>
  <c r="D3" i="15"/>
  <c r="C4" i="15"/>
  <c r="C5" i="15"/>
  <c r="C6" i="15"/>
  <c r="C7" i="15"/>
  <c r="C3" i="15"/>
  <c r="F4" i="14"/>
  <c r="F5" i="14"/>
  <c r="F6" i="14"/>
  <c r="F7" i="14"/>
  <c r="F3" i="14"/>
  <c r="E5" i="14"/>
  <c r="E6" i="14"/>
  <c r="E7" i="14"/>
  <c r="E4" i="14"/>
  <c r="D4" i="14"/>
  <c r="D5" i="14"/>
  <c r="D6" i="14"/>
  <c r="D7" i="14"/>
  <c r="D3" i="14"/>
  <c r="C4" i="14"/>
  <c r="C5" i="14"/>
  <c r="C6" i="14"/>
  <c r="C7" i="14"/>
  <c r="C3" i="14"/>
  <c r="F4" i="13"/>
  <c r="F5" i="13"/>
  <c r="F6" i="13"/>
  <c r="F7" i="13"/>
  <c r="F3" i="13"/>
  <c r="E4" i="13"/>
  <c r="E5" i="13"/>
  <c r="E6" i="13"/>
  <c r="E7" i="13"/>
  <c r="D4" i="13"/>
  <c r="D5" i="13"/>
  <c r="D6" i="13"/>
  <c r="D7" i="13"/>
  <c r="C4" i="13"/>
  <c r="C5" i="13"/>
  <c r="C6" i="13"/>
  <c r="C7" i="13"/>
  <c r="C3" i="13"/>
  <c r="C4" i="12"/>
  <c r="C5" i="12"/>
  <c r="C6" i="12"/>
  <c r="C7" i="12"/>
  <c r="C3" i="12"/>
  <c r="AP4" i="7"/>
  <c r="E5" i="8"/>
  <c r="E4" i="8"/>
  <c r="E3" i="12" s="1"/>
  <c r="E3" i="8"/>
  <c r="E2" i="8"/>
  <c r="B5" i="8"/>
  <c r="B4" i="8"/>
  <c r="B3" i="8"/>
  <c r="B2" i="8"/>
  <c r="BD4" i="7"/>
  <c r="CB4" i="6"/>
  <c r="D2" i="8" s="1"/>
  <c r="CE4" i="6"/>
  <c r="AP15" i="7"/>
  <c r="D5" i="8"/>
  <c r="D4" i="8"/>
  <c r="CB9" i="6"/>
  <c r="O3" i="33" s="1"/>
  <c r="CE9" i="6"/>
  <c r="BA24" i="7"/>
  <c r="BA5" i="7"/>
  <c r="BA6" i="7"/>
  <c r="BA7" i="7"/>
  <c r="BA8" i="7"/>
  <c r="BA9" i="7"/>
  <c r="D3" i="8" s="1"/>
  <c r="BA10" i="7"/>
  <c r="BA11" i="7"/>
  <c r="BA12" i="7"/>
  <c r="BA13" i="7"/>
  <c r="BA14" i="7"/>
  <c r="BA15" i="7"/>
  <c r="BA16" i="7"/>
  <c r="BA17" i="7"/>
  <c r="BA18" i="7"/>
  <c r="BA19" i="7"/>
  <c r="BA20" i="7"/>
  <c r="BA21" i="7"/>
  <c r="BA22" i="7"/>
  <c r="BA23" i="7"/>
  <c r="BA4" i="7"/>
  <c r="BD24" i="7"/>
  <c r="BD25" i="7"/>
  <c r="BD5" i="7"/>
  <c r="BD6" i="7"/>
  <c r="BD7" i="7"/>
  <c r="BD8" i="7"/>
  <c r="BD9" i="7"/>
  <c r="BD10" i="7"/>
  <c r="BD11" i="7"/>
  <c r="BD12" i="7"/>
  <c r="BD13" i="7"/>
  <c r="BD14" i="7"/>
  <c r="BD15" i="7"/>
  <c r="BD16" i="7"/>
  <c r="BD17" i="7"/>
  <c r="BD18" i="7"/>
  <c r="BD19" i="7"/>
  <c r="BD20" i="7"/>
  <c r="BD21" i="7"/>
  <c r="BD22" i="7"/>
  <c r="BD23" i="7"/>
  <c r="BB47" i="7"/>
  <c r="AY47" i="7"/>
  <c r="AN47" i="7"/>
  <c r="BD43" i="7"/>
  <c r="BA43" i="7"/>
  <c r="AP43" i="7"/>
  <c r="BD42" i="7"/>
  <c r="BA42" i="7"/>
  <c r="AP42" i="7"/>
  <c r="BD41" i="7"/>
  <c r="BA41" i="7"/>
  <c r="AP41" i="7"/>
  <c r="BD40" i="7"/>
  <c r="BA40" i="7"/>
  <c r="AP40" i="7"/>
  <c r="BD39" i="7"/>
  <c r="BA39" i="7"/>
  <c r="AP39" i="7"/>
  <c r="BD38" i="7"/>
  <c r="BA38" i="7"/>
  <c r="AP38" i="7"/>
  <c r="BD37" i="7"/>
  <c r="BA37" i="7"/>
  <c r="AP37" i="7"/>
  <c r="BD36" i="7"/>
  <c r="BA36" i="7"/>
  <c r="AP36" i="7"/>
  <c r="BD35" i="7"/>
  <c r="BA35" i="7"/>
  <c r="AP35" i="7"/>
  <c r="BD34" i="7"/>
  <c r="BA34" i="7"/>
  <c r="AP34" i="7"/>
  <c r="BD33" i="7"/>
  <c r="BA33" i="7"/>
  <c r="AP33" i="7"/>
  <c r="BD32" i="7"/>
  <c r="BA32" i="7"/>
  <c r="AP32" i="7"/>
  <c r="BD31" i="7"/>
  <c r="BA31" i="7"/>
  <c r="AP31" i="7"/>
  <c r="BD30" i="7"/>
  <c r="BA30" i="7"/>
  <c r="AP30" i="7"/>
  <c r="BD29" i="7"/>
  <c r="BA29" i="7"/>
  <c r="AP29" i="7"/>
  <c r="BD28" i="7"/>
  <c r="BA28" i="7"/>
  <c r="AP28" i="7"/>
  <c r="BD27" i="7"/>
  <c r="BA27" i="7"/>
  <c r="AP27" i="7"/>
  <c r="BD26" i="7"/>
  <c r="BA26" i="7"/>
  <c r="AP26" i="7"/>
  <c r="BA25" i="7"/>
  <c r="AP25" i="7"/>
  <c r="AP24" i="7"/>
  <c r="AP23" i="7"/>
  <c r="AP22" i="7"/>
  <c r="AP21" i="7"/>
  <c r="AP20" i="7"/>
  <c r="AP19" i="7"/>
  <c r="AP18" i="7"/>
  <c r="AP17" i="7"/>
  <c r="AP16" i="7"/>
  <c r="AP14" i="7"/>
  <c r="AP13" i="7"/>
  <c r="AP12" i="7"/>
  <c r="AP11" i="7"/>
  <c r="AP10" i="7"/>
  <c r="AP9" i="7"/>
  <c r="AP8" i="7"/>
  <c r="AP7" i="7"/>
  <c r="AP6" i="7"/>
  <c r="AP5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4" i="7"/>
  <c r="AB14" i="7"/>
  <c r="AB15" i="7"/>
  <c r="AB16" i="7"/>
  <c r="AB17" i="7"/>
  <c r="AB18" i="7"/>
  <c r="AB19" i="7"/>
  <c r="AB20" i="7"/>
  <c r="AB21" i="7"/>
  <c r="AB22" i="7"/>
  <c r="AB23" i="7"/>
  <c r="AB5" i="7"/>
  <c r="AB6" i="7"/>
  <c r="AB7" i="7"/>
  <c r="AB8" i="7"/>
  <c r="AB9" i="7"/>
  <c r="AB10" i="7"/>
  <c r="AB11" i="7"/>
  <c r="AB12" i="7"/>
  <c r="AB13" i="7"/>
  <c r="AB4" i="7"/>
  <c r="BC5" i="6"/>
  <c r="BC6" i="6"/>
  <c r="BC7" i="6"/>
  <c r="BC8" i="6"/>
  <c r="BC9" i="6"/>
  <c r="BC10" i="6"/>
  <c r="BC11" i="6"/>
  <c r="BC12" i="6"/>
  <c r="BC13" i="6"/>
  <c r="BC15" i="6"/>
  <c r="BC16" i="6"/>
  <c r="BC17" i="6"/>
  <c r="BC18" i="6"/>
  <c r="BC19" i="6"/>
  <c r="BC20" i="6"/>
  <c r="BC21" i="6"/>
  <c r="BC22" i="6"/>
  <c r="BC23" i="6"/>
  <c r="BC4" i="6"/>
  <c r="BD47" i="7"/>
  <c r="AU22" i="6"/>
  <c r="AU23" i="6"/>
  <c r="AU21" i="6"/>
  <c r="AU16" i="6"/>
  <c r="AU5" i="6"/>
  <c r="AU4" i="6"/>
  <c r="AU9" i="6"/>
  <c r="AS9" i="6"/>
  <c r="AZ9" i="6" s="1"/>
  <c r="AS4" i="6"/>
  <c r="AQ4" i="6"/>
  <c r="AP4" i="6"/>
  <c r="AO4" i="6"/>
  <c r="AM4" i="6"/>
  <c r="AN5" i="6"/>
  <c r="AN6" i="6"/>
  <c r="AN7" i="6"/>
  <c r="AN8" i="6"/>
  <c r="AN9" i="6"/>
  <c r="AN10" i="6"/>
  <c r="AN11" i="6"/>
  <c r="AN12" i="6"/>
  <c r="AN13" i="6"/>
  <c r="AN15" i="6"/>
  <c r="AN16" i="6"/>
  <c r="AN17" i="6"/>
  <c r="AN18" i="6"/>
  <c r="AN19" i="6"/>
  <c r="AN20" i="6"/>
  <c r="AN21" i="6"/>
  <c r="AN22" i="6"/>
  <c r="AN23" i="6"/>
  <c r="AN4" i="6"/>
  <c r="AX4" i="6" s="1"/>
  <c r="AL4" i="6"/>
  <c r="BL47" i="6"/>
  <c r="CC47" i="6"/>
  <c r="BZ47" i="6"/>
  <c r="CE43" i="6"/>
  <c r="CE42" i="6"/>
  <c r="CE41" i="6"/>
  <c r="CE40" i="6"/>
  <c r="CE39" i="6"/>
  <c r="CE38" i="6"/>
  <c r="CE37" i="6"/>
  <c r="CE36" i="6"/>
  <c r="CE35" i="6"/>
  <c r="CE34" i="6"/>
  <c r="CE33" i="6"/>
  <c r="CE32" i="6"/>
  <c r="CE31" i="6"/>
  <c r="CE30" i="6"/>
  <c r="CE29" i="6"/>
  <c r="CE28" i="6"/>
  <c r="CE27" i="6"/>
  <c r="CE26" i="6"/>
  <c r="CE25" i="6"/>
  <c r="CE24" i="6"/>
  <c r="CE23" i="6"/>
  <c r="CE22" i="6"/>
  <c r="CE21" i="6"/>
  <c r="CE20" i="6"/>
  <c r="CE19" i="6"/>
  <c r="CE18" i="6"/>
  <c r="CE17" i="6"/>
  <c r="CE16" i="6"/>
  <c r="CE15" i="6"/>
  <c r="CE14" i="6"/>
  <c r="CE13" i="6"/>
  <c r="CE12" i="6"/>
  <c r="CE11" i="6"/>
  <c r="CE10" i="6"/>
  <c r="CE8" i="6"/>
  <c r="CE7" i="6"/>
  <c r="CE6" i="6"/>
  <c r="CE5" i="6"/>
  <c r="CB43" i="6"/>
  <c r="CB42" i="6"/>
  <c r="CB41" i="6"/>
  <c r="CB40" i="6"/>
  <c r="CB39" i="6"/>
  <c r="CB38" i="6"/>
  <c r="CB37" i="6"/>
  <c r="CB36" i="6"/>
  <c r="CB35" i="6"/>
  <c r="CB34" i="6"/>
  <c r="CB33" i="6"/>
  <c r="CB32" i="6"/>
  <c r="CB31" i="6"/>
  <c r="CB30" i="6"/>
  <c r="CB29" i="6"/>
  <c r="CB28" i="6"/>
  <c r="CB27" i="6"/>
  <c r="CB26" i="6"/>
  <c r="CB25" i="6"/>
  <c r="CB24" i="6"/>
  <c r="CB23" i="6"/>
  <c r="Q7" i="33" s="1"/>
  <c r="CB22" i="6"/>
  <c r="Q6" i="33" s="1"/>
  <c r="CB21" i="6"/>
  <c r="CB20" i="6"/>
  <c r="CB19" i="6"/>
  <c r="Q3" i="33" s="1"/>
  <c r="CB18" i="6"/>
  <c r="P7" i="33" s="1"/>
  <c r="CB17" i="6"/>
  <c r="P6" i="33" s="1"/>
  <c r="CB16" i="6"/>
  <c r="P5" i="33" s="1"/>
  <c r="CB15" i="6"/>
  <c r="P4" i="33" s="1"/>
  <c r="CB14" i="6"/>
  <c r="P3" i="33" s="1"/>
  <c r="CB13" i="6"/>
  <c r="CB12" i="6"/>
  <c r="O6" i="33" s="1"/>
  <c r="CB11" i="6"/>
  <c r="CB10" i="6"/>
  <c r="CB8" i="6"/>
  <c r="CB7" i="6"/>
  <c r="CB6" i="6"/>
  <c r="N5" i="33" s="1"/>
  <c r="CB5" i="6"/>
  <c r="CB47" i="6" s="1"/>
  <c r="BN43" i="6"/>
  <c r="BN42" i="6"/>
  <c r="BN41" i="6"/>
  <c r="BN40" i="6"/>
  <c r="BN39" i="6"/>
  <c r="BN38" i="6"/>
  <c r="BN37" i="6"/>
  <c r="BN36" i="6"/>
  <c r="BN35" i="6"/>
  <c r="BN34" i="6"/>
  <c r="BN33" i="6"/>
  <c r="BN32" i="6"/>
  <c r="BN31" i="6"/>
  <c r="BN30" i="6"/>
  <c r="BN29" i="6"/>
  <c r="BN28" i="6"/>
  <c r="BN27" i="6"/>
  <c r="BN26" i="6"/>
  <c r="BN25" i="6"/>
  <c r="BN24" i="6"/>
  <c r="BN23" i="6"/>
  <c r="F7" i="10"/>
  <c r="BN22" i="6"/>
  <c r="F6" i="10"/>
  <c r="BN21" i="6"/>
  <c r="F5" i="10"/>
  <c r="BN20" i="6"/>
  <c r="F4" i="10"/>
  <c r="BN19" i="6"/>
  <c r="BN18" i="6"/>
  <c r="E7" i="10"/>
  <c r="BN17" i="6"/>
  <c r="E6" i="10" s="1"/>
  <c r="BN16" i="6"/>
  <c r="E5" i="10" s="1"/>
  <c r="BN15" i="6"/>
  <c r="E4" i="10" s="1"/>
  <c r="BN14" i="6"/>
  <c r="C4" i="8" s="1"/>
  <c r="BN13" i="6"/>
  <c r="D7" i="10" s="1"/>
  <c r="BN12" i="6"/>
  <c r="D6" i="10"/>
  <c r="BN11" i="6"/>
  <c r="D5" i="10" s="1"/>
  <c r="BN10" i="6"/>
  <c r="D4" i="10"/>
  <c r="BN9" i="6"/>
  <c r="C3" i="8" s="1"/>
  <c r="BN8" i="6"/>
  <c r="C7" i="10" s="1"/>
  <c r="BN7" i="6"/>
  <c r="C6" i="10"/>
  <c r="BN6" i="6"/>
  <c r="C5" i="10" s="1"/>
  <c r="BN5" i="6"/>
  <c r="C4" i="10"/>
  <c r="AS19" i="6"/>
  <c r="AS22" i="6"/>
  <c r="AS21" i="6"/>
  <c r="AS20" i="6"/>
  <c r="AS23" i="6"/>
  <c r="AZ23" i="6" s="1"/>
  <c r="AS13" i="6"/>
  <c r="AS12" i="6"/>
  <c r="AS11" i="6"/>
  <c r="AS10" i="6"/>
  <c r="F3" i="10"/>
  <c r="C5" i="8"/>
  <c r="D3" i="10"/>
  <c r="E3" i="10"/>
  <c r="AC23" i="6"/>
  <c r="AD23" i="6"/>
  <c r="AC22" i="6"/>
  <c r="AD22" i="6" s="1"/>
  <c r="AC21" i="6"/>
  <c r="AD21" i="6"/>
  <c r="AC20" i="6"/>
  <c r="AD20" i="6" s="1"/>
  <c r="AC19" i="6"/>
  <c r="AD19" i="6"/>
  <c r="AC18" i="6"/>
  <c r="AD18" i="6" s="1"/>
  <c r="AC17" i="6"/>
  <c r="AD17" i="6" s="1"/>
  <c r="AC16" i="6"/>
  <c r="AD16" i="6" s="1"/>
  <c r="AC15" i="6"/>
  <c r="AD15" i="6" s="1"/>
  <c r="AC14" i="6"/>
  <c r="AD14" i="6" s="1"/>
  <c r="AC13" i="6"/>
  <c r="AD13" i="6"/>
  <c r="AC12" i="6"/>
  <c r="AD12" i="6" s="1"/>
  <c r="AC11" i="6"/>
  <c r="AD11" i="6"/>
  <c r="AC10" i="6"/>
  <c r="AD10" i="6" s="1"/>
  <c r="AC9" i="6"/>
  <c r="AD9" i="6" s="1"/>
  <c r="AC8" i="6"/>
  <c r="AD8" i="6" s="1"/>
  <c r="AC7" i="6"/>
  <c r="AD7" i="6"/>
  <c r="AC6" i="6"/>
  <c r="AD6" i="6" s="1"/>
  <c r="AC5" i="6"/>
  <c r="AD5" i="6"/>
  <c r="AC4" i="6"/>
  <c r="AD4" i="6" s="1"/>
  <c r="AO5" i="6"/>
  <c r="AO6" i="6"/>
  <c r="AO7" i="6"/>
  <c r="AO8" i="6"/>
  <c r="AM5" i="6"/>
  <c r="AM6" i="6"/>
  <c r="AM7" i="6"/>
  <c r="AM8" i="6"/>
  <c r="Z5" i="6"/>
  <c r="AA5" i="6"/>
  <c r="Z6" i="6"/>
  <c r="AA6" i="6" s="1"/>
  <c r="Z7" i="6"/>
  <c r="AA7" i="6" s="1"/>
  <c r="Z8" i="6"/>
  <c r="AA8" i="6" s="1"/>
  <c r="Z9" i="6"/>
  <c r="AA9" i="6"/>
  <c r="Z10" i="6"/>
  <c r="AA10" i="6" s="1"/>
  <c r="Z11" i="6"/>
  <c r="AA11" i="6"/>
  <c r="Z12" i="6"/>
  <c r="AA12" i="6" s="1"/>
  <c r="Z13" i="6"/>
  <c r="AA13" i="6"/>
  <c r="Z14" i="6"/>
  <c r="AA14" i="6" s="1"/>
  <c r="Z15" i="6"/>
  <c r="AA15" i="6" s="1"/>
  <c r="Z16" i="6"/>
  <c r="AA16" i="6" s="1"/>
  <c r="Z17" i="6"/>
  <c r="AA17" i="6"/>
  <c r="Z18" i="6"/>
  <c r="AA18" i="6" s="1"/>
  <c r="Z19" i="6"/>
  <c r="AA19" i="6"/>
  <c r="Z20" i="6"/>
  <c r="AA20" i="6" s="1"/>
  <c r="Z21" i="6"/>
  <c r="AA21" i="6"/>
  <c r="Z22" i="6"/>
  <c r="AA22" i="6" s="1"/>
  <c r="Z23" i="6"/>
  <c r="AA23" i="6" s="1"/>
  <c r="Z4" i="6"/>
  <c r="AA4" i="6" s="1"/>
  <c r="AQ43" i="6"/>
  <c r="AP43" i="6"/>
  <c r="AO43" i="6"/>
  <c r="AM43" i="6"/>
  <c r="AL43" i="6"/>
  <c r="AQ42" i="6"/>
  <c r="AP42" i="6"/>
  <c r="AO42" i="6"/>
  <c r="AM42" i="6"/>
  <c r="AL42" i="6"/>
  <c r="AQ41" i="6"/>
  <c r="AP41" i="6"/>
  <c r="AO41" i="6"/>
  <c r="AM41" i="6"/>
  <c r="AL41" i="6"/>
  <c r="AQ40" i="6"/>
  <c r="AP40" i="6"/>
  <c r="AO40" i="6"/>
  <c r="AM40" i="6"/>
  <c r="AL40" i="6"/>
  <c r="AQ39" i="6"/>
  <c r="AP39" i="6"/>
  <c r="AO39" i="6"/>
  <c r="AM39" i="6"/>
  <c r="AL39" i="6"/>
  <c r="AQ38" i="6"/>
  <c r="AP38" i="6"/>
  <c r="AO38" i="6"/>
  <c r="AM38" i="6"/>
  <c r="AL38" i="6"/>
  <c r="AQ37" i="6"/>
  <c r="AP37" i="6"/>
  <c r="AO37" i="6"/>
  <c r="AM37" i="6"/>
  <c r="AL37" i="6"/>
  <c r="AQ36" i="6"/>
  <c r="AP36" i="6"/>
  <c r="AO36" i="6"/>
  <c r="AM36" i="6"/>
  <c r="AL36" i="6"/>
  <c r="AQ34" i="6"/>
  <c r="AP34" i="6"/>
  <c r="AO34" i="6"/>
  <c r="AM34" i="6"/>
  <c r="AL34" i="6"/>
  <c r="AQ33" i="6"/>
  <c r="AP33" i="6"/>
  <c r="AO33" i="6"/>
  <c r="AM33" i="6"/>
  <c r="AL33" i="6"/>
  <c r="AQ32" i="6"/>
  <c r="AP32" i="6"/>
  <c r="AO32" i="6"/>
  <c r="AM32" i="6"/>
  <c r="AL32" i="6"/>
  <c r="AQ31" i="6"/>
  <c r="AP31" i="6"/>
  <c r="AO31" i="6"/>
  <c r="AM31" i="6"/>
  <c r="AL31" i="6"/>
  <c r="AQ30" i="6"/>
  <c r="AP30" i="6"/>
  <c r="AO30" i="6"/>
  <c r="AM30" i="6"/>
  <c r="AL30" i="6"/>
  <c r="AQ29" i="6"/>
  <c r="AP29" i="6"/>
  <c r="AO29" i="6"/>
  <c r="AM29" i="6"/>
  <c r="AL29" i="6"/>
  <c r="AQ28" i="6"/>
  <c r="AP28" i="6"/>
  <c r="AO28" i="6"/>
  <c r="AM28" i="6"/>
  <c r="AL28" i="6"/>
  <c r="AQ27" i="6"/>
  <c r="AP27" i="6"/>
  <c r="AO27" i="6"/>
  <c r="AM27" i="6"/>
  <c r="AL27" i="6"/>
  <c r="AQ26" i="6"/>
  <c r="AP26" i="6"/>
  <c r="AO26" i="6"/>
  <c r="AM26" i="6"/>
  <c r="AL26" i="6"/>
  <c r="AQ25" i="6"/>
  <c r="AP25" i="6"/>
  <c r="AO25" i="6"/>
  <c r="AM25" i="6"/>
  <c r="AL25" i="6"/>
  <c r="AQ24" i="6"/>
  <c r="AP24" i="6"/>
  <c r="AO24" i="6"/>
  <c r="AM24" i="6"/>
  <c r="AL24" i="6"/>
  <c r="AW23" i="6"/>
  <c r="AT23" i="6"/>
  <c r="AR23" i="6"/>
  <c r="AQ23" i="6"/>
  <c r="AP23" i="6"/>
  <c r="AO23" i="6"/>
  <c r="AM23" i="6"/>
  <c r="AL23" i="6"/>
  <c r="AW22" i="6"/>
  <c r="AT22" i="6"/>
  <c r="AZ22" i="6" s="1"/>
  <c r="AR22" i="6"/>
  <c r="AQ22" i="6"/>
  <c r="AP22" i="6"/>
  <c r="AO22" i="6"/>
  <c r="AM22" i="6"/>
  <c r="AL22" i="6"/>
  <c r="AW21" i="6"/>
  <c r="AT21" i="6"/>
  <c r="AZ21" i="6" s="1"/>
  <c r="AR21" i="6"/>
  <c r="AQ21" i="6"/>
  <c r="AP21" i="6"/>
  <c r="AO21" i="6"/>
  <c r="AX21" i="6" s="1"/>
  <c r="AM21" i="6"/>
  <c r="AL21" i="6"/>
  <c r="AW20" i="6"/>
  <c r="AU20" i="6"/>
  <c r="AT20" i="6"/>
  <c r="AR20" i="6"/>
  <c r="AQ20" i="6"/>
  <c r="AP20" i="6"/>
  <c r="AO20" i="6"/>
  <c r="AM20" i="6"/>
  <c r="AW19" i="6"/>
  <c r="AU19" i="6"/>
  <c r="AT19" i="6"/>
  <c r="AR19" i="6"/>
  <c r="AQ19" i="6"/>
  <c r="AP19" i="6"/>
  <c r="AY19" i="6" s="1"/>
  <c r="AO19" i="6"/>
  <c r="AM19" i="6"/>
  <c r="AW18" i="6"/>
  <c r="AU18" i="6"/>
  <c r="AS18" i="6"/>
  <c r="AR18" i="6"/>
  <c r="AQ18" i="6"/>
  <c r="AP18" i="6"/>
  <c r="AO18" i="6"/>
  <c r="AM18" i="6"/>
  <c r="AL18" i="6"/>
  <c r="AW17" i="6"/>
  <c r="AU17" i="6"/>
  <c r="AS17" i="6"/>
  <c r="AR17" i="6"/>
  <c r="AQ17" i="6"/>
  <c r="AP17" i="6"/>
  <c r="AO17" i="6"/>
  <c r="AM17" i="6"/>
  <c r="AL17" i="6"/>
  <c r="AW16" i="6"/>
  <c r="AS16" i="6"/>
  <c r="AR16" i="6"/>
  <c r="AQ16" i="6"/>
  <c r="AY16" i="6" s="1"/>
  <c r="AP16" i="6"/>
  <c r="AO16" i="6"/>
  <c r="AM16" i="6"/>
  <c r="AL16" i="6"/>
  <c r="AW15" i="6"/>
  <c r="AU15" i="6"/>
  <c r="AS15" i="6"/>
  <c r="AR15" i="6"/>
  <c r="AQ15" i="6"/>
  <c r="AP15" i="6"/>
  <c r="AO15" i="6"/>
  <c r="AM15" i="6"/>
  <c r="AY15" i="6" s="1"/>
  <c r="AL15" i="6"/>
  <c r="AW13" i="6"/>
  <c r="AU13" i="6"/>
  <c r="AR13" i="6"/>
  <c r="AQ13" i="6"/>
  <c r="AP13" i="6"/>
  <c r="AO13" i="6"/>
  <c r="AM13" i="6"/>
  <c r="AL13" i="6"/>
  <c r="AW12" i="6"/>
  <c r="AU12" i="6"/>
  <c r="AR12" i="6"/>
  <c r="AZ12" i="6" s="1"/>
  <c r="AQ12" i="6"/>
  <c r="AP12" i="6"/>
  <c r="AO12" i="6"/>
  <c r="AM12" i="6"/>
  <c r="AL12" i="6"/>
  <c r="AW11" i="6"/>
  <c r="AU11" i="6"/>
  <c r="AR11" i="6"/>
  <c r="AZ11" i="6" s="1"/>
  <c r="AQ11" i="6"/>
  <c r="AP11" i="6"/>
  <c r="AO11" i="6"/>
  <c r="AM11" i="6"/>
  <c r="AX11" i="6" s="1"/>
  <c r="AL11" i="6"/>
  <c r="AW10" i="6"/>
  <c r="AU10" i="6"/>
  <c r="AR10" i="6"/>
  <c r="AZ10" i="6" s="1"/>
  <c r="AQ10" i="6"/>
  <c r="AP10" i="6"/>
  <c r="AO10" i="6"/>
  <c r="AM10" i="6"/>
  <c r="AL10" i="6"/>
  <c r="AW9" i="6"/>
  <c r="AR9" i="6"/>
  <c r="AQ9" i="6"/>
  <c r="AP9" i="6"/>
  <c r="AO9" i="6"/>
  <c r="AM9" i="6"/>
  <c r="AL9" i="6"/>
  <c r="AW8" i="6"/>
  <c r="AZ8" i="6" s="1"/>
  <c r="AS8" i="6"/>
  <c r="AR8" i="6"/>
  <c r="AQ8" i="6"/>
  <c r="AP8" i="6"/>
  <c r="AL8" i="6"/>
  <c r="AW7" i="6"/>
  <c r="AU7" i="6"/>
  <c r="AS7" i="6"/>
  <c r="AR7" i="6"/>
  <c r="AQ7" i="6"/>
  <c r="AP7" i="6"/>
  <c r="AL7" i="6"/>
  <c r="AW6" i="6"/>
  <c r="AU6" i="6"/>
  <c r="AT6" i="6"/>
  <c r="AZ6" i="6" s="1"/>
  <c r="AS6" i="6"/>
  <c r="AR6" i="6"/>
  <c r="AQ6" i="6"/>
  <c r="AP6" i="6"/>
  <c r="AL6" i="6"/>
  <c r="AW5" i="6"/>
  <c r="AS5" i="6"/>
  <c r="AR5" i="6"/>
  <c r="AQ5" i="6"/>
  <c r="AP5" i="6"/>
  <c r="AL5" i="6"/>
  <c r="AW4" i="6"/>
  <c r="AR4" i="6"/>
  <c r="BD11" i="6"/>
  <c r="AX20" i="6"/>
  <c r="BD20" i="6" s="1"/>
  <c r="AX5" i="6"/>
  <c r="BD5" i="6"/>
  <c r="AY9" i="6"/>
  <c r="BB9" i="6" s="1"/>
  <c r="AY4" i="6"/>
  <c r="AZ5" i="6"/>
  <c r="AZ13" i="6"/>
  <c r="BD4" i="6"/>
  <c r="BA11" i="6"/>
  <c r="BB19" i="6" l="1"/>
  <c r="BA21" i="6"/>
  <c r="BD21" i="6"/>
  <c r="AX10" i="6"/>
  <c r="AY10" i="6"/>
  <c r="BB10" i="6" s="1"/>
  <c r="AX12" i="6"/>
  <c r="AY12" i="6"/>
  <c r="BB12" i="6" s="1"/>
  <c r="AX13" i="6"/>
  <c r="AY13" i="6"/>
  <c r="BB13" i="6" s="1"/>
  <c r="AZ15" i="6"/>
  <c r="BB15" i="6" s="1"/>
  <c r="AZ19" i="6"/>
  <c r="R6" i="50"/>
  <c r="T6" i="50"/>
  <c r="Q6" i="50"/>
  <c r="U6" i="50"/>
  <c r="S16" i="50"/>
  <c r="U16" i="50"/>
  <c r="Q16" i="50"/>
  <c r="R25" i="50"/>
  <c r="Q25" i="50"/>
  <c r="S25" i="50"/>
  <c r="S33" i="50"/>
  <c r="U33" i="50"/>
  <c r="Q33" i="50"/>
  <c r="R13" i="50"/>
  <c r="T13" i="50"/>
  <c r="U13" i="50"/>
  <c r="R16" i="50"/>
  <c r="AY7" i="6"/>
  <c r="BB7" i="6" s="1"/>
  <c r="AZ20" i="6"/>
  <c r="BA20" i="6" s="1"/>
  <c r="AX16" i="6"/>
  <c r="BN47" i="6"/>
  <c r="C3" i="10"/>
  <c r="U25" i="50"/>
  <c r="AY5" i="6"/>
  <c r="BB5" i="6" s="1"/>
  <c r="BA5" i="6"/>
  <c r="AX7" i="6"/>
  <c r="C2" i="8"/>
  <c r="T33" i="50"/>
  <c r="T25" i="50"/>
  <c r="S13" i="50"/>
  <c r="AY11" i="6"/>
  <c r="BB11" i="6" s="1"/>
  <c r="AX15" i="6"/>
  <c r="AZ4" i="6"/>
  <c r="BB4" i="6" s="1"/>
  <c r="AZ7" i="6"/>
  <c r="AX8" i="6"/>
  <c r="AY8" i="6"/>
  <c r="BB8" i="6" s="1"/>
  <c r="AX17" i="6"/>
  <c r="AY17" i="6"/>
  <c r="AY20" i="6"/>
  <c r="BB20" i="6" s="1"/>
  <c r="AY21" i="6"/>
  <c r="BB21" i="6" s="1"/>
  <c r="AY22" i="6"/>
  <c r="BB22" i="6" s="1"/>
  <c r="AX22" i="6"/>
  <c r="AY23" i="6"/>
  <c r="BB23" i="6" s="1"/>
  <c r="AX23" i="6"/>
  <c r="BA47" i="7"/>
  <c r="CE47" i="6"/>
  <c r="AP47" i="7"/>
  <c r="N4" i="33"/>
  <c r="S6" i="50"/>
  <c r="R33" i="50"/>
  <c r="T16" i="50"/>
  <c r="Q13" i="50"/>
  <c r="AX6" i="6"/>
  <c r="AY6" i="6"/>
  <c r="BB6" i="6" s="1"/>
  <c r="Q14" i="50"/>
  <c r="U14" i="50"/>
  <c r="S8" i="50"/>
  <c r="T30" i="50"/>
  <c r="R23" i="50"/>
  <c r="Q30" i="50"/>
  <c r="AZ16" i="6"/>
  <c r="BB16" i="6" s="1"/>
  <c r="AZ17" i="6"/>
  <c r="AX18" i="6"/>
  <c r="AY18" i="6"/>
  <c r="AZ18" i="6"/>
  <c r="AX19" i="6"/>
  <c r="AX9" i="6"/>
  <c r="Q22" i="50"/>
  <c r="U22" i="50"/>
  <c r="U7" i="50"/>
  <c r="U32" i="50"/>
  <c r="S31" i="50"/>
  <c r="S30" i="50"/>
  <c r="Q24" i="50"/>
  <c r="Q23" i="50"/>
  <c r="U15" i="50"/>
  <c r="T14" i="50"/>
  <c r="T31" i="50"/>
  <c r="Q4" i="50"/>
  <c r="Q5" i="50"/>
  <c r="U26" i="50"/>
  <c r="BD6" i="6" l="1"/>
  <c r="BA6" i="6"/>
  <c r="BD17" i="6"/>
  <c r="BA17" i="6"/>
  <c r="BB18" i="6"/>
  <c r="BA23" i="6"/>
  <c r="BD23" i="6"/>
  <c r="BD15" i="6"/>
  <c r="BA15" i="6"/>
  <c r="BD16" i="6"/>
  <c r="BA16" i="6"/>
  <c r="BD13" i="6"/>
  <c r="BA13" i="6"/>
  <c r="BD10" i="6"/>
  <c r="BA10" i="6"/>
  <c r="BD9" i="6"/>
  <c r="BA9" i="6"/>
  <c r="BA18" i="6"/>
  <c r="BD18" i="6"/>
  <c r="BA8" i="6"/>
  <c r="BD8" i="6"/>
  <c r="BA4" i="6"/>
  <c r="BD19" i="6"/>
  <c r="BA19" i="6"/>
  <c r="BA22" i="6"/>
  <c r="BD22" i="6"/>
  <c r="BB17" i="6"/>
  <c r="BD7" i="6"/>
  <c r="BA7" i="6"/>
  <c r="BA12" i="6"/>
  <c r="BD1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Gladys</author>
  </authors>
  <commentList>
    <comment ref="AD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Análisis Ohio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Análisis de Ohio</t>
        </r>
      </text>
    </comment>
    <comment ref="A1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SIN MUESTRA</t>
        </r>
      </text>
    </comment>
    <comment ref="N1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Gladys:</t>
        </r>
        <r>
          <rPr>
            <sz val="9"/>
            <color indexed="81"/>
            <rFont val="Tahoma"/>
            <family val="2"/>
          </rPr>
          <t xml:space="preserve">
Sin muestra</t>
        </r>
      </text>
    </comment>
    <comment ref="AD1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Análisis Ohio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Análisis de Ohio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9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Sin muestra para repetir analítica</t>
        </r>
      </text>
    </comment>
    <comment ref="AJ20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Sin muestra para repetir analítica</t>
        </r>
      </text>
    </comment>
    <comment ref="AD2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Análisis Ohio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5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Gladys:</t>
        </r>
        <r>
          <rPr>
            <sz val="9"/>
            <color indexed="81"/>
            <rFont val="Tahoma"/>
            <family val="2"/>
          </rPr>
          <t xml:space="preserve">
Sin muestra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  <author>Gladys</author>
  </authors>
  <commentList>
    <comment ref="T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Pico saturado, concentraciones muy altas</t>
        </r>
      </text>
    </comment>
    <comment ref="AU5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Análisis Ohio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S9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Análisis de Ohio</t>
        </r>
      </text>
    </comment>
    <comment ref="A14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SIN MUESTRA</t>
        </r>
      </text>
    </comment>
    <comment ref="N14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Gladys:</t>
        </r>
        <r>
          <rPr>
            <sz val="9"/>
            <color indexed="81"/>
            <rFont val="Tahoma"/>
            <family val="2"/>
          </rPr>
          <t xml:space="preserve">
Sin muestra</t>
        </r>
      </text>
    </comment>
    <comment ref="AU16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Análisis Ohio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S19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Análisis de Ohio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F19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Sin muestra para repetir analítica</t>
        </r>
      </text>
    </comment>
    <comment ref="BF20" authorId="1" shapeId="0" xr:uid="{00000000-0006-0000-0100-000009000000}">
      <text>
        <r>
          <rPr>
            <b/>
            <sz val="9"/>
            <color indexed="81"/>
            <rFont val="Tahoma"/>
            <family val="2"/>
          </rPr>
          <t>Sin muestra para repetir analítica</t>
        </r>
      </text>
    </comment>
    <comment ref="T21" authorId="1" shapeId="0" xr:uid="{00000000-0006-0000-0100-00000A000000}">
      <text>
        <r>
          <rPr>
            <b/>
            <sz val="9"/>
            <color indexed="81"/>
            <rFont val="Tahoma"/>
            <family val="2"/>
          </rPr>
          <t>Gladys:</t>
        </r>
        <r>
          <rPr>
            <sz val="9"/>
            <color indexed="81"/>
            <rFont val="Tahoma"/>
            <family val="2"/>
          </rPr>
          <t xml:space="preserve">
Fuera de rango
</t>
        </r>
      </text>
    </comment>
    <comment ref="AU21" authorId="1" shapeId="0" xr:uid="{00000000-0006-0000-0100-00000B000000}">
      <text>
        <r>
          <rPr>
            <b/>
            <sz val="9"/>
            <color indexed="81"/>
            <rFont val="Tahoma"/>
            <family val="2"/>
          </rPr>
          <t>Análisis Ohio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5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Gladys:</t>
        </r>
        <r>
          <rPr>
            <sz val="9"/>
            <color indexed="81"/>
            <rFont val="Tahoma"/>
            <family val="2"/>
          </rPr>
          <t xml:space="preserve">
Sin muestra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Gladys</author>
  </authors>
  <commentList>
    <comment ref="A12" authorId="0" shapeId="0" xr:uid="{1D30E930-14C6-4B74-816D-5D7ECEAA22C5}">
      <text>
        <r>
          <rPr>
            <b/>
            <sz val="9"/>
            <color indexed="81"/>
            <rFont val="Tahoma"/>
            <family val="2"/>
          </rPr>
          <t>SIN MUESTRA</t>
        </r>
      </text>
    </comment>
  </commentList>
</comments>
</file>

<file path=xl/sharedStrings.xml><?xml version="1.0" encoding="utf-8"?>
<sst xmlns="http://schemas.openxmlformats.org/spreadsheetml/2006/main" count="2105" uniqueCount="272">
  <si>
    <t>B1</t>
  </si>
  <si>
    <t>Muestra</t>
  </si>
  <si>
    <r>
      <t>Li</t>
    </r>
    <r>
      <rPr>
        <vertAlign val="superscript"/>
        <sz val="11"/>
        <color theme="1"/>
        <rFont val="Calibri"/>
        <family val="2"/>
        <scheme val="minor"/>
      </rPr>
      <t>+</t>
    </r>
  </si>
  <si>
    <r>
      <t>Na</t>
    </r>
    <r>
      <rPr>
        <vertAlign val="superscript"/>
        <sz val="11"/>
        <color theme="1"/>
        <rFont val="Calibri"/>
        <family val="2"/>
        <scheme val="minor"/>
      </rPr>
      <t>+</t>
    </r>
  </si>
  <si>
    <r>
      <t>K</t>
    </r>
    <r>
      <rPr>
        <vertAlign val="superscript"/>
        <sz val="11"/>
        <color theme="1"/>
        <rFont val="Calibri"/>
        <family val="2"/>
        <scheme val="minor"/>
      </rPr>
      <t>+</t>
    </r>
  </si>
  <si>
    <r>
      <t>Mg</t>
    </r>
    <r>
      <rPr>
        <vertAlign val="superscript"/>
        <sz val="11"/>
        <color theme="1"/>
        <rFont val="Calibri"/>
        <family val="2"/>
        <scheme val="minor"/>
      </rPr>
      <t>2+</t>
    </r>
  </si>
  <si>
    <r>
      <t>Ca</t>
    </r>
    <r>
      <rPr>
        <vertAlign val="superscript"/>
        <sz val="11"/>
        <color theme="1"/>
        <rFont val="Calibri"/>
        <family val="2"/>
        <scheme val="minor"/>
      </rPr>
      <t>2+</t>
    </r>
  </si>
  <si>
    <r>
      <t>F</t>
    </r>
    <r>
      <rPr>
        <vertAlign val="superscript"/>
        <sz val="11"/>
        <color theme="1"/>
        <rFont val="Calibri"/>
        <family val="2"/>
        <scheme val="minor"/>
      </rPr>
      <t>-</t>
    </r>
  </si>
  <si>
    <r>
      <t>Cl</t>
    </r>
    <r>
      <rPr>
        <vertAlign val="superscript"/>
        <sz val="11"/>
        <color theme="1"/>
        <rFont val="Calibri"/>
        <family val="2"/>
        <scheme val="minor"/>
      </rPr>
      <t>-</t>
    </r>
  </si>
  <si>
    <r>
      <t>Br</t>
    </r>
    <r>
      <rPr>
        <vertAlign val="superscript"/>
        <sz val="11"/>
        <color theme="1"/>
        <rFont val="Calibri"/>
        <family val="2"/>
        <scheme val="minor"/>
      </rPr>
      <t>-</t>
    </r>
  </si>
  <si>
    <r>
      <t>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</si>
  <si>
    <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3-</t>
    </r>
  </si>
  <si>
    <r>
      <t>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</si>
  <si>
    <t>TOTAL</t>
  </si>
  <si>
    <t>%</t>
  </si>
  <si>
    <t>ppm</t>
  </si>
  <si>
    <t>meq/L</t>
  </si>
  <si>
    <t>CATIONES</t>
  </si>
  <si>
    <t>ANIONES</t>
  </si>
  <si>
    <t>Error</t>
  </si>
  <si>
    <r>
      <t>K</t>
    </r>
    <r>
      <rPr>
        <vertAlign val="superscript"/>
        <sz val="11"/>
        <rFont val="Calibri"/>
        <family val="2"/>
        <scheme val="minor"/>
      </rPr>
      <t>+</t>
    </r>
  </si>
  <si>
    <r>
      <t>Mg</t>
    </r>
    <r>
      <rPr>
        <vertAlign val="superscript"/>
        <sz val="11"/>
        <rFont val="Calibri"/>
        <family val="2"/>
        <scheme val="minor"/>
      </rPr>
      <t>2+</t>
    </r>
  </si>
  <si>
    <r>
      <t>Ca</t>
    </r>
    <r>
      <rPr>
        <vertAlign val="superscript"/>
        <sz val="11"/>
        <rFont val="Calibri"/>
        <family val="2"/>
        <scheme val="minor"/>
      </rPr>
      <t>2+</t>
    </r>
  </si>
  <si>
    <r>
      <t>Li</t>
    </r>
    <r>
      <rPr>
        <vertAlign val="superscript"/>
        <sz val="11"/>
        <rFont val="Calibri"/>
        <family val="2"/>
        <scheme val="minor"/>
      </rPr>
      <t>+</t>
    </r>
  </si>
  <si>
    <r>
      <rPr>
        <sz val="11"/>
        <rFont val="Calibri"/>
        <family val="2"/>
        <scheme val="minor"/>
      </rPr>
      <t>Na</t>
    </r>
    <r>
      <rPr>
        <vertAlign val="superscript"/>
        <sz val="11"/>
        <rFont val="Calibri"/>
        <family val="2"/>
        <scheme val="minor"/>
      </rPr>
      <t>+</t>
    </r>
  </si>
  <si>
    <t>A1</t>
  </si>
  <si>
    <t>A2</t>
  </si>
  <si>
    <t>A3</t>
  </si>
  <si>
    <t>A4</t>
  </si>
  <si>
    <t>A5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</si>
  <si>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</si>
  <si>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</si>
  <si>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</si>
  <si>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</si>
  <si>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</si>
  <si>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</si>
  <si>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</si>
  <si>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</si>
  <si>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</si>
  <si>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D1</t>
  </si>
  <si>
    <t>D2</t>
  </si>
  <si>
    <t>D3</t>
  </si>
  <si>
    <t>D4</t>
  </si>
  <si>
    <t>D5</t>
  </si>
  <si>
    <t>A1s</t>
  </si>
  <si>
    <t>A2s</t>
  </si>
  <si>
    <t>A3s</t>
  </si>
  <si>
    <t>A4s</t>
  </si>
  <si>
    <t>A5s</t>
  </si>
  <si>
    <t>B1s</t>
  </si>
  <si>
    <t>B2s</t>
  </si>
  <si>
    <t>B3s</t>
  </si>
  <si>
    <t>B4s</t>
  </si>
  <si>
    <t>B5s</t>
  </si>
  <si>
    <t>C1s</t>
  </si>
  <si>
    <t>C3s</t>
  </si>
  <si>
    <t>C4s</t>
  </si>
  <si>
    <t>C5s</t>
  </si>
  <si>
    <t>D1s</t>
  </si>
  <si>
    <t>D2s</t>
  </si>
  <si>
    <t>D3s</t>
  </si>
  <si>
    <t>D4s</t>
  </si>
  <si>
    <t>D5s</t>
  </si>
  <si>
    <t>Acidity</t>
  </si>
  <si>
    <t>Alkalinity</t>
  </si>
  <si>
    <t>OH (mg/L)</t>
  </si>
  <si>
    <t>OH (meq/L)</t>
  </si>
  <si>
    <t>ITER (ICP-MS)</t>
  </si>
  <si>
    <t>ITER (IC)</t>
  </si>
  <si>
    <t>Ohio</t>
  </si>
  <si>
    <t>C2s</t>
  </si>
  <si>
    <t>SD</t>
  </si>
  <si>
    <t>&lt;0.15</t>
  </si>
  <si>
    <t>&lt;0.23</t>
  </si>
  <si>
    <t>&lt;0.06</t>
  </si>
  <si>
    <t>&lt;0.05</t>
  </si>
  <si>
    <r>
      <t>Cl</t>
    </r>
    <r>
      <rPr>
        <b/>
        <vertAlign val="superscript"/>
        <sz val="11"/>
        <color theme="1"/>
        <rFont val="Calibri"/>
        <family val="2"/>
        <scheme val="minor"/>
      </rPr>
      <t>-</t>
    </r>
  </si>
  <si>
    <r>
      <t>CaCO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(mg/L)</t>
    </r>
  </si>
  <si>
    <r>
      <t>NO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-</t>
    </r>
  </si>
  <si>
    <r>
      <t>PO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vertAlign val="superscript"/>
        <sz val="11"/>
        <color theme="1"/>
        <rFont val="Calibri"/>
        <family val="2"/>
        <scheme val="minor"/>
      </rPr>
      <t>3-</t>
    </r>
  </si>
  <si>
    <r>
      <t>SO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vertAlign val="superscript"/>
        <sz val="11"/>
        <color theme="1"/>
        <rFont val="Calibri"/>
        <family val="2"/>
        <scheme val="minor"/>
      </rPr>
      <t>2-</t>
    </r>
  </si>
  <si>
    <t>9Be</t>
  </si>
  <si>
    <t>11B</t>
  </si>
  <si>
    <t>27Al</t>
  </si>
  <si>
    <t>29Si</t>
  </si>
  <si>
    <t>48Ti</t>
  </si>
  <si>
    <t>51V</t>
  </si>
  <si>
    <t>52Cr</t>
  </si>
  <si>
    <t>55Mn</t>
  </si>
  <si>
    <t>57Fe</t>
  </si>
  <si>
    <t>59Co</t>
  </si>
  <si>
    <t>60Ni</t>
  </si>
  <si>
    <t>63Cu</t>
  </si>
  <si>
    <t>66Zn</t>
  </si>
  <si>
    <t>71Ga</t>
  </si>
  <si>
    <t>73Ge</t>
  </si>
  <si>
    <t>75As</t>
  </si>
  <si>
    <t>85Rb</t>
  </si>
  <si>
    <t>88Sr</t>
  </si>
  <si>
    <t>90Zr</t>
  </si>
  <si>
    <t>93Nb</t>
  </si>
  <si>
    <t>95Mo</t>
  </si>
  <si>
    <t>107Ag</t>
  </si>
  <si>
    <t>111Cd</t>
  </si>
  <si>
    <t>115In</t>
  </si>
  <si>
    <t>133Cs</t>
  </si>
  <si>
    <t>137Ba</t>
  </si>
  <si>
    <t>181Ta</t>
  </si>
  <si>
    <t>182W</t>
  </si>
  <si>
    <t>185Re</t>
  </si>
  <si>
    <t>205Tl</t>
  </si>
  <si>
    <t>208Pb</t>
  </si>
  <si>
    <t>209Bi</t>
  </si>
  <si>
    <t>238U</t>
  </si>
  <si>
    <t>&lt;0.13</t>
  </si>
  <si>
    <t>&lt;0.03</t>
  </si>
  <si>
    <t>&lt;0.01</t>
  </si>
  <si>
    <t>&lt;0.002</t>
  </si>
  <si>
    <t>&lt;0.003</t>
  </si>
  <si>
    <t>&lt;0.02</t>
  </si>
  <si>
    <t>&lt;0.001</t>
  </si>
  <si>
    <t>&lt;0.08</t>
  </si>
  <si>
    <t>µg/L</t>
  </si>
  <si>
    <t>HCO3 (mg/L)</t>
  </si>
  <si>
    <t>HCO3 (meq/L)</t>
  </si>
  <si>
    <t>Fe_Total</t>
  </si>
  <si>
    <t>Al_Total</t>
  </si>
  <si>
    <t>Mn_Total</t>
  </si>
  <si>
    <t>mg/L</t>
  </si>
  <si>
    <r>
      <t>NH</t>
    </r>
    <r>
      <rPr>
        <vertAlign val="subscript"/>
        <sz val="11"/>
        <rFont val="Calibri"/>
        <family val="2"/>
        <scheme val="minor"/>
      </rPr>
      <t>4</t>
    </r>
    <r>
      <rPr>
        <vertAlign val="superscript"/>
        <sz val="11"/>
        <rFont val="Calibri"/>
        <family val="2"/>
        <scheme val="minor"/>
      </rPr>
      <t>+</t>
    </r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</si>
  <si>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+</t>
    </r>
  </si>
  <si>
    <t>anions Ohio</t>
  </si>
  <si>
    <t>error anions oh</t>
  </si>
  <si>
    <t xml:space="preserve">Ohio </t>
  </si>
  <si>
    <t>Li+</t>
  </si>
  <si>
    <t>Na+</t>
  </si>
  <si>
    <t>NH4+</t>
  </si>
  <si>
    <t>K+</t>
  </si>
  <si>
    <t>Mg2+</t>
  </si>
  <si>
    <t>Ca2+</t>
  </si>
  <si>
    <t>F-</t>
  </si>
  <si>
    <t>Cl-</t>
  </si>
  <si>
    <t>Br-</t>
  </si>
  <si>
    <t>NO3-</t>
  </si>
  <si>
    <t>PO43-</t>
  </si>
  <si>
    <t>SO42-</t>
  </si>
  <si>
    <t>Fe</t>
  </si>
  <si>
    <t>Al</t>
  </si>
  <si>
    <t>Mn</t>
  </si>
  <si>
    <t>SO4</t>
  </si>
  <si>
    <t>York Clay Cation 1</t>
  </si>
  <si>
    <t>York Clay Cation 2</t>
  </si>
  <si>
    <t>York Clay Cation 3</t>
  </si>
  <si>
    <t>York Clay Cation 4</t>
  </si>
  <si>
    <t>York Clay Cation 5</t>
  </si>
  <si>
    <t>Sines Cation 1</t>
  </si>
  <si>
    <t>Sines Cation 2</t>
  </si>
  <si>
    <t>Sines Cation 3</t>
  </si>
  <si>
    <t>Sines Cation 4</t>
  </si>
  <si>
    <t>Sines Cation 5</t>
  </si>
  <si>
    <t>Essex Cation 1</t>
  </si>
  <si>
    <t>Essex Cation 2</t>
  </si>
  <si>
    <t>Essex Cation 3</t>
  </si>
  <si>
    <t>Essex Cation 4</t>
  </si>
  <si>
    <t>Essex Cation 5</t>
  </si>
  <si>
    <t>Pine Cation 1</t>
  </si>
  <si>
    <t>Pine Cation 2</t>
  </si>
  <si>
    <t>Pine Cation 3</t>
  </si>
  <si>
    <t>Pine Cation 4</t>
  </si>
  <si>
    <t>Pine Cation 5</t>
  </si>
  <si>
    <t>York Clay Sed 1</t>
  </si>
  <si>
    <t>York Clay Sed 2</t>
  </si>
  <si>
    <t>York Clay Sed 3</t>
  </si>
  <si>
    <t>York Clay Sed 4</t>
  </si>
  <si>
    <t>York Clay Sed 5</t>
  </si>
  <si>
    <t>Sines Sed 1</t>
  </si>
  <si>
    <t>Sines Sed 2</t>
  </si>
  <si>
    <t>Sines Sed 3</t>
  </si>
  <si>
    <t>Sines Sed 4</t>
  </si>
  <si>
    <t>Sines Sed 5</t>
  </si>
  <si>
    <t>Essex Sed 1</t>
  </si>
  <si>
    <t>Essex Sed 2</t>
  </si>
  <si>
    <t>Essex Sed 3</t>
  </si>
  <si>
    <t>Essex Sed 4</t>
  </si>
  <si>
    <t>Essex Sed 5</t>
  </si>
  <si>
    <t>Pine Sed 1</t>
  </si>
  <si>
    <t>Pine Sed 2</t>
  </si>
  <si>
    <t>Pine Sed 3</t>
  </si>
  <si>
    <t>Pine Sed 4</t>
  </si>
  <si>
    <t>Pine Sed 5</t>
  </si>
  <si>
    <t>York Clay and Mining No. 4</t>
  </si>
  <si>
    <t>Sines No. 2</t>
  </si>
  <si>
    <t>Esco No. 40</t>
  </si>
  <si>
    <t>Sunday Creek No. 9 and 12</t>
  </si>
  <si>
    <t>Fe Iron</t>
  </si>
  <si>
    <t>(ft)</t>
  </si>
  <si>
    <t>Ca</t>
  </si>
  <si>
    <t>Mg</t>
  </si>
  <si>
    <t>Si</t>
  </si>
  <si>
    <t>York Clay and Mining No. 4 (0 ft)</t>
  </si>
  <si>
    <t>Sines No. 2 (0 ft)</t>
  </si>
  <si>
    <t>Esco No. 40 Mine (0 ft)</t>
  </si>
  <si>
    <t>Sunday Creek No. 9 and 12 (0 ft)</t>
  </si>
  <si>
    <t>Na</t>
  </si>
  <si>
    <t>K</t>
  </si>
  <si>
    <t>Ni</t>
  </si>
  <si>
    <t>Zn</t>
  </si>
  <si>
    <t>Cu</t>
  </si>
  <si>
    <t>Co</t>
  </si>
  <si>
    <t>NO3</t>
  </si>
  <si>
    <t>PO4</t>
  </si>
  <si>
    <t>Cond</t>
  </si>
  <si>
    <t>TDS</t>
  </si>
  <si>
    <t>ORP</t>
  </si>
  <si>
    <t>pH</t>
  </si>
  <si>
    <t>Temp</t>
  </si>
  <si>
    <t>DO</t>
  </si>
  <si>
    <t>Fe2+</t>
  </si>
  <si>
    <t>Essex Ave Vel</t>
  </si>
  <si>
    <t>As</t>
  </si>
  <si>
    <t>Cl</t>
  </si>
  <si>
    <t>Velocity</t>
  </si>
  <si>
    <t>Total Fe</t>
  </si>
  <si>
    <t>Total Al</t>
  </si>
  <si>
    <t>YK</t>
  </si>
  <si>
    <t>Pine</t>
  </si>
  <si>
    <t>Essex</t>
  </si>
  <si>
    <t>Sines</t>
  </si>
  <si>
    <t>m/s</t>
  </si>
  <si>
    <t>Total Mn</t>
  </si>
  <si>
    <t>Total SO4</t>
  </si>
  <si>
    <t>Total NO3</t>
  </si>
  <si>
    <t>Discharges</t>
  </si>
  <si>
    <t>Distance(m)</t>
  </si>
  <si>
    <t>m3/m</t>
  </si>
  <si>
    <t>SO4_conc</t>
  </si>
  <si>
    <t>Fe_conc</t>
  </si>
  <si>
    <t>Al_conc</t>
  </si>
  <si>
    <t>Mn_conc</t>
  </si>
  <si>
    <t>NO3_conc</t>
  </si>
  <si>
    <t>Discharge (m3/s)</t>
  </si>
  <si>
    <t>m3/s</t>
  </si>
  <si>
    <t>l/s</t>
  </si>
  <si>
    <t>kg/day</t>
  </si>
  <si>
    <t>Fe load</t>
  </si>
  <si>
    <t>Al load</t>
  </si>
  <si>
    <t>Mn load</t>
  </si>
  <si>
    <t>SO4 load</t>
  </si>
  <si>
    <t>NO3 load</t>
  </si>
  <si>
    <t>York Clay</t>
  </si>
  <si>
    <t>Conductivity</t>
  </si>
  <si>
    <t>Total Dissolved Solids</t>
  </si>
  <si>
    <t>Alunite</t>
  </si>
  <si>
    <t>Barite</t>
  </si>
  <si>
    <t>Basaluminite</t>
  </si>
  <si>
    <t>Fe(OH)3(a)</t>
  </si>
  <si>
    <t>Gibbsite</t>
  </si>
  <si>
    <t>Goethite</t>
  </si>
  <si>
    <t>Jarosite (ss)</t>
  </si>
  <si>
    <t>Jarosite (K)</t>
  </si>
  <si>
    <t>Jarosite (Na)</t>
  </si>
  <si>
    <t>Jarosite (H)</t>
  </si>
  <si>
    <t>Pyrolusite</t>
  </si>
  <si>
    <t>Al(OH)3(a)</t>
  </si>
  <si>
    <t>Jurbanite</t>
  </si>
  <si>
    <t xml:space="preserve">    </t>
  </si>
  <si>
    <t>Fe in sed</t>
  </si>
  <si>
    <t>Al in sed</t>
  </si>
  <si>
    <t>Mn in sed</t>
  </si>
  <si>
    <t>SO4 in sed</t>
  </si>
  <si>
    <t>NO3 in sed</t>
  </si>
  <si>
    <t>Esco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</si>
</sst>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0"/>
    <numFmt numFmtId="167" formatCode="0.000000"/>
    <numFmt numFmtId="168" formatCode="0.0000"/>
  </numFmts>
  <fonts count="34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11"/>
      <name val="Calibri"/>
      <family val="2"/>
    </font>
    <font>
      <sz val="11"/>
      <color rgb="FF366092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18" fillId="0" borderId="0" applyNumberFormat="0" applyFill="0" applyBorder="0" applyAlignment="0" applyProtection="0"/>
    <xf numFmtId="0" fontId="19" fillId="0" borderId="47" applyNumberFormat="0" applyFill="0" applyAlignment="0" applyProtection="0"/>
    <xf numFmtId="0" fontId="20" fillId="0" borderId="48" applyNumberFormat="0" applyFill="0" applyAlignment="0" applyProtection="0"/>
    <xf numFmtId="0" fontId="21" fillId="0" borderId="49" applyNumberFormat="0" applyFill="0" applyAlignment="0" applyProtection="0"/>
    <xf numFmtId="0" fontId="21" fillId="0" borderId="0" applyNumberFormat="0" applyFill="0" applyBorder="0" applyAlignment="0" applyProtection="0"/>
    <xf numFmtId="0" fontId="22" fillId="19" borderId="0" applyNumberFormat="0" applyBorder="0" applyAlignment="0" applyProtection="0"/>
    <xf numFmtId="0" fontId="23" fillId="20" borderId="0" applyNumberFormat="0" applyBorder="0" applyAlignment="0" applyProtection="0"/>
    <xf numFmtId="0" fontId="24" fillId="22" borderId="50" applyNumberFormat="0" applyAlignment="0" applyProtection="0"/>
    <xf numFmtId="0" fontId="25" fillId="23" borderId="51" applyNumberFormat="0" applyAlignment="0" applyProtection="0"/>
    <xf numFmtId="0" fontId="26" fillId="23" borderId="50" applyNumberFormat="0" applyAlignment="0" applyProtection="0"/>
    <xf numFmtId="0" fontId="27" fillId="0" borderId="52" applyNumberFormat="0" applyFill="0" applyAlignment="0" applyProtection="0"/>
    <xf numFmtId="0" fontId="28" fillId="24" borderId="53" applyNumberFormat="0" applyAlignment="0" applyProtection="0"/>
    <xf numFmtId="0" fontId="29" fillId="0" borderId="0" applyNumberFormat="0" applyFill="0" applyBorder="0" applyAlignment="0" applyProtection="0"/>
    <xf numFmtId="0" fontId="17" fillId="25" borderId="54" applyNumberFormat="0" applyFont="0" applyAlignment="0" applyProtection="0"/>
    <xf numFmtId="0" fontId="30" fillId="0" borderId="0" applyNumberFormat="0" applyFill="0" applyBorder="0" applyAlignment="0" applyProtection="0"/>
    <xf numFmtId="0" fontId="7" fillId="0" borderId="55" applyNumberFormat="0" applyFill="0" applyAlignment="0" applyProtection="0"/>
    <xf numFmtId="0" fontId="31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31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31" fillId="34" borderId="0" applyNumberFormat="0" applyBorder="0" applyAlignment="0" applyProtection="0"/>
    <xf numFmtId="0" fontId="17" fillId="35" borderId="0" applyNumberFormat="0" applyBorder="0" applyAlignment="0" applyProtection="0"/>
    <xf numFmtId="0" fontId="17" fillId="36" borderId="0" applyNumberFormat="0" applyBorder="0" applyAlignment="0" applyProtection="0"/>
    <xf numFmtId="0" fontId="31" fillId="38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31" fillId="42" borderId="0" applyNumberFormat="0" applyBorder="0" applyAlignment="0" applyProtection="0"/>
    <xf numFmtId="0" fontId="17" fillId="43" borderId="0" applyNumberFormat="0" applyBorder="0" applyAlignment="0" applyProtection="0"/>
    <xf numFmtId="0" fontId="17" fillId="44" borderId="0" applyNumberFormat="0" applyBorder="0" applyAlignment="0" applyProtection="0"/>
    <xf numFmtId="0" fontId="31" fillId="46" borderId="0" applyNumberFormat="0" applyBorder="0" applyAlignment="0" applyProtection="0"/>
    <xf numFmtId="0" fontId="17" fillId="47" borderId="0" applyNumberFormat="0" applyBorder="0" applyAlignment="0" applyProtection="0"/>
    <xf numFmtId="0" fontId="17" fillId="48" borderId="0" applyNumberFormat="0" applyBorder="0" applyAlignment="0" applyProtection="0"/>
    <xf numFmtId="0" fontId="32" fillId="21" borderId="0" applyNumberFormat="0" applyBorder="0" applyAlignment="0" applyProtection="0"/>
    <xf numFmtId="0" fontId="31" fillId="29" borderId="0" applyNumberFormat="0" applyBorder="0" applyAlignment="0" applyProtection="0"/>
    <xf numFmtId="0" fontId="31" fillId="33" borderId="0" applyNumberFormat="0" applyBorder="0" applyAlignment="0" applyProtection="0"/>
    <xf numFmtId="0" fontId="31" fillId="37" borderId="0" applyNumberFormat="0" applyBorder="0" applyAlignment="0" applyProtection="0"/>
    <xf numFmtId="0" fontId="31" fillId="41" borderId="0" applyNumberFormat="0" applyBorder="0" applyAlignment="0" applyProtection="0"/>
    <xf numFmtId="0" fontId="31" fillId="45" borderId="0" applyNumberFormat="0" applyBorder="0" applyAlignment="0" applyProtection="0"/>
    <xf numFmtId="0" fontId="31" fillId="49" borderId="0" applyNumberFormat="0" applyBorder="0" applyAlignment="0" applyProtection="0"/>
  </cellStyleXfs>
  <cellXfs count="73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0" borderId="7" xfId="0" applyNumberFormat="1" applyBorder="1" applyAlignment="1">
      <alignment horizontal="right"/>
    </xf>
    <xf numFmtId="2" fontId="3" fillId="0" borderId="7" xfId="0" applyNumberFormat="1" applyFont="1" applyBorder="1" applyAlignment="1">
      <alignment horizontal="right"/>
    </xf>
    <xf numFmtId="2" fontId="3" fillId="0" borderId="8" xfId="0" applyNumberFormat="1" applyFont="1" applyBorder="1" applyAlignment="1">
      <alignment horizontal="right"/>
    </xf>
    <xf numFmtId="2" fontId="0" fillId="0" borderId="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3" fillId="0" borderId="1" xfId="0" applyNumberFormat="1" applyFont="1" applyBorder="1" applyAlignment="1">
      <alignment horizontal="right"/>
    </xf>
    <xf numFmtId="2" fontId="3" fillId="0" borderId="10" xfId="0" applyNumberFormat="1" applyFon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" fontId="0" fillId="0" borderId="12" xfId="0" applyNumberFormat="1" applyBorder="1" applyAlignment="1">
      <alignment horizontal="right"/>
    </xf>
    <xf numFmtId="165" fontId="0" fillId="0" borderId="9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7" xfId="0" applyNumberFormat="1" applyBorder="1"/>
    <xf numFmtId="2" fontId="0" fillId="0" borderId="1" xfId="0" applyNumberFormat="1" applyBorder="1"/>
    <xf numFmtId="2" fontId="0" fillId="0" borderId="12" xfId="0" applyNumberFormat="1" applyBorder="1"/>
    <xf numFmtId="164" fontId="0" fillId="0" borderId="7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64" fontId="0" fillId="0" borderId="7" xfId="0" applyNumberFormat="1" applyBorder="1"/>
    <xf numFmtId="164" fontId="0" fillId="0" borderId="12" xfId="0" applyNumberFormat="1" applyBorder="1"/>
    <xf numFmtId="1" fontId="0" fillId="0" borderId="1" xfId="0" applyNumberFormat="1" applyBorder="1" applyAlignment="1">
      <alignment horizontal="right"/>
    </xf>
    <xf numFmtId="1" fontId="0" fillId="0" borderId="12" xfId="0" applyNumberFormat="1" applyBorder="1" applyAlignment="1">
      <alignment horizontal="right"/>
    </xf>
    <xf numFmtId="1" fontId="0" fillId="0" borderId="1" xfId="0" applyNumberFormat="1" applyBorder="1"/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2" fontId="0" fillId="0" borderId="13" xfId="0" applyNumberFormat="1" applyBorder="1" applyAlignment="1">
      <alignment horizontal="right"/>
    </xf>
    <xf numFmtId="2" fontId="0" fillId="0" borderId="8" xfId="0" applyNumberFormat="1" applyBorder="1"/>
    <xf numFmtId="2" fontId="0" fillId="0" borderId="10" xfId="0" applyNumberFormat="1" applyBorder="1"/>
    <xf numFmtId="2" fontId="0" fillId="0" borderId="13" xfId="0" applyNumberFormat="1" applyBorder="1"/>
    <xf numFmtId="164" fontId="0" fillId="0" borderId="6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3" fillId="0" borderId="9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164" fontId="3" fillId="0" borderId="10" xfId="0" applyNumberFormat="1" applyFont="1" applyBorder="1" applyAlignment="1">
      <alignment horizontal="right"/>
    </xf>
    <xf numFmtId="2" fontId="3" fillId="6" borderId="7" xfId="0" applyNumberFormat="1" applyFont="1" applyFill="1" applyBorder="1" applyAlignment="1">
      <alignment horizontal="right"/>
    </xf>
    <xf numFmtId="2" fontId="3" fillId="6" borderId="8" xfId="0" applyNumberFormat="1" applyFont="1" applyFill="1" applyBorder="1" applyAlignment="1">
      <alignment horizontal="right"/>
    </xf>
    <xf numFmtId="2" fontId="3" fillId="6" borderId="1" xfId="0" applyNumberFormat="1" applyFont="1" applyFill="1" applyBorder="1" applyAlignment="1">
      <alignment horizontal="right"/>
    </xf>
    <xf numFmtId="2" fontId="3" fillId="6" borderId="10" xfId="0" applyNumberFormat="1" applyFont="1" applyFill="1" applyBorder="1" applyAlignment="1">
      <alignment horizontal="right"/>
    </xf>
    <xf numFmtId="2" fontId="3" fillId="0" borderId="6" xfId="0" applyNumberFormat="1" applyFont="1" applyBorder="1" applyAlignment="1">
      <alignment horizontal="right"/>
    </xf>
    <xf numFmtId="11" fontId="3" fillId="0" borderId="6" xfId="0" applyNumberFormat="1" applyFont="1" applyBorder="1" applyAlignment="1">
      <alignment horizontal="right"/>
    </xf>
    <xf numFmtId="11" fontId="3" fillId="0" borderId="7" xfId="0" applyNumberFormat="1" applyFont="1" applyBorder="1" applyAlignment="1">
      <alignment horizontal="right"/>
    </xf>
    <xf numFmtId="2" fontId="3" fillId="0" borderId="9" xfId="0" applyNumberFormat="1" applyFont="1" applyBorder="1" applyAlignment="1">
      <alignment horizontal="right"/>
    </xf>
    <xf numFmtId="11" fontId="0" fillId="0" borderId="9" xfId="0" applyNumberFormat="1" applyBorder="1" applyAlignment="1">
      <alignment horizontal="right"/>
    </xf>
    <xf numFmtId="11" fontId="3" fillId="0" borderId="9" xfId="0" applyNumberFormat="1" applyFont="1" applyBorder="1" applyAlignment="1">
      <alignment horizontal="right"/>
    </xf>
    <xf numFmtId="11" fontId="3" fillId="0" borderId="1" xfId="0" applyNumberFormat="1" applyFont="1" applyBorder="1" applyAlignment="1">
      <alignment horizontal="right"/>
    </xf>
    <xf numFmtId="2" fontId="0" fillId="0" borderId="11" xfId="0" applyNumberFormat="1" applyBorder="1" applyAlignment="1">
      <alignment horizontal="right"/>
    </xf>
    <xf numFmtId="11" fontId="0" fillId="0" borderId="11" xfId="0" applyNumberFormat="1" applyBorder="1" applyAlignment="1">
      <alignment horizontal="right"/>
    </xf>
    <xf numFmtId="0" fontId="0" fillId="0" borderId="12" xfId="0" applyBorder="1" applyAlignment="1">
      <alignment horizontal="right"/>
    </xf>
    <xf numFmtId="11" fontId="0" fillId="0" borderId="12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2" fontId="0" fillId="0" borderId="6" xfId="0" applyNumberFormat="1" applyBorder="1" applyAlignment="1">
      <alignment horizontal="right"/>
    </xf>
    <xf numFmtId="2" fontId="0" fillId="0" borderId="9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11" fontId="0" fillId="0" borderId="1" xfId="0" applyNumberFormat="1" applyBorder="1" applyAlignment="1">
      <alignment horizontal="right"/>
    </xf>
    <xf numFmtId="2" fontId="3" fillId="6" borderId="6" xfId="0" applyNumberFormat="1" applyFont="1" applyFill="1" applyBorder="1" applyAlignment="1">
      <alignment horizontal="right"/>
    </xf>
    <xf numFmtId="2" fontId="3" fillId="6" borderId="9" xfId="0" applyNumberFormat="1" applyFont="1" applyFill="1" applyBorder="1" applyAlignment="1">
      <alignment horizontal="right"/>
    </xf>
    <xf numFmtId="0" fontId="0" fillId="6" borderId="11" xfId="0" applyFill="1" applyBorder="1" applyAlignment="1">
      <alignment horizontal="right"/>
    </xf>
    <xf numFmtId="0" fontId="0" fillId="6" borderId="12" xfId="0" applyFill="1" applyBorder="1" applyAlignment="1">
      <alignment horizontal="right"/>
    </xf>
    <xf numFmtId="0" fontId="0" fillId="6" borderId="13" xfId="0" applyFill="1" applyBorder="1" applyAlignment="1">
      <alignment horizontal="right"/>
    </xf>
    <xf numFmtId="165" fontId="0" fillId="0" borderId="6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11" xfId="0" applyNumberFormat="1" applyBorder="1" applyAlignment="1">
      <alignment horizontal="right"/>
    </xf>
    <xf numFmtId="0" fontId="0" fillId="6" borderId="6" xfId="0" applyFill="1" applyBorder="1" applyAlignment="1">
      <alignment horizontal="right"/>
    </xf>
    <xf numFmtId="0" fontId="0" fillId="6" borderId="7" xfId="0" applyFill="1" applyBorder="1" applyAlignment="1">
      <alignment horizontal="right"/>
    </xf>
    <xf numFmtId="0" fontId="0" fillId="6" borderId="8" xfId="0" applyFill="1" applyBorder="1" applyAlignment="1">
      <alignment horizontal="right"/>
    </xf>
    <xf numFmtId="0" fontId="0" fillId="6" borderId="9" xfId="0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0" fontId="0" fillId="6" borderId="10" xfId="0" applyFill="1" applyBorder="1" applyAlignment="1">
      <alignment horizontal="right"/>
    </xf>
    <xf numFmtId="164" fontId="0" fillId="6" borderId="6" xfId="0" applyNumberFormat="1" applyFill="1" applyBorder="1" applyAlignment="1">
      <alignment horizontal="right"/>
    </xf>
    <xf numFmtId="164" fontId="0" fillId="6" borderId="7" xfId="0" applyNumberFormat="1" applyFill="1" applyBorder="1" applyAlignment="1">
      <alignment horizontal="right"/>
    </xf>
    <xf numFmtId="164" fontId="0" fillId="6" borderId="8" xfId="0" applyNumberFormat="1" applyFill="1" applyBorder="1" applyAlignment="1">
      <alignment horizontal="right"/>
    </xf>
    <xf numFmtId="164" fontId="0" fillId="6" borderId="9" xfId="0" applyNumberFormat="1" applyFill="1" applyBorder="1" applyAlignment="1">
      <alignment horizontal="right"/>
    </xf>
    <xf numFmtId="164" fontId="0" fillId="6" borderId="1" xfId="0" applyNumberFormat="1" applyFill="1" applyBorder="1" applyAlignment="1">
      <alignment horizontal="right"/>
    </xf>
    <xf numFmtId="164" fontId="0" fillId="6" borderId="10" xfId="0" applyNumberFormat="1" applyFill="1" applyBorder="1" applyAlignment="1">
      <alignment horizontal="right"/>
    </xf>
    <xf numFmtId="164" fontId="3" fillId="6" borderId="9" xfId="0" applyNumberFormat="1" applyFont="1" applyFill="1" applyBorder="1" applyAlignment="1">
      <alignment horizontal="right"/>
    </xf>
    <xf numFmtId="164" fontId="3" fillId="6" borderId="1" xfId="0" applyNumberFormat="1" applyFont="1" applyFill="1" applyBorder="1" applyAlignment="1">
      <alignment horizontal="right"/>
    </xf>
    <xf numFmtId="164" fontId="3" fillId="6" borderId="10" xfId="0" applyNumberFormat="1" applyFont="1" applyFill="1" applyBorder="1" applyAlignment="1">
      <alignment horizontal="right"/>
    </xf>
    <xf numFmtId="164" fontId="0" fillId="6" borderId="11" xfId="0" applyNumberFormat="1" applyFill="1" applyBorder="1" applyAlignment="1">
      <alignment horizontal="right"/>
    </xf>
    <xf numFmtId="164" fontId="0" fillId="6" borderId="12" xfId="0" applyNumberFormat="1" applyFill="1" applyBorder="1" applyAlignment="1">
      <alignment horizontal="right"/>
    </xf>
    <xf numFmtId="164" fontId="0" fillId="6" borderId="13" xfId="0" applyNumberFormat="1" applyFill="1" applyBorder="1" applyAlignment="1">
      <alignment horizontal="right"/>
    </xf>
    <xf numFmtId="2" fontId="3" fillId="6" borderId="17" xfId="0" applyNumberFormat="1" applyFont="1" applyFill="1" applyBorder="1" applyAlignment="1">
      <alignment horizontal="right"/>
    </xf>
    <xf numFmtId="2" fontId="3" fillId="6" borderId="18" xfId="0" applyNumberFormat="1" applyFont="1" applyFill="1" applyBorder="1" applyAlignment="1">
      <alignment horizontal="right"/>
    </xf>
    <xf numFmtId="0" fontId="0" fillId="6" borderId="19" xfId="0" applyFill="1" applyBorder="1" applyAlignment="1">
      <alignment horizontal="right"/>
    </xf>
    <xf numFmtId="0" fontId="0" fillId="6" borderId="17" xfId="0" applyFill="1" applyBorder="1" applyAlignment="1">
      <alignment horizontal="right"/>
    </xf>
    <xf numFmtId="0" fontId="0" fillId="6" borderId="18" xfId="0" applyFill="1" applyBorder="1" applyAlignment="1">
      <alignment horizontal="right"/>
    </xf>
    <xf numFmtId="2" fontId="0" fillId="0" borderId="23" xfId="0" applyNumberFormat="1" applyBorder="1" applyAlignment="1">
      <alignment horizontal="right"/>
    </xf>
    <xf numFmtId="2" fontId="0" fillId="0" borderId="22" xfId="0" applyNumberFormat="1" applyBorder="1" applyAlignment="1">
      <alignment horizontal="right"/>
    </xf>
    <xf numFmtId="2" fontId="3" fillId="6" borderId="24" xfId="0" applyNumberFormat="1" applyFont="1" applyFill="1" applyBorder="1" applyAlignment="1">
      <alignment horizontal="right"/>
    </xf>
    <xf numFmtId="2" fontId="3" fillId="0" borderId="6" xfId="0" applyNumberFormat="1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2" fontId="3" fillId="0" borderId="17" xfId="0" applyNumberFormat="1" applyFont="1" applyFill="1" applyBorder="1" applyAlignment="1">
      <alignment horizontal="right"/>
    </xf>
    <xf numFmtId="2" fontId="3" fillId="0" borderId="18" xfId="0" applyNumberFormat="1" applyFont="1" applyFill="1" applyBorder="1" applyAlignment="1">
      <alignment horizontal="right"/>
    </xf>
    <xf numFmtId="164" fontId="3" fillId="0" borderId="17" xfId="0" applyNumberFormat="1" applyFont="1" applyFill="1" applyBorder="1" applyAlignment="1">
      <alignment horizontal="right"/>
    </xf>
    <xf numFmtId="164" fontId="3" fillId="0" borderId="18" xfId="0" applyNumberFormat="1" applyFont="1" applyFill="1" applyBorder="1" applyAlignment="1">
      <alignment horizontal="right"/>
    </xf>
    <xf numFmtId="1" fontId="3" fillId="0" borderId="17" xfId="0" applyNumberFormat="1" applyFont="1" applyFill="1" applyBorder="1" applyAlignment="1">
      <alignment horizontal="right"/>
    </xf>
    <xf numFmtId="1" fontId="3" fillId="0" borderId="18" xfId="0" applyNumberFormat="1" applyFont="1" applyFill="1" applyBorder="1" applyAlignment="1">
      <alignment horizontal="right"/>
    </xf>
    <xf numFmtId="0" fontId="0" fillId="0" borderId="25" xfId="0" applyBorder="1" applyAlignment="1">
      <alignment horizontal="center"/>
    </xf>
    <xf numFmtId="2" fontId="0" fillId="0" borderId="27" xfId="0" applyNumberFormat="1" applyBorder="1" applyAlignment="1">
      <alignment horizontal="right"/>
    </xf>
    <xf numFmtId="0" fontId="0" fillId="6" borderId="26" xfId="0" applyFill="1" applyBorder="1" applyAlignment="1">
      <alignment horizontal="right"/>
    </xf>
    <xf numFmtId="0" fontId="0" fillId="6" borderId="27" xfId="0" applyFill="1" applyBorder="1" applyAlignment="1">
      <alignment horizontal="right"/>
    </xf>
    <xf numFmtId="0" fontId="0" fillId="6" borderId="28" xfId="0" applyFill="1" applyBorder="1" applyAlignment="1">
      <alignment horizontal="right"/>
    </xf>
    <xf numFmtId="0" fontId="0" fillId="6" borderId="24" xfId="0" applyFill="1" applyBorder="1" applyAlignment="1">
      <alignment horizontal="right"/>
    </xf>
    <xf numFmtId="2" fontId="0" fillId="0" borderId="28" xfId="0" applyNumberFormat="1" applyBorder="1" applyAlignment="1">
      <alignment horizontal="right"/>
    </xf>
    <xf numFmtId="164" fontId="0" fillId="6" borderId="26" xfId="0" applyNumberFormat="1" applyFill="1" applyBorder="1" applyAlignment="1">
      <alignment horizontal="right"/>
    </xf>
    <xf numFmtId="164" fontId="0" fillId="6" borderId="27" xfId="0" applyNumberFormat="1" applyFill="1" applyBorder="1" applyAlignment="1">
      <alignment horizontal="right"/>
    </xf>
    <xf numFmtId="164" fontId="0" fillId="6" borderId="28" xfId="0" applyNumberFormat="1" applyFill="1" applyBorder="1" applyAlignment="1">
      <alignment horizontal="right"/>
    </xf>
    <xf numFmtId="0" fontId="0" fillId="0" borderId="0" xfId="0" applyBorder="1" applyAlignment="1">
      <alignment horizontal="center"/>
    </xf>
    <xf numFmtId="1" fontId="0" fillId="0" borderId="27" xfId="0" applyNumberFormat="1" applyBorder="1" applyAlignment="1">
      <alignment horizontal="right"/>
    </xf>
    <xf numFmtId="164" fontId="0" fillId="0" borderId="27" xfId="0" applyNumberFormat="1" applyBorder="1" applyAlignment="1">
      <alignment horizontal="right"/>
    </xf>
    <xf numFmtId="2" fontId="3" fillId="0" borderId="26" xfId="0" applyNumberFormat="1" applyFont="1" applyBorder="1" applyAlignment="1">
      <alignment horizontal="right"/>
    </xf>
    <xf numFmtId="2" fontId="3" fillId="0" borderId="27" xfId="0" applyNumberFormat="1" applyFont="1" applyBorder="1" applyAlignment="1">
      <alignment horizontal="right"/>
    </xf>
    <xf numFmtId="2" fontId="3" fillId="0" borderId="26" xfId="0" applyNumberFormat="1" applyFont="1" applyBorder="1" applyAlignment="1">
      <alignment horizontal="center"/>
    </xf>
    <xf numFmtId="2" fontId="3" fillId="0" borderId="28" xfId="0" applyNumberFormat="1" applyFont="1" applyBorder="1" applyAlignment="1">
      <alignment horizontal="center"/>
    </xf>
    <xf numFmtId="164" fontId="3" fillId="0" borderId="24" xfId="0" applyNumberFormat="1" applyFont="1" applyFill="1" applyBorder="1" applyAlignment="1">
      <alignment horizontal="right"/>
    </xf>
    <xf numFmtId="2" fontId="3" fillId="0" borderId="24" xfId="0" applyNumberFormat="1" applyFont="1" applyFill="1" applyBorder="1" applyAlignment="1">
      <alignment horizontal="right"/>
    </xf>
    <xf numFmtId="1" fontId="3" fillId="0" borderId="24" xfId="0" applyNumberFormat="1" applyFont="1" applyFill="1" applyBorder="1" applyAlignment="1">
      <alignment horizontal="right"/>
    </xf>
    <xf numFmtId="11" fontId="3" fillId="0" borderId="26" xfId="0" applyNumberFormat="1" applyFont="1" applyBorder="1" applyAlignment="1">
      <alignment horizontal="right"/>
    </xf>
    <xf numFmtId="11" fontId="3" fillId="0" borderId="27" xfId="0" applyNumberFormat="1" applyFont="1" applyBorder="1" applyAlignment="1">
      <alignment horizontal="right"/>
    </xf>
    <xf numFmtId="0" fontId="3" fillId="4" borderId="6" xfId="0" applyNumberFormat="1" applyFont="1" applyFill="1" applyBorder="1" applyAlignment="1" applyProtection="1">
      <alignment horizontal="center" vertical="center"/>
    </xf>
    <xf numFmtId="0" fontId="3" fillId="4" borderId="7" xfId="0" applyNumberFormat="1" applyFont="1" applyFill="1" applyBorder="1" applyAlignment="1" applyProtection="1">
      <alignment horizontal="center" vertical="center"/>
    </xf>
    <xf numFmtId="0" fontId="3" fillId="4" borderId="8" xfId="0" applyNumberFormat="1" applyFont="1" applyFill="1" applyBorder="1" applyAlignment="1" applyProtection="1">
      <alignment horizontal="center" vertical="center"/>
    </xf>
    <xf numFmtId="0" fontId="3" fillId="4" borderId="11" xfId="0" applyNumberFormat="1" applyFont="1" applyFill="1" applyBorder="1" applyAlignment="1" applyProtection="1">
      <alignment horizontal="center" vertical="center"/>
    </xf>
    <xf numFmtId="0" fontId="3" fillId="4" borderId="12" xfId="0" applyNumberFormat="1" applyFont="1" applyFill="1" applyBorder="1" applyAlignment="1" applyProtection="1">
      <alignment horizontal="center" vertical="center"/>
    </xf>
    <xf numFmtId="0" fontId="3" fillId="4" borderId="13" xfId="0" applyNumberFormat="1" applyFont="1" applyFill="1" applyBorder="1" applyAlignment="1" applyProtection="1">
      <alignment horizontal="center" vertical="center"/>
    </xf>
    <xf numFmtId="0" fontId="0" fillId="5" borderId="6" xfId="0" applyNumberFormat="1" applyFont="1" applyFill="1" applyBorder="1" applyAlignment="1" applyProtection="1">
      <alignment horizontal="center" vertical="center"/>
    </xf>
    <xf numFmtId="0" fontId="0" fillId="5" borderId="7" xfId="0" applyNumberFormat="1" applyFont="1" applyFill="1" applyBorder="1" applyAlignment="1" applyProtection="1">
      <alignment horizontal="center" vertical="center"/>
    </xf>
    <xf numFmtId="0" fontId="0" fillId="5" borderId="8" xfId="0" applyNumberFormat="1" applyFont="1" applyFill="1" applyBorder="1" applyAlignment="1" applyProtection="1">
      <alignment horizontal="center" vertical="center"/>
    </xf>
    <xf numFmtId="0" fontId="0" fillId="5" borderId="11" xfId="0" applyNumberFormat="1" applyFont="1" applyFill="1" applyBorder="1" applyAlignment="1" applyProtection="1">
      <alignment horizontal="center" vertical="center"/>
    </xf>
    <xf numFmtId="0" fontId="0" fillId="5" borderId="12" xfId="0" applyNumberFormat="1" applyFont="1" applyFill="1" applyBorder="1" applyAlignment="1" applyProtection="1">
      <alignment horizontal="center" vertical="center"/>
    </xf>
    <xf numFmtId="0" fontId="0" fillId="5" borderId="13" xfId="0" applyNumberFormat="1" applyFont="1" applyFill="1" applyBorder="1" applyAlignment="1" applyProtection="1">
      <alignment horizontal="center" vertical="center"/>
    </xf>
    <xf numFmtId="0" fontId="0" fillId="4" borderId="7" xfId="0" applyNumberFormat="1" applyFont="1" applyFill="1" applyBorder="1" applyAlignment="1" applyProtection="1">
      <alignment horizontal="center" vertical="center"/>
    </xf>
    <xf numFmtId="0" fontId="0" fillId="4" borderId="8" xfId="0" applyNumberFormat="1" applyFont="1" applyFill="1" applyBorder="1" applyAlignment="1" applyProtection="1">
      <alignment horizontal="center" vertical="center"/>
    </xf>
    <xf numFmtId="0" fontId="0" fillId="4" borderId="12" xfId="0" applyNumberFormat="1" applyFont="1" applyFill="1" applyBorder="1" applyAlignment="1" applyProtection="1">
      <alignment horizontal="center" vertical="center"/>
    </xf>
    <xf numFmtId="0" fontId="0" fillId="4" borderId="13" xfId="0" applyNumberFormat="1" applyFont="1" applyFill="1" applyBorder="1" applyAlignment="1" applyProtection="1">
      <alignment horizontal="center" vertical="center"/>
    </xf>
    <xf numFmtId="0" fontId="0" fillId="5" borderId="21" xfId="0" applyNumberFormat="1" applyFont="1" applyFill="1" applyBorder="1" applyAlignment="1" applyProtection="1">
      <alignment horizontal="center" vertical="center"/>
    </xf>
    <xf numFmtId="0" fontId="0" fillId="5" borderId="23" xfId="0" applyNumberFormat="1" applyFont="1" applyFill="1" applyBorder="1" applyAlignment="1" applyProtection="1">
      <alignment horizontal="center" vertical="center"/>
    </xf>
    <xf numFmtId="2" fontId="3" fillId="0" borderId="28" xfId="0" applyNumberFormat="1" applyFont="1" applyBorder="1" applyAlignment="1">
      <alignment horizontal="right"/>
    </xf>
    <xf numFmtId="164" fontId="0" fillId="0" borderId="26" xfId="0" applyNumberFormat="1" applyBorder="1" applyAlignment="1">
      <alignment horizontal="right"/>
    </xf>
    <xf numFmtId="164" fontId="0" fillId="0" borderId="28" xfId="0" applyNumberFormat="1" applyBorder="1" applyAlignment="1">
      <alignment horizontal="right"/>
    </xf>
    <xf numFmtId="2" fontId="3" fillId="6" borderId="32" xfId="0" applyNumberFormat="1" applyFont="1" applyFill="1" applyBorder="1" applyAlignment="1">
      <alignment horizontal="right"/>
    </xf>
    <xf numFmtId="2" fontId="3" fillId="6" borderId="35" xfId="0" applyNumberFormat="1" applyFont="1" applyFill="1" applyBorder="1" applyAlignment="1">
      <alignment horizontal="right"/>
    </xf>
    <xf numFmtId="0" fontId="0" fillId="6" borderId="33" xfId="0" applyFill="1" applyBorder="1" applyAlignment="1">
      <alignment horizontal="right"/>
    </xf>
    <xf numFmtId="0" fontId="0" fillId="6" borderId="32" xfId="0" applyFill="1" applyBorder="1" applyAlignment="1">
      <alignment horizontal="right"/>
    </xf>
    <xf numFmtId="0" fontId="0" fillId="6" borderId="34" xfId="0" applyFill="1" applyBorder="1" applyAlignment="1">
      <alignment horizontal="right"/>
    </xf>
    <xf numFmtId="0" fontId="0" fillId="6" borderId="35" xfId="0" applyFill="1" applyBorder="1" applyAlignment="1">
      <alignment horizontal="right"/>
    </xf>
    <xf numFmtId="0" fontId="0" fillId="5" borderId="17" xfId="0" applyNumberFormat="1" applyFont="1" applyFill="1" applyBorder="1" applyAlignment="1" applyProtection="1">
      <alignment horizontal="center" vertical="center"/>
    </xf>
    <xf numFmtId="0" fontId="0" fillId="5" borderId="19" xfId="0" applyNumberFormat="1" applyFont="1" applyFill="1" applyBorder="1" applyAlignment="1" applyProtection="1">
      <alignment horizontal="center" vertical="center"/>
    </xf>
    <xf numFmtId="2" fontId="3" fillId="0" borderId="24" xfId="0" applyNumberFormat="1" applyFont="1" applyBorder="1" applyAlignment="1">
      <alignment horizontal="right"/>
    </xf>
    <xf numFmtId="2" fontId="3" fillId="0" borderId="18" xfId="0" applyNumberFormat="1" applyFont="1" applyBorder="1" applyAlignment="1">
      <alignment horizontal="right"/>
    </xf>
    <xf numFmtId="2" fontId="0" fillId="0" borderId="19" xfId="0" applyNumberFormat="1" applyBorder="1" applyAlignment="1">
      <alignment horizontal="right"/>
    </xf>
    <xf numFmtId="2" fontId="3" fillId="0" borderId="17" xfId="0" applyNumberFormat="1" applyFont="1" applyBorder="1" applyAlignment="1">
      <alignment horizontal="right"/>
    </xf>
    <xf numFmtId="2" fontId="0" fillId="0" borderId="18" xfId="0" applyNumberFormat="1" applyBorder="1" applyAlignment="1">
      <alignment horizontal="right"/>
    </xf>
    <xf numFmtId="2" fontId="3" fillId="0" borderId="38" xfId="0" applyNumberFormat="1" applyFont="1" applyBorder="1" applyAlignment="1">
      <alignment horizontal="right"/>
    </xf>
    <xf numFmtId="2" fontId="3" fillId="0" borderId="39" xfId="0" applyNumberFormat="1" applyFont="1" applyBorder="1" applyAlignment="1">
      <alignment horizontal="right"/>
    </xf>
    <xf numFmtId="2" fontId="0" fillId="0" borderId="37" xfId="0" applyNumberFormat="1" applyBorder="1" applyAlignment="1">
      <alignment horizontal="right"/>
    </xf>
    <xf numFmtId="2" fontId="3" fillId="0" borderId="36" xfId="0" applyNumberFormat="1" applyFont="1" applyBorder="1" applyAlignment="1">
      <alignment horizontal="right"/>
    </xf>
    <xf numFmtId="2" fontId="0" fillId="0" borderId="39" xfId="0" applyNumberFormat="1" applyBorder="1" applyAlignment="1">
      <alignment horizontal="right"/>
    </xf>
    <xf numFmtId="0" fontId="0" fillId="0" borderId="37" xfId="0" applyBorder="1" applyAlignment="1">
      <alignment horizontal="right"/>
    </xf>
    <xf numFmtId="2" fontId="3" fillId="0" borderId="9" xfId="0" applyNumberFormat="1" applyFont="1" applyFill="1" applyBorder="1" applyAlignment="1">
      <alignment horizontal="right"/>
    </xf>
    <xf numFmtId="2" fontId="3" fillId="0" borderId="10" xfId="0" applyNumberFormat="1" applyFont="1" applyFill="1" applyBorder="1" applyAlignment="1">
      <alignment horizontal="right"/>
    </xf>
    <xf numFmtId="2" fontId="0" fillId="0" borderId="11" xfId="0" applyNumberFormat="1" applyFill="1" applyBorder="1" applyAlignment="1">
      <alignment horizontal="right"/>
    </xf>
    <xf numFmtId="2" fontId="0" fillId="0" borderId="13" xfId="0" applyNumberFormat="1" applyFill="1" applyBorder="1" applyAlignment="1">
      <alignment horizontal="right"/>
    </xf>
    <xf numFmtId="2" fontId="3" fillId="0" borderId="40" xfId="0" applyNumberFormat="1" applyFont="1" applyBorder="1" applyAlignment="1">
      <alignment horizontal="right"/>
    </xf>
    <xf numFmtId="2" fontId="3" fillId="0" borderId="41" xfId="0" applyNumberFormat="1" applyFont="1" applyBorder="1" applyAlignment="1">
      <alignment horizontal="right"/>
    </xf>
    <xf numFmtId="2" fontId="0" fillId="0" borderId="42" xfId="0" applyNumberFormat="1" applyBorder="1" applyAlignment="1">
      <alignment horizontal="right"/>
    </xf>
    <xf numFmtId="2" fontId="3" fillId="0" borderId="20" xfId="0" applyNumberFormat="1" applyFont="1" applyBorder="1" applyAlignment="1">
      <alignment horizontal="right"/>
    </xf>
    <xf numFmtId="2" fontId="0" fillId="0" borderId="41" xfId="0" applyNumberFormat="1" applyBorder="1" applyAlignment="1">
      <alignment horizontal="right"/>
    </xf>
    <xf numFmtId="2" fontId="3" fillId="0" borderId="34" xfId="0" applyNumberFormat="1" applyFont="1" applyBorder="1" applyAlignment="1">
      <alignment horizontal="center"/>
    </xf>
    <xf numFmtId="2" fontId="3" fillId="0" borderId="35" xfId="0" applyNumberFormat="1" applyFont="1" applyBorder="1" applyAlignment="1">
      <alignment horizontal="center"/>
    </xf>
    <xf numFmtId="2" fontId="3" fillId="0" borderId="32" xfId="0" applyNumberFormat="1" applyFont="1" applyBorder="1" applyAlignment="1">
      <alignment horizontal="center"/>
    </xf>
    <xf numFmtId="0" fontId="0" fillId="5" borderId="9" xfId="0" applyNumberFormat="1" applyFont="1" applyFill="1" applyBorder="1" applyAlignment="1" applyProtection="1">
      <alignment horizontal="center" vertical="center"/>
    </xf>
    <xf numFmtId="165" fontId="3" fillId="0" borderId="38" xfId="0" applyNumberFormat="1" applyFont="1" applyBorder="1" applyAlignment="1">
      <alignment horizontal="right"/>
    </xf>
    <xf numFmtId="165" fontId="3" fillId="0" borderId="39" xfId="0" applyNumberFormat="1" applyFont="1" applyBorder="1" applyAlignment="1">
      <alignment horizontal="right"/>
    </xf>
    <xf numFmtId="165" fontId="0" fillId="0" borderId="37" xfId="0" applyNumberFormat="1" applyBorder="1" applyAlignment="1">
      <alignment horizontal="right"/>
    </xf>
    <xf numFmtId="165" fontId="3" fillId="0" borderId="26" xfId="0" applyNumberFormat="1" applyFont="1" applyBorder="1" applyAlignment="1">
      <alignment horizontal="right"/>
    </xf>
    <xf numFmtId="165" fontId="3" fillId="0" borderId="9" xfId="0" applyNumberFormat="1" applyFont="1" applyBorder="1" applyAlignment="1">
      <alignment horizontal="right"/>
    </xf>
    <xf numFmtId="165" fontId="0" fillId="0" borderId="39" xfId="0" applyNumberFormat="1" applyBorder="1" applyAlignment="1">
      <alignment horizontal="right"/>
    </xf>
    <xf numFmtId="165" fontId="3" fillId="0" borderId="36" xfId="0" applyNumberFormat="1" applyFont="1" applyBorder="1" applyAlignment="1">
      <alignment horizontal="right"/>
    </xf>
    <xf numFmtId="165" fontId="3" fillId="0" borderId="6" xfId="0" applyNumberFormat="1" applyFont="1" applyBorder="1" applyAlignment="1">
      <alignment horizontal="right"/>
    </xf>
    <xf numFmtId="165" fontId="0" fillId="0" borderId="13" xfId="0" applyNumberFormat="1" applyBorder="1" applyAlignment="1">
      <alignment horizontal="right"/>
    </xf>
    <xf numFmtId="165" fontId="0" fillId="0" borderId="35" xfId="0" applyNumberFormat="1" applyBorder="1" applyAlignment="1">
      <alignment horizontal="center"/>
    </xf>
    <xf numFmtId="165" fontId="0" fillId="0" borderId="33" xfId="0" applyNumberFormat="1" applyBorder="1" applyAlignment="1">
      <alignment horizontal="center"/>
    </xf>
    <xf numFmtId="165" fontId="0" fillId="0" borderId="32" xfId="0" applyNumberFormat="1" applyBorder="1" applyAlignment="1">
      <alignment horizontal="center"/>
    </xf>
    <xf numFmtId="2" fontId="0" fillId="0" borderId="29" xfId="0" applyNumberFormat="1" applyBorder="1" applyAlignment="1">
      <alignment horizontal="right"/>
    </xf>
    <xf numFmtId="2" fontId="0" fillId="0" borderId="21" xfId="0" applyNumberFormat="1" applyBorder="1" applyAlignment="1">
      <alignment horizontal="right"/>
    </xf>
    <xf numFmtId="2" fontId="0" fillId="0" borderId="24" xfId="0" applyNumberFormat="1" applyBorder="1" applyAlignment="1">
      <alignment horizontal="right"/>
    </xf>
    <xf numFmtId="2" fontId="0" fillId="0" borderId="17" xfId="0" applyNumberFormat="1" applyBorder="1" applyAlignment="1">
      <alignment horizontal="right"/>
    </xf>
    <xf numFmtId="2" fontId="0" fillId="0" borderId="17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31" xfId="0" applyNumberFormat="1" applyBorder="1" applyAlignment="1">
      <alignment horizontal="right"/>
    </xf>
    <xf numFmtId="2" fontId="0" fillId="0" borderId="8" xfId="0" applyNumberFormat="1" applyFill="1" applyBorder="1" applyAlignment="1">
      <alignment horizontal="right"/>
    </xf>
    <xf numFmtId="1" fontId="0" fillId="0" borderId="8" xfId="0" applyNumberFormat="1" applyBorder="1" applyAlignment="1">
      <alignment horizontal="right"/>
    </xf>
    <xf numFmtId="1" fontId="0" fillId="0" borderId="28" xfId="0" applyNumberFormat="1" applyBorder="1" applyAlignment="1">
      <alignment horizontal="right"/>
    </xf>
    <xf numFmtId="1" fontId="0" fillId="0" borderId="31" xfId="0" applyNumberFormat="1" applyBorder="1" applyAlignment="1">
      <alignment horizontal="right"/>
    </xf>
    <xf numFmtId="1" fontId="0" fillId="0" borderId="8" xfId="0" applyNumberFormat="1" applyFill="1" applyBorder="1" applyAlignment="1">
      <alignment horizontal="right"/>
    </xf>
    <xf numFmtId="1" fontId="3" fillId="0" borderId="8" xfId="0" applyNumberFormat="1" applyFont="1" applyFill="1" applyBorder="1" applyAlignment="1">
      <alignment horizontal="right"/>
    </xf>
    <xf numFmtId="1" fontId="3" fillId="0" borderId="28" xfId="0" applyNumberFormat="1" applyFont="1" applyBorder="1" applyAlignment="1">
      <alignment horizontal="right"/>
    </xf>
    <xf numFmtId="1" fontId="3" fillId="0" borderId="31" xfId="0" applyNumberFormat="1" applyFont="1" applyBorder="1" applyAlignment="1">
      <alignment horizontal="right"/>
    </xf>
    <xf numFmtId="1" fontId="3" fillId="0" borderId="8" xfId="0" applyNumberFormat="1" applyFont="1" applyBorder="1" applyAlignment="1">
      <alignment horizontal="right"/>
    </xf>
    <xf numFmtId="165" fontId="0" fillId="0" borderId="27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0" fillId="0" borderId="12" xfId="0" applyNumberFormat="1" applyBorder="1" applyAlignment="1">
      <alignment horizontal="right"/>
    </xf>
    <xf numFmtId="165" fontId="0" fillId="0" borderId="7" xfId="0" applyNumberFormat="1" applyBorder="1" applyAlignment="1">
      <alignment horizontal="right"/>
    </xf>
    <xf numFmtId="165" fontId="0" fillId="0" borderId="7" xfId="0" applyNumberFormat="1" applyBorder="1"/>
    <xf numFmtId="165" fontId="0" fillId="0" borderId="1" xfId="0" applyNumberFormat="1" applyBorder="1"/>
    <xf numFmtId="165" fontId="0" fillId="0" borderId="12" xfId="0" applyNumberFormat="1" applyBorder="1"/>
    <xf numFmtId="0" fontId="0" fillId="4" borderId="32" xfId="0" applyNumberFormat="1" applyFont="1" applyFill="1" applyBorder="1" applyAlignment="1" applyProtection="1">
      <alignment horizontal="center" vertical="center"/>
    </xf>
    <xf numFmtId="0" fontId="0" fillId="4" borderId="33" xfId="0" applyNumberFormat="1" applyFont="1" applyFill="1" applyBorder="1" applyAlignment="1" applyProtection="1">
      <alignment horizontal="center" vertical="center"/>
    </xf>
    <xf numFmtId="0" fontId="7" fillId="3" borderId="7" xfId="0" applyNumberFormat="1" applyFont="1" applyFill="1" applyBorder="1" applyAlignment="1" applyProtection="1">
      <alignment horizontal="center" vertical="center"/>
    </xf>
    <xf numFmtId="0" fontId="7" fillId="3" borderId="8" xfId="0" applyNumberFormat="1" applyFont="1" applyFill="1" applyBorder="1" applyAlignment="1" applyProtection="1">
      <alignment horizontal="center" vertical="center"/>
    </xf>
    <xf numFmtId="0" fontId="7" fillId="3" borderId="12" xfId="0" applyNumberFormat="1" applyFont="1" applyFill="1" applyBorder="1" applyAlignment="1" applyProtection="1">
      <alignment horizontal="center" vertical="center"/>
    </xf>
    <xf numFmtId="0" fontId="7" fillId="3" borderId="13" xfId="0" applyNumberFormat="1" applyFont="1" applyFill="1" applyBorder="1" applyAlignment="1" applyProtection="1">
      <alignment horizontal="center" vertical="center"/>
    </xf>
    <xf numFmtId="2" fontId="0" fillId="0" borderId="33" xfId="0" applyNumberFormat="1" applyFont="1" applyBorder="1" applyAlignment="1">
      <alignment horizontal="center"/>
    </xf>
    <xf numFmtId="2" fontId="0" fillId="0" borderId="13" xfId="0" applyNumberFormat="1" applyFont="1" applyBorder="1" applyAlignment="1">
      <alignment horizontal="center"/>
    </xf>
    <xf numFmtId="2" fontId="0" fillId="0" borderId="11" xfId="0" applyNumberFormat="1" applyFont="1" applyBorder="1" applyAlignment="1">
      <alignment horizontal="center"/>
    </xf>
    <xf numFmtId="164" fontId="0" fillId="0" borderId="19" xfId="0" applyNumberFormat="1" applyFont="1" applyFill="1" applyBorder="1" applyAlignment="1">
      <alignment horizontal="right"/>
    </xf>
    <xf numFmtId="2" fontId="0" fillId="0" borderId="19" xfId="0" applyNumberFormat="1" applyFont="1" applyFill="1" applyBorder="1" applyAlignment="1">
      <alignment horizontal="right"/>
    </xf>
    <xf numFmtId="1" fontId="0" fillId="0" borderId="19" xfId="0" applyNumberFormat="1" applyFont="1" applyFill="1" applyBorder="1" applyAlignment="1">
      <alignment horizontal="right"/>
    </xf>
    <xf numFmtId="2" fontId="0" fillId="0" borderId="35" xfId="0" applyNumberFormat="1" applyFont="1" applyBorder="1" applyAlignment="1">
      <alignment horizontal="center"/>
    </xf>
    <xf numFmtId="2" fontId="0" fillId="0" borderId="10" xfId="0" applyNumberFormat="1" applyFont="1" applyBorder="1" applyAlignment="1">
      <alignment horizontal="center"/>
    </xf>
    <xf numFmtId="2" fontId="0" fillId="0" borderId="9" xfId="0" applyNumberFormat="1" applyFont="1" applyBorder="1" applyAlignment="1">
      <alignment horizontal="center"/>
    </xf>
    <xf numFmtId="164" fontId="0" fillId="0" borderId="18" xfId="0" applyNumberFormat="1" applyFont="1" applyFill="1" applyBorder="1" applyAlignment="1">
      <alignment horizontal="right"/>
    </xf>
    <xf numFmtId="2" fontId="0" fillId="0" borderId="18" xfId="0" applyNumberFormat="1" applyFont="1" applyFill="1" applyBorder="1" applyAlignment="1">
      <alignment horizontal="right"/>
    </xf>
    <xf numFmtId="1" fontId="0" fillId="0" borderId="18" xfId="0" applyNumberFormat="1" applyFont="1" applyFill="1" applyBorder="1" applyAlignment="1">
      <alignment horizontal="right"/>
    </xf>
    <xf numFmtId="0" fontId="7" fillId="3" borderId="44" xfId="0" applyNumberFormat="1" applyFont="1" applyFill="1" applyBorder="1" applyAlignment="1" applyProtection="1">
      <alignment horizontal="center" vertical="center"/>
    </xf>
    <xf numFmtId="0" fontId="7" fillId="3" borderId="43" xfId="0" applyNumberFormat="1" applyFont="1" applyFill="1" applyBorder="1" applyAlignment="1" applyProtection="1">
      <alignment horizontal="center" vertical="center"/>
    </xf>
    <xf numFmtId="0" fontId="7" fillId="3" borderId="45" xfId="0" applyNumberFormat="1" applyFont="1" applyFill="1" applyBorder="1" applyAlignment="1" applyProtection="1">
      <alignment horizontal="center" vertical="center"/>
    </xf>
    <xf numFmtId="0" fontId="7" fillId="3" borderId="6" xfId="0" applyNumberFormat="1" applyFont="1" applyFill="1" applyBorder="1" applyAlignment="1" applyProtection="1">
      <alignment horizontal="center" vertical="center"/>
    </xf>
    <xf numFmtId="0" fontId="7" fillId="3" borderId="1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65" fontId="0" fillId="7" borderId="9" xfId="0" applyNumberFormat="1" applyFill="1" applyBorder="1" applyAlignment="1">
      <alignment horizontal="right"/>
    </xf>
    <xf numFmtId="2" fontId="0" fillId="7" borderId="27" xfId="0" applyNumberFormat="1" applyFill="1" applyBorder="1" applyAlignment="1">
      <alignment horizontal="right"/>
    </xf>
    <xf numFmtId="2" fontId="0" fillId="7" borderId="28" xfId="0" applyNumberFormat="1" applyFill="1" applyBorder="1" applyAlignment="1">
      <alignment horizontal="right"/>
    </xf>
    <xf numFmtId="164" fontId="3" fillId="0" borderId="6" xfId="0" applyNumberFormat="1" applyFont="1" applyBorder="1" applyAlignment="1">
      <alignment horizontal="right"/>
    </xf>
    <xf numFmtId="2" fontId="8" fillId="0" borderId="6" xfId="0" applyNumberFormat="1" applyFont="1" applyBorder="1" applyAlignment="1">
      <alignment horizontal="right"/>
    </xf>
    <xf numFmtId="1" fontId="3" fillId="0" borderId="6" xfId="0" applyNumberFormat="1" applyFont="1" applyFill="1" applyBorder="1" applyAlignment="1">
      <alignment horizontal="right"/>
    </xf>
    <xf numFmtId="1" fontId="3" fillId="0" borderId="6" xfId="0" applyNumberFormat="1" applyFont="1" applyBorder="1" applyAlignment="1">
      <alignment horizontal="right"/>
    </xf>
    <xf numFmtId="164" fontId="8" fillId="0" borderId="6" xfId="0" applyNumberFormat="1" applyFont="1" applyBorder="1" applyAlignment="1">
      <alignment horizontal="right"/>
    </xf>
    <xf numFmtId="164" fontId="3" fillId="0" borderId="6" xfId="0" applyNumberFormat="1" applyFont="1" applyFill="1" applyBorder="1" applyAlignment="1">
      <alignment horizontal="right"/>
    </xf>
    <xf numFmtId="2" fontId="3" fillId="0" borderId="6" xfId="0" applyNumberFormat="1" applyFont="1" applyFill="1" applyBorder="1" applyAlignment="1">
      <alignment horizontal="right"/>
    </xf>
    <xf numFmtId="2" fontId="8" fillId="0" borderId="26" xfId="0" applyNumberFormat="1" applyFont="1" applyBorder="1" applyAlignment="1">
      <alignment horizontal="right"/>
    </xf>
    <xf numFmtId="1" fontId="3" fillId="0" borderId="9" xfId="0" applyNumberFormat="1" applyFont="1" applyBorder="1" applyAlignment="1">
      <alignment horizontal="right"/>
    </xf>
    <xf numFmtId="2" fontId="8" fillId="0" borderId="9" xfId="0" applyNumberFormat="1" applyFont="1" applyBorder="1" applyAlignment="1">
      <alignment horizontal="right"/>
    </xf>
    <xf numFmtId="164" fontId="8" fillId="0" borderId="26" xfId="0" applyNumberFormat="1" applyFont="1" applyBorder="1" applyAlignment="1">
      <alignment horizontal="right"/>
    </xf>
    <xf numFmtId="164" fontId="3" fillId="0" borderId="26" xfId="0" applyNumberFormat="1" applyFont="1" applyBorder="1" applyAlignment="1">
      <alignment horizontal="right"/>
    </xf>
    <xf numFmtId="164" fontId="3" fillId="0" borderId="9" xfId="0" applyNumberFormat="1" applyFont="1" applyFill="1" applyBorder="1" applyAlignment="1">
      <alignment horizontal="right"/>
    </xf>
    <xf numFmtId="1" fontId="3" fillId="0" borderId="9" xfId="0" applyNumberFormat="1" applyFont="1" applyFill="1" applyBorder="1" applyAlignment="1">
      <alignment horizontal="right"/>
    </xf>
    <xf numFmtId="164" fontId="3" fillId="0" borderId="11" xfId="0" applyNumberFormat="1" applyFont="1" applyBorder="1" applyAlignment="1">
      <alignment horizontal="right"/>
    </xf>
    <xf numFmtId="2" fontId="8" fillId="0" borderId="11" xfId="0" applyNumberFormat="1" applyFont="1" applyBorder="1" applyAlignment="1">
      <alignment horizontal="right"/>
    </xf>
    <xf numFmtId="1" fontId="3" fillId="0" borderId="11" xfId="0" applyNumberFormat="1" applyFont="1" applyBorder="1" applyAlignment="1">
      <alignment horizontal="right"/>
    </xf>
    <xf numFmtId="1" fontId="3" fillId="0" borderId="30" xfId="0" applyNumberFormat="1" applyFont="1" applyBorder="1" applyAlignment="1">
      <alignment horizontal="right"/>
    </xf>
    <xf numFmtId="164" fontId="3" fillId="0" borderId="30" xfId="0" applyNumberFormat="1" applyFont="1" applyBorder="1" applyAlignment="1">
      <alignment horizontal="right"/>
    </xf>
    <xf numFmtId="2" fontId="3" fillId="0" borderId="11" xfId="0" applyNumberFormat="1" applyFont="1" applyBorder="1" applyAlignment="1">
      <alignment horizontal="right"/>
    </xf>
    <xf numFmtId="164" fontId="8" fillId="0" borderId="30" xfId="0" applyNumberFormat="1" applyFont="1" applyBorder="1" applyAlignment="1">
      <alignment horizontal="right"/>
    </xf>
    <xf numFmtId="1" fontId="3" fillId="0" borderId="26" xfId="0" applyNumberFormat="1" applyFont="1" applyBorder="1" applyAlignment="1">
      <alignment horizontal="right"/>
    </xf>
    <xf numFmtId="1" fontId="3" fillId="0" borderId="11" xfId="0" applyNumberFormat="1" applyFont="1" applyFill="1" applyBorder="1" applyAlignment="1">
      <alignment horizontal="right"/>
    </xf>
    <xf numFmtId="164" fontId="0" fillId="0" borderId="31" xfId="0" applyNumberFormat="1" applyBorder="1" applyAlignment="1">
      <alignment horizontal="right"/>
    </xf>
    <xf numFmtId="164" fontId="8" fillId="0" borderId="6" xfId="0" applyNumberFormat="1" applyFont="1" applyFill="1" applyBorder="1" applyAlignment="1">
      <alignment horizontal="right"/>
    </xf>
    <xf numFmtId="1" fontId="3" fillId="0" borderId="26" xfId="0" applyNumberFormat="1" applyFont="1" applyFill="1" applyBorder="1" applyAlignment="1">
      <alignment horizontal="right"/>
    </xf>
    <xf numFmtId="1" fontId="0" fillId="0" borderId="28" xfId="0" applyNumberFormat="1" applyFill="1" applyBorder="1" applyAlignment="1">
      <alignment horizontal="right"/>
    </xf>
    <xf numFmtId="164" fontId="3" fillId="0" borderId="26" xfId="0" applyNumberFormat="1" applyFont="1" applyFill="1" applyBorder="1" applyAlignment="1">
      <alignment horizontal="right"/>
    </xf>
    <xf numFmtId="1" fontId="3" fillId="0" borderId="30" xfId="0" applyNumberFormat="1" applyFont="1" applyFill="1" applyBorder="1" applyAlignment="1">
      <alignment horizontal="right"/>
    </xf>
    <xf numFmtId="1" fontId="0" fillId="0" borderId="31" xfId="0" applyNumberFormat="1" applyFill="1" applyBorder="1" applyAlignment="1">
      <alignment horizontal="right"/>
    </xf>
    <xf numFmtId="0" fontId="3" fillId="0" borderId="0" xfId="0" applyFont="1" applyAlignment="1">
      <alignment horizontal="right"/>
    </xf>
    <xf numFmtId="1" fontId="0" fillId="0" borderId="0" xfId="0" applyNumberFormat="1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Fill="1" applyBorder="1" applyAlignment="1">
      <alignment horizontal="right"/>
    </xf>
    <xf numFmtId="0" fontId="0" fillId="0" borderId="0" xfId="0" applyFill="1"/>
    <xf numFmtId="2" fontId="3" fillId="7" borderId="26" xfId="0" applyNumberFormat="1" applyFont="1" applyFill="1" applyBorder="1" applyAlignment="1">
      <alignment horizontal="right"/>
    </xf>
    <xf numFmtId="1" fontId="3" fillId="7" borderId="26" xfId="0" applyNumberFormat="1" applyFont="1" applyFill="1" applyBorder="1" applyAlignment="1">
      <alignment horizontal="right"/>
    </xf>
    <xf numFmtId="1" fontId="0" fillId="7" borderId="28" xfId="0" applyNumberFormat="1" applyFill="1" applyBorder="1" applyAlignment="1">
      <alignment horizontal="right"/>
    </xf>
    <xf numFmtId="1" fontId="3" fillId="7" borderId="28" xfId="0" applyNumberFormat="1" applyFont="1" applyFill="1" applyBorder="1" applyAlignment="1">
      <alignment horizontal="right"/>
    </xf>
    <xf numFmtId="164" fontId="0" fillId="7" borderId="28" xfId="0" applyNumberFormat="1" applyFill="1" applyBorder="1" applyAlignment="1">
      <alignment horizontal="right"/>
    </xf>
    <xf numFmtId="164" fontId="3" fillId="7" borderId="26" xfId="0" applyNumberFormat="1" applyFont="1" applyFill="1" applyBorder="1" applyAlignment="1">
      <alignment horizontal="right"/>
    </xf>
    <xf numFmtId="164" fontId="8" fillId="7" borderId="26" xfId="0" applyNumberFormat="1" applyFont="1" applyFill="1" applyBorder="1" applyAlignment="1">
      <alignment horizontal="right"/>
    </xf>
    <xf numFmtId="2" fontId="8" fillId="7" borderId="26" xfId="0" applyNumberFormat="1" applyFont="1" applyFill="1" applyBorder="1" applyAlignment="1">
      <alignment horizontal="right"/>
    </xf>
    <xf numFmtId="0" fontId="11" fillId="0" borderId="0" xfId="0" applyFont="1" applyFill="1" applyBorder="1" applyAlignment="1">
      <alignment horizontal="right"/>
    </xf>
    <xf numFmtId="0" fontId="7" fillId="8" borderId="6" xfId="0" applyFont="1" applyFill="1" applyBorder="1" applyAlignment="1">
      <alignment horizontal="center"/>
    </xf>
    <xf numFmtId="0" fontId="7" fillId="8" borderId="8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2" fontId="3" fillId="0" borderId="24" xfId="0" applyNumberFormat="1" applyFont="1" applyBorder="1" applyAlignment="1">
      <alignment horizontal="center"/>
    </xf>
    <xf numFmtId="2" fontId="3" fillId="0" borderId="18" xfId="0" applyNumberFormat="1" applyFont="1" applyBorder="1" applyAlignment="1">
      <alignment horizontal="center"/>
    </xf>
    <xf numFmtId="2" fontId="0" fillId="0" borderId="19" xfId="0" applyNumberFormat="1" applyFont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2" fontId="0" fillId="0" borderId="18" xfId="0" applyNumberFormat="1" applyFont="1" applyBorder="1" applyAlignment="1">
      <alignment horizontal="center"/>
    </xf>
    <xf numFmtId="165" fontId="3" fillId="0" borderId="24" xfId="0" applyNumberFormat="1" applyFont="1" applyBorder="1" applyAlignment="1">
      <alignment horizontal="center"/>
    </xf>
    <xf numFmtId="165" fontId="3" fillId="0" borderId="18" xfId="0" applyNumberFormat="1" applyFont="1" applyBorder="1" applyAlignment="1">
      <alignment horizontal="center"/>
    </xf>
    <xf numFmtId="165" fontId="0" fillId="0" borderId="19" xfId="0" applyNumberFormat="1" applyFont="1" applyBorder="1" applyAlignment="1">
      <alignment horizontal="center"/>
    </xf>
    <xf numFmtId="165" fontId="3" fillId="0" borderId="17" xfId="0" applyNumberFormat="1" applyFont="1" applyBorder="1" applyAlignment="1">
      <alignment horizontal="center"/>
    </xf>
    <xf numFmtId="165" fontId="0" fillId="0" borderId="18" xfId="0" applyNumberFormat="1" applyFont="1" applyBorder="1" applyAlignment="1">
      <alignment horizontal="center"/>
    </xf>
    <xf numFmtId="0" fontId="7" fillId="3" borderId="0" xfId="0" applyFont="1" applyFill="1" applyBorder="1" applyAlignment="1"/>
    <xf numFmtId="0" fontId="0" fillId="0" borderId="19" xfId="0" applyFill="1" applyBorder="1" applyAlignment="1">
      <alignment horizontal="right"/>
    </xf>
    <xf numFmtId="0" fontId="0" fillId="0" borderId="17" xfId="0" applyFill="1" applyBorder="1" applyAlignment="1">
      <alignment horizontal="right"/>
    </xf>
    <xf numFmtId="0" fontId="0" fillId="0" borderId="24" xfId="0" applyFill="1" applyBorder="1" applyAlignment="1">
      <alignment horizontal="right"/>
    </xf>
    <xf numFmtId="0" fontId="0" fillId="0" borderId="18" xfId="0" applyFill="1" applyBorder="1" applyAlignment="1">
      <alignment horizontal="right"/>
    </xf>
    <xf numFmtId="164" fontId="0" fillId="6" borderId="32" xfId="0" applyNumberFormat="1" applyFill="1" applyBorder="1" applyAlignment="1">
      <alignment horizontal="right"/>
    </xf>
    <xf numFmtId="164" fontId="0" fillId="6" borderId="35" xfId="0" applyNumberFormat="1" applyFill="1" applyBorder="1" applyAlignment="1">
      <alignment horizontal="right"/>
    </xf>
    <xf numFmtId="164" fontId="3" fillId="6" borderId="35" xfId="0" applyNumberFormat="1" applyFont="1" applyFill="1" applyBorder="1" applyAlignment="1">
      <alignment horizontal="right"/>
    </xf>
    <xf numFmtId="164" fontId="0" fillId="6" borderId="33" xfId="0" applyNumberFormat="1" applyFill="1" applyBorder="1" applyAlignment="1">
      <alignment horizontal="right"/>
    </xf>
    <xf numFmtId="164" fontId="0" fillId="6" borderId="34" xfId="0" applyNumberFormat="1" applyFill="1" applyBorder="1" applyAlignment="1">
      <alignment horizontal="right"/>
    </xf>
    <xf numFmtId="0" fontId="3" fillId="9" borderId="6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3" fillId="9" borderId="21" xfId="0" applyFont="1" applyFill="1" applyBorder="1" applyAlignment="1">
      <alignment horizontal="center"/>
    </xf>
    <xf numFmtId="0" fontId="3" fillId="9" borderId="11" xfId="0" applyFont="1" applyFill="1" applyBorder="1" applyAlignment="1">
      <alignment horizontal="center"/>
    </xf>
    <xf numFmtId="0" fontId="3" fillId="9" borderId="12" xfId="0" applyFont="1" applyFill="1" applyBorder="1" applyAlignment="1">
      <alignment horizontal="center"/>
    </xf>
    <xf numFmtId="0" fontId="3" fillId="9" borderId="23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10" borderId="11" xfId="0" applyFont="1" applyFill="1" applyBorder="1" applyAlignment="1">
      <alignment horizontal="center"/>
    </xf>
    <xf numFmtId="0" fontId="3" fillId="10" borderId="21" xfId="0" applyFont="1" applyFill="1" applyBorder="1" applyAlignment="1">
      <alignment horizontal="center"/>
    </xf>
    <xf numFmtId="0" fontId="3" fillId="10" borderId="23" xfId="0" applyFont="1" applyFill="1" applyBorder="1" applyAlignment="1">
      <alignment horizontal="center"/>
    </xf>
    <xf numFmtId="164" fontId="0" fillId="10" borderId="28" xfId="0" applyNumberFormat="1" applyFill="1" applyBorder="1" applyAlignment="1">
      <alignment horizontal="right"/>
    </xf>
    <xf numFmtId="164" fontId="0" fillId="10" borderId="10" xfId="0" applyNumberFormat="1" applyFill="1" applyBorder="1" applyAlignment="1">
      <alignment horizontal="right"/>
    </xf>
    <xf numFmtId="164" fontId="3" fillId="10" borderId="10" xfId="0" applyNumberFormat="1" applyFont="1" applyFill="1" applyBorder="1" applyAlignment="1">
      <alignment horizontal="right"/>
    </xf>
    <xf numFmtId="164" fontId="0" fillId="10" borderId="13" xfId="0" applyNumberFormat="1" applyFill="1" applyBorder="1" applyAlignment="1">
      <alignment horizontal="right"/>
    </xf>
    <xf numFmtId="164" fontId="0" fillId="10" borderId="8" xfId="0" applyNumberFormat="1" applyFill="1" applyBorder="1" applyAlignment="1">
      <alignment horizontal="right"/>
    </xf>
    <xf numFmtId="164" fontId="0" fillId="10" borderId="34" xfId="0" applyNumberFormat="1" applyFill="1" applyBorder="1" applyAlignment="1">
      <alignment horizontal="right"/>
    </xf>
    <xf numFmtId="164" fontId="0" fillId="10" borderId="35" xfId="0" applyNumberFormat="1" applyFill="1" applyBorder="1" applyAlignment="1">
      <alignment horizontal="right"/>
    </xf>
    <xf numFmtId="164" fontId="3" fillId="10" borderId="35" xfId="0" applyNumberFormat="1" applyFont="1" applyFill="1" applyBorder="1" applyAlignment="1">
      <alignment horizontal="right"/>
    </xf>
    <xf numFmtId="164" fontId="0" fillId="10" borderId="33" xfId="0" applyNumberFormat="1" applyFill="1" applyBorder="1" applyAlignment="1">
      <alignment horizontal="right"/>
    </xf>
    <xf numFmtId="164" fontId="0" fillId="10" borderId="32" xfId="0" applyNumberFormat="1" applyFill="1" applyBorder="1" applyAlignment="1">
      <alignment horizontal="right"/>
    </xf>
    <xf numFmtId="165" fontId="3" fillId="9" borderId="6" xfId="0" applyNumberFormat="1" applyFont="1" applyFill="1" applyBorder="1" applyAlignment="1">
      <alignment horizontal="right"/>
    </xf>
    <xf numFmtId="165" fontId="3" fillId="9" borderId="9" xfId="0" applyNumberFormat="1" applyFont="1" applyFill="1" applyBorder="1" applyAlignment="1">
      <alignment horizontal="right"/>
    </xf>
    <xf numFmtId="165" fontId="3" fillId="9" borderId="11" xfId="0" applyNumberFormat="1" applyFont="1" applyFill="1" applyBorder="1" applyAlignment="1">
      <alignment horizontal="right"/>
    </xf>
    <xf numFmtId="1" fontId="3" fillId="10" borderId="24" xfId="0" applyNumberFormat="1" applyFont="1" applyFill="1" applyBorder="1" applyAlignment="1">
      <alignment horizontal="right"/>
    </xf>
    <xf numFmtId="1" fontId="3" fillId="10" borderId="18" xfId="0" applyNumberFormat="1" applyFont="1" applyFill="1" applyBorder="1" applyAlignment="1">
      <alignment horizontal="right"/>
    </xf>
    <xf numFmtId="1" fontId="0" fillId="10" borderId="19" xfId="0" applyNumberFormat="1" applyFont="1" applyFill="1" applyBorder="1" applyAlignment="1">
      <alignment horizontal="right"/>
    </xf>
    <xf numFmtId="1" fontId="3" fillId="10" borderId="17" xfId="0" applyNumberFormat="1" applyFont="1" applyFill="1" applyBorder="1" applyAlignment="1">
      <alignment horizontal="right"/>
    </xf>
    <xf numFmtId="1" fontId="0" fillId="10" borderId="18" xfId="0" applyNumberFormat="1" applyFont="1" applyFill="1" applyBorder="1" applyAlignment="1">
      <alignment horizontal="right"/>
    </xf>
    <xf numFmtId="1" fontId="0" fillId="10" borderId="19" xfId="0" applyNumberFormat="1" applyFill="1" applyBorder="1" applyAlignment="1">
      <alignment horizontal="right"/>
    </xf>
    <xf numFmtId="1" fontId="0" fillId="10" borderId="17" xfId="0" applyNumberFormat="1" applyFill="1" applyBorder="1" applyAlignment="1">
      <alignment horizontal="right"/>
    </xf>
    <xf numFmtId="1" fontId="0" fillId="10" borderId="24" xfId="0" applyNumberFormat="1" applyFill="1" applyBorder="1" applyAlignment="1">
      <alignment horizontal="right"/>
    </xf>
    <xf numFmtId="1" fontId="0" fillId="10" borderId="18" xfId="0" applyNumberFormat="1" applyFill="1" applyBorder="1" applyAlignment="1">
      <alignment horizontal="right"/>
    </xf>
    <xf numFmtId="1" fontId="3" fillId="0" borderId="0" xfId="0" applyNumberFormat="1" applyFont="1" applyAlignment="1">
      <alignment horizontal="right"/>
    </xf>
    <xf numFmtId="1" fontId="3" fillId="9" borderId="0" xfId="0" applyNumberFormat="1" applyFont="1" applyFill="1" applyAlignment="1">
      <alignment horizontal="right"/>
    </xf>
    <xf numFmtId="1" fontId="0" fillId="0" borderId="7" xfId="0" applyNumberFormat="1" applyFill="1" applyBorder="1" applyAlignment="1">
      <alignment horizontal="right"/>
    </xf>
    <xf numFmtId="1" fontId="0" fillId="0" borderId="1" xfId="0" applyNumberFormat="1" applyFill="1" applyBorder="1" applyAlignment="1">
      <alignment horizontal="right"/>
    </xf>
    <xf numFmtId="1" fontId="0" fillId="0" borderId="12" xfId="0" applyNumberFormat="1" applyFill="1" applyBorder="1" applyAlignment="1">
      <alignment horizontal="right"/>
    </xf>
    <xf numFmtId="2" fontId="0" fillId="0" borderId="6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3" fillId="0" borderId="27" xfId="0" applyNumberFormat="1" applyFont="1" applyFill="1" applyBorder="1" applyAlignment="1">
      <alignment horizontal="right"/>
    </xf>
    <xf numFmtId="2" fontId="3" fillId="0" borderId="1" xfId="0" applyNumberFormat="1" applyFont="1" applyFill="1" applyBorder="1" applyAlignment="1">
      <alignment horizontal="right"/>
    </xf>
    <xf numFmtId="2" fontId="3" fillId="0" borderId="12" xfId="0" applyNumberFormat="1" applyFont="1" applyFill="1" applyBorder="1" applyAlignment="1">
      <alignment horizontal="right"/>
    </xf>
    <xf numFmtId="2" fontId="3" fillId="0" borderId="12" xfId="0" applyNumberFormat="1" applyFont="1" applyBorder="1" applyAlignment="1">
      <alignment horizontal="right"/>
    </xf>
    <xf numFmtId="2" fontId="3" fillId="0" borderId="13" xfId="0" applyNumberFormat="1" applyFont="1" applyBorder="1" applyAlignment="1">
      <alignment horizontal="right"/>
    </xf>
    <xf numFmtId="2" fontId="3" fillId="0" borderId="27" xfId="0" applyNumberFormat="1" applyFont="1" applyFill="1" applyBorder="1" applyAlignment="1"/>
    <xf numFmtId="2" fontId="3" fillId="0" borderId="1" xfId="0" applyNumberFormat="1" applyFont="1" applyFill="1" applyBorder="1" applyAlignment="1"/>
    <xf numFmtId="2" fontId="3" fillId="0" borderId="12" xfId="0" applyNumberFormat="1" applyFont="1" applyFill="1" applyBorder="1" applyAlignment="1"/>
    <xf numFmtId="2" fontId="3" fillId="0" borderId="7" xfId="0" applyNumberFormat="1" applyFont="1" applyBorder="1" applyAlignment="1"/>
    <xf numFmtId="2" fontId="3" fillId="0" borderId="1" xfId="0" applyNumberFormat="1" applyFont="1" applyBorder="1" applyAlignment="1"/>
    <xf numFmtId="2" fontId="3" fillId="0" borderId="12" xfId="0" applyNumberFormat="1" applyFont="1" applyBorder="1" applyAlignment="1"/>
    <xf numFmtId="2" fontId="14" fillId="0" borderId="6" xfId="0" applyNumberFormat="1" applyFont="1" applyFill="1" applyBorder="1" applyAlignment="1">
      <alignment horizontal="right"/>
    </xf>
    <xf numFmtId="2" fontId="14" fillId="0" borderId="9" xfId="0" applyNumberFormat="1" applyFont="1" applyFill="1" applyBorder="1" applyAlignment="1">
      <alignment horizontal="right"/>
    </xf>
    <xf numFmtId="2" fontId="14" fillId="0" borderId="11" xfId="0" applyNumberFormat="1" applyFont="1" applyFill="1" applyBorder="1" applyAlignment="1">
      <alignment horizontal="right"/>
    </xf>
    <xf numFmtId="2" fontId="15" fillId="0" borderId="11" xfId="0" applyNumberFormat="1" applyFont="1" applyFill="1" applyBorder="1" applyAlignment="1">
      <alignment horizontal="right"/>
    </xf>
    <xf numFmtId="2" fontId="15" fillId="0" borderId="9" xfId="0" applyNumberFormat="1" applyFont="1" applyFill="1" applyBorder="1" applyAlignment="1">
      <alignment horizontal="right"/>
    </xf>
    <xf numFmtId="1" fontId="14" fillId="0" borderId="6" xfId="0" applyNumberFormat="1" applyFont="1" applyFill="1" applyBorder="1" applyAlignment="1">
      <alignment horizontal="right"/>
    </xf>
    <xf numFmtId="1" fontId="14" fillId="0" borderId="9" xfId="0" applyNumberFormat="1" applyFont="1" applyFill="1" applyBorder="1" applyAlignment="1">
      <alignment horizontal="right"/>
    </xf>
    <xf numFmtId="1" fontId="14" fillId="0" borderId="11" xfId="0" applyNumberFormat="1" applyFont="1" applyFill="1" applyBorder="1" applyAlignment="1">
      <alignment horizontal="right"/>
    </xf>
    <xf numFmtId="1" fontId="15" fillId="0" borderId="6" xfId="0" applyNumberFormat="1" applyFont="1" applyFill="1" applyBorder="1" applyAlignment="1">
      <alignment horizontal="right"/>
    </xf>
    <xf numFmtId="1" fontId="15" fillId="0" borderId="9" xfId="0" applyNumberFormat="1" applyFont="1" applyFill="1" applyBorder="1" applyAlignment="1">
      <alignment horizontal="right"/>
    </xf>
    <xf numFmtId="1" fontId="15" fillId="0" borderId="11" xfId="0" applyNumberFormat="1" applyFont="1" applyFill="1" applyBorder="1" applyAlignment="1">
      <alignment horizontal="right"/>
    </xf>
    <xf numFmtId="1" fontId="15" fillId="0" borderId="26" xfId="0" applyNumberFormat="1" applyFont="1" applyFill="1" applyBorder="1" applyAlignment="1">
      <alignment horizontal="right"/>
    </xf>
    <xf numFmtId="1" fontId="14" fillId="0" borderId="26" xfId="0" applyNumberFormat="1" applyFont="1" applyFill="1" applyBorder="1" applyAlignment="1">
      <alignment horizontal="right"/>
    </xf>
    <xf numFmtId="1" fontId="14" fillId="0" borderId="8" xfId="0" applyNumberFormat="1" applyFont="1" applyFill="1" applyBorder="1" applyAlignment="1">
      <alignment horizontal="right"/>
    </xf>
    <xf numFmtId="1" fontId="14" fillId="0" borderId="28" xfId="0" applyNumberFormat="1" applyFont="1" applyFill="1" applyBorder="1" applyAlignment="1">
      <alignment horizontal="right"/>
    </xf>
    <xf numFmtId="1" fontId="16" fillId="0" borderId="28" xfId="0" applyNumberFormat="1" applyFont="1" applyFill="1" applyBorder="1" applyAlignment="1">
      <alignment horizontal="right"/>
    </xf>
    <xf numFmtId="1" fontId="16" fillId="0" borderId="31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horizontal="right"/>
    </xf>
    <xf numFmtId="1" fontId="14" fillId="0" borderId="30" xfId="0" applyNumberFormat="1" applyFont="1" applyFill="1" applyBorder="1" applyAlignment="1">
      <alignment horizontal="right"/>
    </xf>
    <xf numFmtId="2" fontId="14" fillId="0" borderId="26" xfId="0" applyNumberFormat="1" applyFont="1" applyFill="1" applyBorder="1" applyAlignment="1">
      <alignment horizontal="right"/>
    </xf>
    <xf numFmtId="164" fontId="14" fillId="0" borderId="9" xfId="0" applyNumberFormat="1" applyFont="1" applyFill="1" applyBorder="1" applyAlignment="1">
      <alignment horizontal="right"/>
    </xf>
    <xf numFmtId="164" fontId="15" fillId="0" borderId="9" xfId="0" applyNumberFormat="1" applyFont="1" applyFill="1" applyBorder="1" applyAlignment="1">
      <alignment horizontal="right"/>
    </xf>
    <xf numFmtId="2" fontId="15" fillId="0" borderId="6" xfId="0" applyNumberFormat="1" applyFont="1" applyFill="1" applyBorder="1" applyAlignment="1">
      <alignment horizontal="right"/>
    </xf>
    <xf numFmtId="164" fontId="14" fillId="0" borderId="6" xfId="0" applyNumberFormat="1" applyFont="1" applyFill="1" applyBorder="1" applyAlignment="1">
      <alignment horizontal="right"/>
    </xf>
    <xf numFmtId="164" fontId="15" fillId="0" borderId="6" xfId="0" applyNumberFormat="1" applyFont="1" applyFill="1" applyBorder="1" applyAlignment="1">
      <alignment horizontal="right"/>
    </xf>
    <xf numFmtId="164" fontId="15" fillId="0" borderId="26" xfId="0" applyNumberFormat="1" applyFont="1" applyFill="1" applyBorder="1" applyAlignment="1">
      <alignment horizontal="right"/>
    </xf>
    <xf numFmtId="164" fontId="15" fillId="0" borderId="30" xfId="0" applyNumberFormat="1" applyFont="1" applyFill="1" applyBorder="1" applyAlignment="1">
      <alignment horizontal="right"/>
    </xf>
    <xf numFmtId="164" fontId="14" fillId="0" borderId="26" xfId="0" applyNumberFormat="1" applyFont="1" applyFill="1" applyBorder="1" applyAlignment="1">
      <alignment horizontal="right"/>
    </xf>
    <xf numFmtId="164" fontId="14" fillId="0" borderId="30" xfId="0" applyNumberFormat="1" applyFont="1" applyFill="1" applyBorder="1" applyAlignment="1">
      <alignment horizontal="right"/>
    </xf>
    <xf numFmtId="2" fontId="14" fillId="0" borderId="30" xfId="0" applyNumberFormat="1" applyFont="1" applyFill="1" applyBorder="1" applyAlignment="1">
      <alignment horizontal="right"/>
    </xf>
    <xf numFmtId="1" fontId="15" fillId="0" borderId="30" xfId="0" applyNumberFormat="1" applyFont="1" applyFill="1" applyBorder="1" applyAlignment="1">
      <alignment horizontal="right"/>
    </xf>
    <xf numFmtId="2" fontId="16" fillId="0" borderId="8" xfId="0" applyNumberFormat="1" applyFont="1" applyFill="1" applyBorder="1" applyAlignment="1">
      <alignment horizontal="right"/>
    </xf>
    <xf numFmtId="2" fontId="16" fillId="0" borderId="28" xfId="0" applyNumberFormat="1" applyFont="1" applyFill="1" applyBorder="1" applyAlignment="1">
      <alignment horizontal="right"/>
    </xf>
    <xf numFmtId="2" fontId="16" fillId="0" borderId="31" xfId="0" applyNumberFormat="1" applyFont="1" applyFill="1" applyBorder="1" applyAlignment="1">
      <alignment horizontal="right"/>
    </xf>
    <xf numFmtId="2" fontId="0" fillId="0" borderId="26" xfId="0" applyNumberFormat="1" applyBorder="1" applyAlignment="1">
      <alignment horizontal="center"/>
    </xf>
    <xf numFmtId="164" fontId="0" fillId="0" borderId="34" xfId="0" applyNumberFormat="1" applyBorder="1" applyAlignment="1">
      <alignment horizontal="center"/>
    </xf>
    <xf numFmtId="164" fontId="0" fillId="0" borderId="35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0" fontId="3" fillId="8" borderId="32" xfId="0" applyNumberFormat="1" applyFont="1" applyFill="1" applyBorder="1" applyAlignment="1" applyProtection="1">
      <alignment horizontal="center" vertical="center"/>
    </xf>
    <xf numFmtId="0" fontId="3" fillId="8" borderId="33" xfId="0" applyNumberFormat="1" applyFont="1" applyFill="1" applyBorder="1" applyAlignment="1" applyProtection="1">
      <alignment horizontal="center" vertical="center"/>
    </xf>
    <xf numFmtId="0" fontId="0" fillId="11" borderId="36" xfId="0" applyNumberFormat="1" applyFont="1" applyFill="1" applyBorder="1" applyAlignment="1" applyProtection="1">
      <alignment horizontal="center" vertical="center"/>
    </xf>
    <xf numFmtId="0" fontId="0" fillId="11" borderId="37" xfId="0" applyNumberFormat="1" applyFont="1" applyFill="1" applyBorder="1" applyAlignment="1" applyProtection="1">
      <alignment horizontal="center" vertical="center"/>
    </xf>
    <xf numFmtId="2" fontId="3" fillId="9" borderId="9" xfId="0" applyNumberFormat="1" applyFont="1" applyFill="1" applyBorder="1" applyAlignment="1">
      <alignment horizontal="right"/>
    </xf>
    <xf numFmtId="2" fontId="3" fillId="9" borderId="10" xfId="0" applyNumberFormat="1" applyFont="1" applyFill="1" applyBorder="1" applyAlignment="1">
      <alignment horizontal="right"/>
    </xf>
    <xf numFmtId="2" fontId="0" fillId="9" borderId="9" xfId="0" applyNumberFormat="1" applyFill="1" applyBorder="1" applyAlignment="1">
      <alignment horizontal="right"/>
    </xf>
    <xf numFmtId="2" fontId="0" fillId="9" borderId="10" xfId="0" applyNumberFormat="1" applyFill="1" applyBorder="1" applyAlignment="1">
      <alignment horizontal="right"/>
    </xf>
    <xf numFmtId="2" fontId="12" fillId="9" borderId="1" xfId="0" applyNumberFormat="1" applyFont="1" applyFill="1" applyBorder="1" applyAlignment="1">
      <alignment horizontal="right"/>
    </xf>
    <xf numFmtId="2" fontId="12" fillId="9" borderId="7" xfId="0" applyNumberFormat="1" applyFont="1" applyFill="1" applyBorder="1" applyAlignment="1">
      <alignment horizontal="right"/>
    </xf>
    <xf numFmtId="2" fontId="12" fillId="9" borderId="12" xfId="0" applyNumberFormat="1" applyFont="1" applyFill="1" applyBorder="1" applyAlignment="1">
      <alignment horizontal="right"/>
    </xf>
    <xf numFmtId="0" fontId="0" fillId="9" borderId="14" xfId="0" applyFill="1" applyBorder="1" applyAlignment="1">
      <alignment horizontal="center"/>
    </xf>
    <xf numFmtId="165" fontId="0" fillId="9" borderId="6" xfId="0" applyNumberFormat="1" applyFill="1" applyBorder="1" applyAlignment="1">
      <alignment horizontal="center"/>
    </xf>
    <xf numFmtId="165" fontId="0" fillId="9" borderId="32" xfId="0" applyNumberFormat="1" applyFill="1" applyBorder="1" applyAlignment="1">
      <alignment horizontal="center"/>
    </xf>
    <xf numFmtId="1" fontId="0" fillId="9" borderId="7" xfId="0" applyNumberFormat="1" applyFill="1" applyBorder="1" applyAlignment="1">
      <alignment horizontal="right"/>
    </xf>
    <xf numFmtId="165" fontId="0" fillId="9" borderId="7" xfId="0" applyNumberFormat="1" applyFill="1" applyBorder="1" applyAlignment="1">
      <alignment horizontal="right"/>
    </xf>
    <xf numFmtId="164" fontId="0" fillId="9" borderId="7" xfId="0" applyNumberFormat="1" applyFill="1" applyBorder="1" applyAlignment="1">
      <alignment horizontal="right"/>
    </xf>
    <xf numFmtId="2" fontId="0" fillId="9" borderId="7" xfId="0" applyNumberFormat="1" applyFill="1" applyBorder="1" applyAlignment="1">
      <alignment horizontal="right"/>
    </xf>
    <xf numFmtId="2" fontId="0" fillId="9" borderId="21" xfId="0" applyNumberFormat="1" applyFill="1" applyBorder="1" applyAlignment="1">
      <alignment horizontal="right"/>
    </xf>
    <xf numFmtId="2" fontId="0" fillId="9" borderId="8" xfId="0" applyNumberFormat="1" applyFill="1" applyBorder="1" applyAlignment="1">
      <alignment horizontal="right"/>
    </xf>
    <xf numFmtId="2" fontId="0" fillId="9" borderId="17" xfId="0" applyNumberFormat="1" applyFill="1" applyBorder="1" applyAlignment="1">
      <alignment horizontal="right"/>
    </xf>
    <xf numFmtId="0" fontId="0" fillId="9" borderId="6" xfId="0" applyFill="1" applyBorder="1" applyAlignment="1">
      <alignment horizontal="right"/>
    </xf>
    <xf numFmtId="0" fontId="0" fillId="9" borderId="36" xfId="0" applyFill="1" applyBorder="1" applyAlignment="1">
      <alignment horizontal="right"/>
    </xf>
    <xf numFmtId="165" fontId="0" fillId="9" borderId="6" xfId="0" applyNumberFormat="1" applyFill="1" applyBorder="1" applyAlignment="1">
      <alignment horizontal="right"/>
    </xf>
    <xf numFmtId="165" fontId="0" fillId="9" borderId="36" xfId="0" applyNumberFormat="1" applyFill="1" applyBorder="1" applyAlignment="1">
      <alignment horizontal="right"/>
    </xf>
    <xf numFmtId="0" fontId="0" fillId="9" borderId="8" xfId="0" applyFill="1" applyBorder="1" applyAlignment="1">
      <alignment horizontal="right"/>
    </xf>
    <xf numFmtId="0" fontId="0" fillId="9" borderId="17" xfId="0" applyFill="1" applyBorder="1" applyAlignment="1">
      <alignment horizontal="right"/>
    </xf>
    <xf numFmtId="0" fontId="0" fillId="9" borderId="20" xfId="0" applyFill="1" applyBorder="1" applyAlignment="1">
      <alignment horizontal="right"/>
    </xf>
    <xf numFmtId="0" fontId="0" fillId="9" borderId="32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2" fontId="0" fillId="9" borderId="6" xfId="0" applyNumberFormat="1" applyFont="1" applyFill="1" applyBorder="1" applyAlignment="1">
      <alignment horizontal="center"/>
    </xf>
    <xf numFmtId="0" fontId="0" fillId="9" borderId="8" xfId="0" applyFont="1" applyFill="1" applyBorder="1" applyAlignment="1">
      <alignment horizontal="center"/>
    </xf>
    <xf numFmtId="0" fontId="0" fillId="9" borderId="17" xfId="0" applyFont="1" applyFill="1" applyBorder="1" applyAlignment="1">
      <alignment horizontal="center"/>
    </xf>
    <xf numFmtId="165" fontId="0" fillId="9" borderId="17" xfId="0" applyNumberFormat="1" applyFont="1" applyFill="1" applyBorder="1" applyAlignment="1">
      <alignment horizontal="center"/>
    </xf>
    <xf numFmtId="164" fontId="0" fillId="9" borderId="17" xfId="0" applyNumberFormat="1" applyFont="1" applyFill="1" applyBorder="1" applyAlignment="1">
      <alignment horizontal="right"/>
    </xf>
    <xf numFmtId="0" fontId="0" fillId="9" borderId="17" xfId="0" applyFont="1" applyFill="1" applyBorder="1" applyAlignment="1">
      <alignment horizontal="right"/>
    </xf>
    <xf numFmtId="1" fontId="0" fillId="9" borderId="17" xfId="0" applyNumberFormat="1" applyFont="1" applyFill="1" applyBorder="1" applyAlignment="1">
      <alignment horizontal="right"/>
    </xf>
    <xf numFmtId="2" fontId="3" fillId="9" borderId="6" xfId="0" applyNumberFormat="1" applyFont="1" applyFill="1" applyBorder="1" applyAlignment="1">
      <alignment horizontal="right"/>
    </xf>
    <xf numFmtId="2" fontId="3" fillId="9" borderId="7" xfId="0" applyNumberFormat="1" applyFont="1" applyFill="1" applyBorder="1" applyAlignment="1">
      <alignment horizontal="right"/>
    </xf>
    <xf numFmtId="2" fontId="3" fillId="9" borderId="7" xfId="0" applyNumberFormat="1" applyFont="1" applyFill="1" applyBorder="1" applyAlignment="1"/>
    <xf numFmtId="2" fontId="3" fillId="9" borderId="8" xfId="0" applyNumberFormat="1" applyFont="1" applyFill="1" applyBorder="1" applyAlignment="1">
      <alignment horizontal="right"/>
    </xf>
    <xf numFmtId="11" fontId="0" fillId="9" borderId="6" xfId="0" applyNumberFormat="1" applyFill="1" applyBorder="1" applyAlignment="1">
      <alignment horizontal="right"/>
    </xf>
    <xf numFmtId="11" fontId="0" fillId="9" borderId="7" xfId="0" applyNumberFormat="1" applyFill="1" applyBorder="1" applyAlignment="1">
      <alignment horizontal="right"/>
    </xf>
    <xf numFmtId="0" fontId="0" fillId="9" borderId="7" xfId="0" applyFill="1" applyBorder="1" applyAlignment="1">
      <alignment horizontal="right"/>
    </xf>
    <xf numFmtId="164" fontId="0" fillId="9" borderId="6" xfId="0" applyNumberFormat="1" applyFill="1" applyBorder="1" applyAlignment="1">
      <alignment horizontal="right"/>
    </xf>
    <xf numFmtId="164" fontId="0" fillId="9" borderId="8" xfId="0" applyNumberFormat="1" applyFill="1" applyBorder="1" applyAlignment="1">
      <alignment horizontal="right"/>
    </xf>
    <xf numFmtId="2" fontId="14" fillId="12" borderId="6" xfId="0" applyNumberFormat="1" applyFont="1" applyFill="1" applyBorder="1" applyAlignment="1">
      <alignment horizontal="right"/>
    </xf>
    <xf numFmtId="1" fontId="14" fillId="12" borderId="6" xfId="0" applyNumberFormat="1" applyFont="1" applyFill="1" applyBorder="1" applyAlignment="1">
      <alignment horizontal="right"/>
    </xf>
    <xf numFmtId="1" fontId="0" fillId="9" borderId="8" xfId="0" applyNumberFormat="1" applyFill="1" applyBorder="1" applyAlignment="1">
      <alignment horizontal="right"/>
    </xf>
    <xf numFmtId="1" fontId="14" fillId="12" borderId="8" xfId="0" applyNumberFormat="1" applyFont="1" applyFill="1" applyBorder="1" applyAlignment="1">
      <alignment horizontal="right"/>
    </xf>
    <xf numFmtId="1" fontId="3" fillId="9" borderId="6" xfId="0" applyNumberFormat="1" applyFont="1" applyFill="1" applyBorder="1" applyAlignment="1">
      <alignment horizontal="right"/>
    </xf>
    <xf numFmtId="164" fontId="14" fillId="12" borderId="6" xfId="0" applyNumberFormat="1" applyFont="1" applyFill="1" applyBorder="1" applyAlignment="1">
      <alignment horizontal="right"/>
    </xf>
    <xf numFmtId="2" fontId="8" fillId="9" borderId="6" xfId="0" applyNumberFormat="1" applyFont="1" applyFill="1" applyBorder="1" applyAlignment="1">
      <alignment horizontal="right"/>
    </xf>
    <xf numFmtId="164" fontId="15" fillId="12" borderId="6" xfId="0" applyNumberFormat="1" applyFont="1" applyFill="1" applyBorder="1" applyAlignment="1">
      <alignment horizontal="right"/>
    </xf>
    <xf numFmtId="2" fontId="15" fillId="12" borderId="6" xfId="0" applyNumberFormat="1" applyFont="1" applyFill="1" applyBorder="1" applyAlignment="1">
      <alignment horizontal="right"/>
    </xf>
    <xf numFmtId="1" fontId="16" fillId="12" borderId="8" xfId="0" applyNumberFormat="1" applyFont="1" applyFill="1" applyBorder="1" applyAlignment="1">
      <alignment horizontal="right"/>
    </xf>
    <xf numFmtId="0" fontId="0" fillId="9" borderId="0" xfId="0" applyFill="1"/>
    <xf numFmtId="165" fontId="0" fillId="0" borderId="6" xfId="0" applyNumberFormat="1" applyFill="1" applyBorder="1" applyAlignment="1">
      <alignment horizontal="center"/>
    </xf>
    <xf numFmtId="165" fontId="0" fillId="0" borderId="32" xfId="0" applyNumberFormat="1" applyFill="1" applyBorder="1" applyAlignment="1">
      <alignment horizontal="center"/>
    </xf>
    <xf numFmtId="165" fontId="0" fillId="0" borderId="9" xfId="0" applyNumberFormat="1" applyFill="1" applyBorder="1" applyAlignment="1">
      <alignment horizontal="center"/>
    </xf>
    <xf numFmtId="165" fontId="0" fillId="0" borderId="35" xfId="0" applyNumberFormat="1" applyFill="1" applyBorder="1" applyAlignment="1">
      <alignment horizontal="center"/>
    </xf>
    <xf numFmtId="2" fontId="15" fillId="12" borderId="9" xfId="0" applyNumberFormat="1" applyFont="1" applyFill="1" applyBorder="1" applyAlignment="1">
      <alignment horizontal="right"/>
    </xf>
    <xf numFmtId="2" fontId="0" fillId="9" borderId="28" xfId="0" applyNumberFormat="1" applyFill="1" applyBorder="1" applyAlignment="1">
      <alignment horizontal="right"/>
    </xf>
    <xf numFmtId="1" fontId="14" fillId="12" borderId="9" xfId="0" applyNumberFormat="1" applyFont="1" applyFill="1" applyBorder="1" applyAlignment="1">
      <alignment horizontal="right"/>
    </xf>
    <xf numFmtId="1" fontId="0" fillId="9" borderId="28" xfId="0" applyNumberFormat="1" applyFill="1" applyBorder="1" applyAlignment="1">
      <alignment horizontal="right"/>
    </xf>
    <xf numFmtId="1" fontId="15" fillId="12" borderId="6" xfId="0" applyNumberFormat="1" applyFont="1" applyFill="1" applyBorder="1" applyAlignment="1">
      <alignment horizontal="right"/>
    </xf>
    <xf numFmtId="2" fontId="14" fillId="12" borderId="9" xfId="0" applyNumberFormat="1" applyFont="1" applyFill="1" applyBorder="1" applyAlignment="1">
      <alignment horizontal="right"/>
    </xf>
    <xf numFmtId="164" fontId="14" fillId="12" borderId="26" xfId="0" applyNumberFormat="1" applyFont="1" applyFill="1" applyBorder="1" applyAlignment="1">
      <alignment horizontal="right"/>
    </xf>
    <xf numFmtId="1" fontId="14" fillId="12" borderId="28" xfId="0" applyNumberFormat="1" applyFont="1" applyFill="1" applyBorder="1" applyAlignment="1">
      <alignment horizontal="right"/>
    </xf>
    <xf numFmtId="164" fontId="0" fillId="9" borderId="28" xfId="0" applyNumberFormat="1" applyFill="1" applyBorder="1" applyAlignment="1">
      <alignment horizontal="right"/>
    </xf>
    <xf numFmtId="1" fontId="14" fillId="12" borderId="26" xfId="0" applyNumberFormat="1" applyFont="1" applyFill="1" applyBorder="1" applyAlignment="1">
      <alignment horizontal="right"/>
    </xf>
    <xf numFmtId="1" fontId="3" fillId="9" borderId="9" xfId="0" applyNumberFormat="1" applyFont="1" applyFill="1" applyBorder="1" applyAlignment="1">
      <alignment horizontal="right"/>
    </xf>
    <xf numFmtId="1" fontId="15" fillId="12" borderId="9" xfId="0" applyNumberFormat="1" applyFont="1" applyFill="1" applyBorder="1" applyAlignment="1">
      <alignment horizontal="right"/>
    </xf>
    <xf numFmtId="164" fontId="14" fillId="12" borderId="9" xfId="0" applyNumberFormat="1" applyFont="1" applyFill="1" applyBorder="1" applyAlignment="1">
      <alignment horizontal="right"/>
    </xf>
    <xf numFmtId="164" fontId="8" fillId="9" borderId="26" xfId="0" applyNumberFormat="1" applyFont="1" applyFill="1" applyBorder="1" applyAlignment="1">
      <alignment horizontal="right"/>
    </xf>
    <xf numFmtId="164" fontId="15" fillId="12" borderId="26" xfId="0" applyNumberFormat="1" applyFont="1" applyFill="1" applyBorder="1" applyAlignment="1">
      <alignment horizontal="right"/>
    </xf>
    <xf numFmtId="2" fontId="14" fillId="12" borderId="26" xfId="0" applyNumberFormat="1" applyFont="1" applyFill="1" applyBorder="1" applyAlignment="1">
      <alignment horizontal="right"/>
    </xf>
    <xf numFmtId="1" fontId="16" fillId="12" borderId="28" xfId="0" applyNumberFormat="1" applyFont="1" applyFill="1" applyBorder="1" applyAlignment="1">
      <alignment horizontal="right"/>
    </xf>
    <xf numFmtId="165" fontId="0" fillId="9" borderId="26" xfId="0" applyNumberFormat="1" applyFill="1" applyBorder="1" applyAlignment="1">
      <alignment horizontal="center"/>
    </xf>
    <xf numFmtId="165" fontId="0" fillId="9" borderId="34" xfId="0" applyNumberFormat="1" applyFill="1" applyBorder="1" applyAlignment="1">
      <alignment horizontal="center"/>
    </xf>
    <xf numFmtId="164" fontId="0" fillId="9" borderId="27" xfId="0" applyNumberFormat="1" applyFill="1" applyBorder="1"/>
    <xf numFmtId="165" fontId="0" fillId="9" borderId="27" xfId="0" applyNumberFormat="1" applyFill="1" applyBorder="1"/>
    <xf numFmtId="2" fontId="0" fillId="9" borderId="27" xfId="0" applyNumberFormat="1" applyFill="1" applyBorder="1"/>
    <xf numFmtId="2" fontId="0" fillId="9" borderId="27" xfId="0" applyNumberFormat="1" applyFill="1" applyBorder="1" applyAlignment="1">
      <alignment horizontal="right"/>
    </xf>
    <xf numFmtId="2" fontId="0" fillId="9" borderId="29" xfId="0" applyNumberFormat="1" applyFill="1" applyBorder="1" applyAlignment="1">
      <alignment horizontal="right"/>
    </xf>
    <xf numFmtId="2" fontId="0" fillId="9" borderId="28" xfId="0" applyNumberFormat="1" applyFill="1" applyBorder="1"/>
    <xf numFmtId="2" fontId="0" fillId="9" borderId="24" xfId="0" applyNumberFormat="1" applyFill="1" applyBorder="1"/>
    <xf numFmtId="0" fontId="3" fillId="10" borderId="17" xfId="0" applyFont="1" applyFill="1" applyBorder="1" applyAlignment="1">
      <alignment horizontal="center"/>
    </xf>
    <xf numFmtId="0" fontId="3" fillId="10" borderId="19" xfId="0" applyFont="1" applyFill="1" applyBorder="1" applyAlignment="1">
      <alignment horizontal="center"/>
    </xf>
    <xf numFmtId="164" fontId="0" fillId="10" borderId="24" xfId="0" applyNumberFormat="1" applyFill="1" applyBorder="1" applyAlignment="1">
      <alignment horizontal="right"/>
    </xf>
    <xf numFmtId="164" fontId="0" fillId="10" borderId="18" xfId="0" applyNumberFormat="1" applyFill="1" applyBorder="1" applyAlignment="1">
      <alignment horizontal="right"/>
    </xf>
    <xf numFmtId="164" fontId="3" fillId="10" borderId="18" xfId="0" applyNumberFormat="1" applyFont="1" applyFill="1" applyBorder="1" applyAlignment="1">
      <alignment horizontal="right"/>
    </xf>
    <xf numFmtId="164" fontId="0" fillId="10" borderId="19" xfId="0" applyNumberFormat="1" applyFill="1" applyBorder="1" applyAlignment="1">
      <alignment horizontal="right"/>
    </xf>
    <xf numFmtId="164" fontId="0" fillId="10" borderId="17" xfId="0" applyNumberFormat="1" applyFill="1" applyBorder="1" applyAlignment="1">
      <alignment horizontal="right"/>
    </xf>
    <xf numFmtId="164" fontId="0" fillId="10" borderId="46" xfId="0" applyNumberFormat="1" applyFill="1" applyBorder="1" applyAlignment="1">
      <alignment horizontal="right"/>
    </xf>
    <xf numFmtId="164" fontId="0" fillId="6" borderId="24" xfId="0" applyNumberFormat="1" applyFill="1" applyBorder="1" applyAlignment="1">
      <alignment horizontal="right"/>
    </xf>
    <xf numFmtId="164" fontId="0" fillId="6" borderId="18" xfId="0" applyNumberFormat="1" applyFill="1" applyBorder="1" applyAlignment="1">
      <alignment horizontal="right"/>
    </xf>
    <xf numFmtId="164" fontId="3" fillId="6" borderId="18" xfId="0" applyNumberFormat="1" applyFont="1" applyFill="1" applyBorder="1" applyAlignment="1">
      <alignment horizontal="right"/>
    </xf>
    <xf numFmtId="164" fontId="0" fillId="6" borderId="19" xfId="0" applyNumberFormat="1" applyFill="1" applyBorder="1" applyAlignment="1">
      <alignment horizontal="right"/>
    </xf>
    <xf numFmtId="164" fontId="0" fillId="6" borderId="17" xfId="0" applyNumberFormat="1" applyFill="1" applyBorder="1" applyAlignment="1">
      <alignment horizontal="right"/>
    </xf>
    <xf numFmtId="164" fontId="0" fillId="10" borderId="27" xfId="0" applyNumberFormat="1" applyFill="1" applyBorder="1" applyAlignment="1">
      <alignment horizontal="right"/>
    </xf>
    <xf numFmtId="0" fontId="3" fillId="10" borderId="1" xfId="0" applyFont="1" applyFill="1" applyBorder="1" applyAlignment="1">
      <alignment horizontal="center"/>
    </xf>
    <xf numFmtId="164" fontId="0" fillId="10" borderId="1" xfId="0" applyNumberFormat="1" applyFill="1" applyBorder="1" applyAlignment="1">
      <alignment horizontal="right"/>
    </xf>
    <xf numFmtId="1" fontId="0" fillId="0" borderId="27" xfId="0" applyNumberFormat="1" applyFill="1" applyBorder="1" applyAlignment="1">
      <alignment horizontal="right"/>
    </xf>
    <xf numFmtId="2" fontId="3" fillId="0" borderId="27" xfId="0" applyNumberFormat="1" applyFont="1" applyBorder="1" applyAlignment="1"/>
    <xf numFmtId="164" fontId="0" fillId="10" borderId="12" xfId="0" applyNumberFormat="1" applyFill="1" applyBorder="1" applyAlignment="1">
      <alignment horizontal="right"/>
    </xf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0" fontId="3" fillId="8" borderId="1" xfId="0" applyNumberFormat="1" applyFont="1" applyFill="1" applyBorder="1" applyAlignment="1" applyProtection="1">
      <alignment horizontal="center" vertical="center"/>
    </xf>
    <xf numFmtId="0" fontId="0" fillId="5" borderId="1" xfId="0" applyNumberFormat="1" applyFont="1" applyFill="1" applyBorder="1" applyAlignment="1" applyProtection="1">
      <alignment horizontal="center" vertical="center"/>
    </xf>
    <xf numFmtId="0" fontId="0" fillId="11" borderId="1" xfId="0" applyNumberFormat="1" applyFont="1" applyFill="1" applyBorder="1" applyAlignment="1" applyProtection="1">
      <alignment horizontal="center" vertical="center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0" fillId="4" borderId="1" xfId="0" applyNumberFormat="1" applyFont="1" applyFill="1" applyBorder="1" applyAlignment="1" applyProtection="1">
      <alignment horizontal="center" vertical="center"/>
    </xf>
    <xf numFmtId="0" fontId="3" fillId="9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3" fillId="0" borderId="1" xfId="0" applyNumberFormat="1" applyFont="1" applyBorder="1" applyAlignment="1">
      <alignment horizontal="right"/>
    </xf>
    <xf numFmtId="164" fontId="3" fillId="0" borderId="1" xfId="0" applyNumberFormat="1" applyFont="1" applyFill="1" applyBorder="1" applyAlignment="1">
      <alignment horizontal="right"/>
    </xf>
    <xf numFmtId="2" fontId="3" fillId="0" borderId="1" xfId="0" applyNumberFormat="1" applyFont="1" applyBorder="1" applyAlignment="1">
      <alignment horizontal="center"/>
    </xf>
    <xf numFmtId="164" fontId="0" fillId="0" borderId="1" xfId="0" applyNumberFormat="1" applyFont="1" applyFill="1" applyBorder="1" applyAlignment="1">
      <alignment horizontal="right"/>
    </xf>
    <xf numFmtId="2" fontId="0" fillId="0" borderId="1" xfId="0" applyNumberFormat="1" applyFont="1" applyFill="1" applyBorder="1" applyAlignment="1">
      <alignment horizontal="right"/>
    </xf>
    <xf numFmtId="2" fontId="0" fillId="0" borderId="1" xfId="0" applyNumberFormat="1" applyFont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2" fontId="0" fillId="9" borderId="1" xfId="0" applyNumberFormat="1" applyFill="1" applyBorder="1" applyAlignment="1">
      <alignment horizontal="right"/>
    </xf>
    <xf numFmtId="165" fontId="0" fillId="0" borderId="1" xfId="0" applyNumberFormat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4" fontId="0" fillId="9" borderId="1" xfId="0" applyNumberFormat="1" applyFill="1" applyBorder="1"/>
    <xf numFmtId="165" fontId="0" fillId="9" borderId="1" xfId="0" applyNumberFormat="1" applyFill="1" applyBorder="1"/>
    <xf numFmtId="2" fontId="0" fillId="9" borderId="1" xfId="0" applyNumberFormat="1" applyFill="1" applyBorder="1"/>
    <xf numFmtId="165" fontId="0" fillId="7" borderId="1" xfId="0" applyNumberFormat="1" applyFill="1" applyBorder="1" applyAlignment="1">
      <alignment horizontal="right"/>
    </xf>
    <xf numFmtId="2" fontId="0" fillId="7" borderId="1" xfId="0" applyNumberFormat="1" applyFill="1" applyBorder="1" applyAlignment="1">
      <alignment horizontal="right"/>
    </xf>
    <xf numFmtId="0" fontId="0" fillId="0" borderId="27" xfId="0" applyBorder="1" applyAlignment="1">
      <alignment horizontal="center"/>
    </xf>
    <xf numFmtId="2" fontId="0" fillId="0" borderId="27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65" fontId="3" fillId="0" borderId="27" xfId="0" applyNumberFormat="1" applyFont="1" applyBorder="1" applyAlignment="1">
      <alignment horizontal="right"/>
    </xf>
    <xf numFmtId="164" fontId="3" fillId="0" borderId="27" xfId="0" applyNumberFormat="1" applyFont="1" applyFill="1" applyBorder="1" applyAlignment="1">
      <alignment horizontal="right"/>
    </xf>
    <xf numFmtId="2" fontId="3" fillId="0" borderId="27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2" xfId="0" applyNumberFormat="1" applyFont="1" applyFill="1" applyBorder="1" applyAlignment="1">
      <alignment horizontal="right"/>
    </xf>
    <xf numFmtId="2" fontId="0" fillId="0" borderId="12" xfId="0" applyNumberFormat="1" applyFont="1" applyFill="1" applyBorder="1" applyAlignment="1">
      <alignment horizontal="right"/>
    </xf>
    <xf numFmtId="2" fontId="0" fillId="0" borderId="12" xfId="0" applyNumberFormat="1" applyFont="1" applyBorder="1" applyAlignment="1">
      <alignment horizontal="center"/>
    </xf>
    <xf numFmtId="11" fontId="3" fillId="0" borderId="12" xfId="0" applyNumberFormat="1" applyFont="1" applyBorder="1" applyAlignment="1">
      <alignment horizontal="right"/>
    </xf>
    <xf numFmtId="0" fontId="0" fillId="9" borderId="27" xfId="0" applyFill="1" applyBorder="1" applyAlignment="1">
      <alignment horizontal="center"/>
    </xf>
    <xf numFmtId="165" fontId="0" fillId="9" borderId="27" xfId="0" applyNumberFormat="1" applyFill="1" applyBorder="1" applyAlignment="1">
      <alignment horizontal="center"/>
    </xf>
    <xf numFmtId="1" fontId="0" fillId="9" borderId="27" xfId="0" applyNumberFormat="1" applyFill="1" applyBorder="1" applyAlignment="1">
      <alignment horizontal="right"/>
    </xf>
    <xf numFmtId="165" fontId="0" fillId="9" borderId="27" xfId="0" applyNumberFormat="1" applyFill="1" applyBorder="1" applyAlignment="1">
      <alignment horizontal="right"/>
    </xf>
    <xf numFmtId="164" fontId="0" fillId="9" borderId="27" xfId="0" applyNumberFormat="1" applyFill="1" applyBorder="1" applyAlignment="1">
      <alignment horizontal="right"/>
    </xf>
    <xf numFmtId="0" fontId="0" fillId="9" borderId="27" xfId="0" applyFill="1" applyBorder="1" applyAlignment="1">
      <alignment horizontal="right"/>
    </xf>
    <xf numFmtId="164" fontId="0" fillId="9" borderId="27" xfId="0" applyNumberFormat="1" applyFont="1" applyFill="1" applyBorder="1" applyAlignment="1">
      <alignment horizontal="right"/>
    </xf>
    <xf numFmtId="0" fontId="0" fillId="9" borderId="27" xfId="0" applyFont="1" applyFill="1" applyBorder="1" applyAlignment="1">
      <alignment horizontal="right"/>
    </xf>
    <xf numFmtId="0" fontId="0" fillId="9" borderId="27" xfId="0" applyFont="1" applyFill="1" applyBorder="1" applyAlignment="1">
      <alignment horizontal="center"/>
    </xf>
    <xf numFmtId="2" fontId="3" fillId="9" borderId="27" xfId="0" applyNumberFormat="1" applyFont="1" applyFill="1" applyBorder="1" applyAlignment="1">
      <alignment horizontal="right"/>
    </xf>
    <xf numFmtId="2" fontId="3" fillId="9" borderId="27" xfId="0" applyNumberFormat="1" applyFont="1" applyFill="1" applyBorder="1" applyAlignment="1"/>
    <xf numFmtId="11" fontId="0" fillId="9" borderId="27" xfId="0" applyNumberFormat="1" applyFill="1" applyBorder="1" applyAlignment="1">
      <alignment horizontal="right"/>
    </xf>
    <xf numFmtId="1" fontId="0" fillId="10" borderId="43" xfId="0" applyNumberFormat="1" applyFont="1" applyFill="1" applyBorder="1" applyAlignment="1">
      <alignment horizontal="right"/>
    </xf>
    <xf numFmtId="1" fontId="0" fillId="0" borderId="13" xfId="0" applyNumberFormat="1" applyBorder="1" applyAlignment="1">
      <alignment horizontal="right"/>
    </xf>
    <xf numFmtId="1" fontId="16" fillId="0" borderId="13" xfId="0" applyNumberFormat="1" applyFont="1" applyFill="1" applyBorder="1" applyAlignment="1">
      <alignment horizontal="right"/>
    </xf>
    <xf numFmtId="165" fontId="0" fillId="0" borderId="27" xfId="0" applyNumberFormat="1" applyFill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2" fontId="3" fillId="6" borderId="27" xfId="0" applyNumberFormat="1" applyFont="1" applyFill="1" applyBorder="1" applyAlignment="1">
      <alignment horizontal="right"/>
    </xf>
    <xf numFmtId="1" fontId="3" fillId="0" borderId="13" xfId="0" applyNumberFormat="1" applyFont="1" applyBorder="1" applyAlignment="1">
      <alignment horizontal="right"/>
    </xf>
    <xf numFmtId="164" fontId="8" fillId="0" borderId="11" xfId="0" applyNumberFormat="1" applyFont="1" applyBorder="1" applyAlignment="1">
      <alignment horizontal="right"/>
    </xf>
    <xf numFmtId="164" fontId="0" fillId="0" borderId="27" xfId="0" applyNumberFormat="1" applyBorder="1"/>
    <xf numFmtId="165" fontId="0" fillId="0" borderId="27" xfId="0" applyNumberFormat="1" applyBorder="1"/>
    <xf numFmtId="2" fontId="0" fillId="0" borderId="27" xfId="0" applyNumberFormat="1" applyBorder="1"/>
    <xf numFmtId="0" fontId="0" fillId="0" borderId="27" xfId="0" applyBorder="1"/>
    <xf numFmtId="0" fontId="0" fillId="0" borderId="27" xfId="0" applyBorder="1" applyAlignment="1">
      <alignment horizontal="right"/>
    </xf>
    <xf numFmtId="165" fontId="3" fillId="10" borderId="24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165" fontId="3" fillId="0" borderId="0" xfId="0" applyNumberFormat="1" applyFon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164" fontId="0" fillId="0" borderId="0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5" fontId="3" fillId="0" borderId="0" xfId="0" applyNumberFormat="1" applyFont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0" fillId="13" borderId="1" xfId="0" applyFill="1" applyBorder="1"/>
    <xf numFmtId="0" fontId="0" fillId="14" borderId="1" xfId="0" applyFill="1" applyBorder="1"/>
    <xf numFmtId="11" fontId="0" fillId="13" borderId="1" xfId="0" applyNumberFormat="1" applyFill="1" applyBorder="1"/>
    <xf numFmtId="0" fontId="0" fillId="14" borderId="0" xfId="0" applyFill="1"/>
    <xf numFmtId="11" fontId="0" fillId="15" borderId="0" xfId="0" applyNumberFormat="1" applyFill="1"/>
    <xf numFmtId="0" fontId="0" fillId="15" borderId="0" xfId="0" applyFill="1"/>
    <xf numFmtId="0" fontId="0" fillId="15" borderId="1" xfId="0" applyFill="1" applyBorder="1"/>
    <xf numFmtId="11" fontId="0" fillId="15" borderId="1" xfId="0" applyNumberFormat="1" applyFill="1" applyBorder="1"/>
    <xf numFmtId="0" fontId="0" fillId="7" borderId="1" xfId="0" applyFill="1" applyBorder="1"/>
    <xf numFmtId="0" fontId="0" fillId="16" borderId="1" xfId="0" applyFill="1" applyBorder="1"/>
    <xf numFmtId="2" fontId="0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right"/>
    </xf>
    <xf numFmtId="1" fontId="14" fillId="0" borderId="0" xfId="0" applyNumberFormat="1" applyFont="1" applyFill="1" applyBorder="1" applyAlignment="1">
      <alignment horizontal="right"/>
    </xf>
    <xf numFmtId="2" fontId="14" fillId="0" borderId="0" xfId="0" applyNumberFormat="1" applyFont="1" applyFill="1" applyBorder="1" applyAlignment="1">
      <alignment horizontal="right"/>
    </xf>
    <xf numFmtId="0" fontId="0" fillId="0" borderId="43" xfId="0" applyBorder="1"/>
    <xf numFmtId="164" fontId="0" fillId="0" borderId="43" xfId="0" applyNumberFormat="1" applyFont="1" applyFill="1" applyBorder="1" applyAlignment="1">
      <alignment horizontal="right"/>
    </xf>
    <xf numFmtId="165" fontId="0" fillId="0" borderId="43" xfId="0" applyNumberFormat="1" applyBorder="1" applyAlignment="1">
      <alignment horizontal="right"/>
    </xf>
    <xf numFmtId="164" fontId="3" fillId="0" borderId="43" xfId="0" applyNumberFormat="1" applyFont="1" applyFill="1" applyBorder="1" applyAlignment="1">
      <alignment horizontal="center"/>
    </xf>
    <xf numFmtId="164" fontId="0" fillId="0" borderId="43" xfId="0" applyNumberFormat="1" applyFont="1" applyFill="1" applyBorder="1" applyAlignment="1">
      <alignment horizontal="center"/>
    </xf>
    <xf numFmtId="166" fontId="0" fillId="0" borderId="0" xfId="0" applyNumberFormat="1" applyFont="1" applyFill="1" applyBorder="1" applyAlignment="1">
      <alignment horizontal="right"/>
    </xf>
    <xf numFmtId="166" fontId="0" fillId="0" borderId="0" xfId="0" applyNumberFormat="1"/>
    <xf numFmtId="166" fontId="0" fillId="0" borderId="0" xfId="0" applyNumberFormat="1" applyBorder="1"/>
    <xf numFmtId="166" fontId="3" fillId="0" borderId="0" xfId="0" applyNumberFormat="1" applyFont="1" applyBorder="1" applyAlignment="1">
      <alignment horizontal="right"/>
    </xf>
    <xf numFmtId="166" fontId="0" fillId="0" borderId="0" xfId="0" applyNumberFormat="1" applyBorder="1" applyAlignment="1">
      <alignment horizontal="right"/>
    </xf>
    <xf numFmtId="166" fontId="3" fillId="0" borderId="0" xfId="0" applyNumberFormat="1" applyFont="1" applyFill="1" applyBorder="1" applyAlignment="1">
      <alignment horizontal="right"/>
    </xf>
    <xf numFmtId="0" fontId="0" fillId="4" borderId="0" xfId="0" applyFill="1"/>
    <xf numFmtId="0" fontId="0" fillId="18" borderId="0" xfId="0" applyFill="1"/>
    <xf numFmtId="0" fontId="0" fillId="18" borderId="1" xfId="0" applyFill="1" applyBorder="1"/>
    <xf numFmtId="0" fontId="0" fillId="4" borderId="1" xfId="0" applyFill="1" applyBorder="1"/>
    <xf numFmtId="0" fontId="0" fillId="0" borderId="43" xfId="0" applyFill="1" applyBorder="1"/>
    <xf numFmtId="0" fontId="0" fillId="0" borderId="0" xfId="0" applyFill="1" applyBorder="1"/>
    <xf numFmtId="0" fontId="0" fillId="17" borderId="1" xfId="0" applyFill="1" applyBorder="1"/>
    <xf numFmtId="2" fontId="3" fillId="0" borderId="8" xfId="0" applyNumberFormat="1" applyFont="1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0" fillId="0" borderId="8" xfId="0" applyFill="1" applyBorder="1" applyAlignment="1">
      <alignment horizontal="right"/>
    </xf>
    <xf numFmtId="0" fontId="0" fillId="0" borderId="28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2" fontId="3" fillId="0" borderId="7" xfId="0" applyNumberFormat="1" applyFont="1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27" xfId="0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167" fontId="3" fillId="0" borderId="0" xfId="0" applyNumberFormat="1" applyFont="1" applyBorder="1" applyAlignment="1">
      <alignment horizontal="right"/>
    </xf>
    <xf numFmtId="167" fontId="0" fillId="0" borderId="0" xfId="0" applyNumberFormat="1" applyBorder="1" applyAlignment="1">
      <alignment horizontal="right"/>
    </xf>
    <xf numFmtId="167" fontId="3" fillId="0" borderId="0" xfId="0" applyNumberFormat="1" applyFont="1" applyFill="1" applyBorder="1" applyAlignment="1">
      <alignment horizontal="right"/>
    </xf>
    <xf numFmtId="167" fontId="0" fillId="0" borderId="0" xfId="0" applyNumberFormat="1" applyFont="1" applyFill="1" applyBorder="1" applyAlignment="1">
      <alignment horizontal="right"/>
    </xf>
    <xf numFmtId="167" fontId="0" fillId="0" borderId="0" xfId="0" applyNumberFormat="1"/>
    <xf numFmtId="0" fontId="0" fillId="0" borderId="20" xfId="0" applyBorder="1" applyAlignment="1">
      <alignment horizontal="center"/>
    </xf>
    <xf numFmtId="2" fontId="14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2" fontId="14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0" fillId="0" borderId="40" xfId="0" applyBorder="1" applyAlignment="1">
      <alignment horizontal="center"/>
    </xf>
    <xf numFmtId="1" fontId="3" fillId="0" borderId="0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 applyFill="1" applyBorder="1"/>
    <xf numFmtId="1" fontId="14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right"/>
    </xf>
    <xf numFmtId="165" fontId="14" fillId="0" borderId="0" xfId="0" applyNumberFormat="1" applyFont="1" applyFill="1" applyBorder="1" applyAlignment="1">
      <alignment horizontal="center"/>
    </xf>
    <xf numFmtId="0" fontId="0" fillId="0" borderId="0" xfId="0" applyFont="1" applyFill="1" applyBorder="1"/>
    <xf numFmtId="1" fontId="0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ont="1" applyFill="1" applyBorder="1"/>
    <xf numFmtId="167" fontId="0" fillId="0" borderId="0" xfId="0" applyNumberFormat="1" applyFont="1" applyFill="1" applyBorder="1"/>
    <xf numFmtId="0" fontId="0" fillId="0" borderId="0" xfId="0" applyFont="1" applyFill="1" applyBorder="1" applyAlignment="1">
      <alignment horizontal="center" vertical="center"/>
    </xf>
    <xf numFmtId="11" fontId="0" fillId="0" borderId="0" xfId="0" applyNumberFormat="1"/>
    <xf numFmtId="11" fontId="0" fillId="14" borderId="0" xfId="0" applyNumberFormat="1" applyFill="1"/>
    <xf numFmtId="11" fontId="0" fillId="0" borderId="0" xfId="0" applyNumberFormat="1" applyFill="1"/>
    <xf numFmtId="0" fontId="0" fillId="11" borderId="0" xfId="0" applyFill="1"/>
    <xf numFmtId="0" fontId="0" fillId="50" borderId="0" xfId="0" applyFill="1"/>
    <xf numFmtId="167" fontId="14" fillId="0" borderId="0" xfId="0" applyNumberFormat="1" applyFont="1" applyFill="1" applyBorder="1" applyAlignment="1">
      <alignment horizontal="right"/>
    </xf>
    <xf numFmtId="167" fontId="14" fillId="11" borderId="0" xfId="0" applyNumberFormat="1" applyFont="1" applyFill="1" applyBorder="1" applyAlignment="1">
      <alignment horizontal="right"/>
    </xf>
    <xf numFmtId="0" fontId="7" fillId="8" borderId="17" xfId="0" applyFont="1" applyFill="1" applyBorder="1" applyAlignment="1">
      <alignment horizontal="center"/>
    </xf>
    <xf numFmtId="0" fontId="11" fillId="8" borderId="19" xfId="0" applyFont="1" applyFill="1" applyBorder="1" applyAlignment="1">
      <alignment horizontal="center"/>
    </xf>
    <xf numFmtId="166" fontId="14" fillId="0" borderId="24" xfId="0" applyNumberFormat="1" applyFont="1" applyFill="1" applyBorder="1" applyAlignment="1">
      <alignment horizontal="right"/>
    </xf>
    <xf numFmtId="1" fontId="14" fillId="0" borderId="24" xfId="0" applyNumberFormat="1" applyFont="1" applyFill="1" applyBorder="1" applyAlignment="1">
      <alignment horizontal="right"/>
    </xf>
    <xf numFmtId="1" fontId="14" fillId="0" borderId="43" xfId="0" applyNumberFormat="1" applyFont="1" applyFill="1" applyBorder="1" applyAlignment="1">
      <alignment horizontal="right"/>
    </xf>
    <xf numFmtId="1" fontId="14" fillId="0" borderId="17" xfId="0" applyNumberFormat="1" applyFont="1" applyFill="1" applyBorder="1" applyAlignment="1">
      <alignment horizontal="right"/>
    </xf>
    <xf numFmtId="1" fontId="14" fillId="12" borderId="17" xfId="0" applyNumberFormat="1" applyFont="1" applyFill="1" applyBorder="1" applyAlignment="1">
      <alignment horizontal="right"/>
    </xf>
    <xf numFmtId="168" fontId="14" fillId="0" borderId="24" xfId="0" applyNumberFormat="1" applyFont="1" applyFill="1" applyBorder="1" applyAlignment="1">
      <alignment horizontal="right"/>
    </xf>
    <xf numFmtId="1" fontId="15" fillId="0" borderId="24" xfId="0" applyNumberFormat="1" applyFont="1" applyFill="1" applyBorder="1" applyAlignment="1">
      <alignment horizontal="right"/>
    </xf>
    <xf numFmtId="164" fontId="14" fillId="0" borderId="24" xfId="0" applyNumberFormat="1" applyFont="1" applyFill="1" applyBorder="1" applyAlignment="1">
      <alignment horizontal="right"/>
    </xf>
    <xf numFmtId="164" fontId="15" fillId="0" borderId="24" xfId="0" applyNumberFormat="1" applyFont="1" applyFill="1" applyBorder="1" applyAlignment="1">
      <alignment horizontal="right"/>
    </xf>
    <xf numFmtId="1" fontId="15" fillId="0" borderId="43" xfId="0" applyNumberFormat="1" applyFont="1" applyFill="1" applyBorder="1" applyAlignment="1">
      <alignment horizontal="right"/>
    </xf>
    <xf numFmtId="1" fontId="15" fillId="12" borderId="17" xfId="0" applyNumberFormat="1" applyFont="1" applyFill="1" applyBorder="1" applyAlignment="1">
      <alignment horizontal="right"/>
    </xf>
    <xf numFmtId="166" fontId="15" fillId="0" borderId="24" xfId="0" applyNumberFormat="1" applyFont="1" applyFill="1" applyBorder="1" applyAlignment="1">
      <alignment horizontal="right"/>
    </xf>
    <xf numFmtId="167" fontId="14" fillId="0" borderId="24" xfId="0" applyNumberFormat="1" applyFont="1" applyFill="1" applyBorder="1" applyAlignment="1">
      <alignment horizontal="right"/>
    </xf>
    <xf numFmtId="164" fontId="14" fillId="0" borderId="43" xfId="0" applyNumberFormat="1" applyFont="1" applyFill="1" applyBorder="1" applyAlignment="1">
      <alignment horizontal="right"/>
    </xf>
    <xf numFmtId="164" fontId="14" fillId="0" borderId="17" xfId="0" applyNumberFormat="1" applyFont="1" applyFill="1" applyBorder="1" applyAlignment="1">
      <alignment horizontal="right"/>
    </xf>
    <xf numFmtId="164" fontId="14" fillId="12" borderId="17" xfId="0" applyNumberFormat="1" applyFont="1" applyFill="1" applyBorder="1" applyAlignment="1">
      <alignment horizontal="right"/>
    </xf>
    <xf numFmtId="164" fontId="14" fillId="12" borderId="24" xfId="0" applyNumberFormat="1" applyFont="1" applyFill="1" applyBorder="1" applyAlignment="1">
      <alignment horizontal="right"/>
    </xf>
    <xf numFmtId="2" fontId="14" fillId="12" borderId="24" xfId="0" applyNumberFormat="1" applyFont="1" applyFill="1" applyBorder="1" applyAlignment="1">
      <alignment horizontal="right"/>
    </xf>
    <xf numFmtId="167" fontId="15" fillId="0" borderId="24" xfId="0" applyNumberFormat="1" applyFont="1" applyFill="1" applyBorder="1" applyAlignment="1">
      <alignment horizontal="right"/>
    </xf>
    <xf numFmtId="166" fontId="14" fillId="0" borderId="17" xfId="0" applyNumberFormat="1" applyFont="1" applyFill="1" applyBorder="1" applyAlignment="1">
      <alignment horizontal="right"/>
    </xf>
    <xf numFmtId="1" fontId="15" fillId="0" borderId="17" xfId="0" applyNumberFormat="1" applyFont="1" applyFill="1" applyBorder="1" applyAlignment="1">
      <alignment horizontal="right"/>
    </xf>
    <xf numFmtId="166" fontId="3" fillId="0" borderId="17" xfId="0" applyNumberFormat="1" applyFont="1" applyFill="1" applyBorder="1" applyAlignment="1">
      <alignment horizontal="right"/>
    </xf>
    <xf numFmtId="1" fontId="15" fillId="0" borderId="0" xfId="0" applyNumberFormat="1" applyFont="1" applyFill="1" applyBorder="1" applyAlignment="1">
      <alignment horizontal="right"/>
    </xf>
    <xf numFmtId="2" fontId="8" fillId="0" borderId="24" xfId="0" applyNumberFormat="1" applyFont="1" applyBorder="1" applyAlignment="1">
      <alignment horizontal="right"/>
    </xf>
    <xf numFmtId="164" fontId="8" fillId="0" borderId="24" xfId="0" applyNumberFormat="1" applyFont="1" applyBorder="1" applyAlignment="1">
      <alignment horizontal="right"/>
    </xf>
    <xf numFmtId="164" fontId="8" fillId="0" borderId="43" xfId="0" applyNumberFormat="1" applyFont="1" applyBorder="1" applyAlignment="1">
      <alignment horizontal="right"/>
    </xf>
    <xf numFmtId="2" fontId="8" fillId="0" borderId="17" xfId="0" applyNumberFormat="1" applyFont="1" applyBorder="1" applyAlignment="1">
      <alignment horizontal="right"/>
    </xf>
    <xf numFmtId="2" fontId="8" fillId="9" borderId="17" xfId="0" applyNumberFormat="1" applyFont="1" applyFill="1" applyBorder="1" applyAlignment="1">
      <alignment horizontal="right"/>
    </xf>
    <xf numFmtId="164" fontId="8" fillId="9" borderId="24" xfId="0" applyNumberFormat="1" applyFont="1" applyFill="1" applyBorder="1" applyAlignment="1">
      <alignment horizontal="right"/>
    </xf>
    <xf numFmtId="166" fontId="3" fillId="0" borderId="24" xfId="0" applyNumberFormat="1" applyFont="1" applyBorder="1" applyAlignment="1">
      <alignment horizontal="right"/>
    </xf>
    <xf numFmtId="164" fontId="15" fillId="0" borderId="43" xfId="0" applyNumberFormat="1" applyFont="1" applyFill="1" applyBorder="1" applyAlignment="1">
      <alignment horizontal="right"/>
    </xf>
    <xf numFmtId="164" fontId="15" fillId="0" borderId="17" xfId="0" applyNumberFormat="1" applyFont="1" applyFill="1" applyBorder="1" applyAlignment="1">
      <alignment horizontal="right"/>
    </xf>
    <xf numFmtId="164" fontId="15" fillId="12" borderId="17" xfId="0" applyNumberFormat="1" applyFont="1" applyFill="1" applyBorder="1" applyAlignment="1">
      <alignment horizontal="right"/>
    </xf>
    <xf numFmtId="164" fontId="15" fillId="12" borderId="24" xfId="0" applyNumberFormat="1" applyFont="1" applyFill="1" applyBorder="1" applyAlignment="1">
      <alignment horizontal="right"/>
    </xf>
    <xf numFmtId="167" fontId="3" fillId="0" borderId="17" xfId="0" applyNumberFormat="1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7" fillId="3" borderId="43" xfId="0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right"/>
    </xf>
    <xf numFmtId="1" fontId="3" fillId="7" borderId="0" xfId="0" applyNumberFormat="1" applyFont="1" applyFill="1" applyBorder="1" applyAlignment="1">
      <alignment horizontal="right"/>
    </xf>
    <xf numFmtId="2" fontId="3" fillId="0" borderId="32" xfId="0" applyNumberFormat="1" applyFont="1" applyBorder="1" applyAlignment="1">
      <alignment horizontal="center" vertical="center"/>
    </xf>
    <xf numFmtId="0" fontId="33" fillId="51" borderId="0" xfId="0" applyFont="1" applyFill="1" applyAlignment="1">
      <alignment horizontal="center" vertical="center"/>
    </xf>
    <xf numFmtId="0" fontId="0" fillId="51" borderId="0" xfId="0" applyFill="1" applyAlignment="1">
      <alignment horizontal="center" vertical="center"/>
    </xf>
    <xf numFmtId="0" fontId="7" fillId="52" borderId="32" xfId="0" applyFont="1" applyFill="1" applyBorder="1" applyAlignment="1">
      <alignment horizontal="center" vertical="center" wrapText="1"/>
    </xf>
    <xf numFmtId="0" fontId="7" fillId="52" borderId="7" xfId="0" applyFont="1" applyFill="1" applyBorder="1" applyAlignment="1">
      <alignment horizontal="center" vertical="center" wrapText="1"/>
    </xf>
    <xf numFmtId="0" fontId="33" fillId="52" borderId="14" xfId="0" applyFont="1" applyFill="1" applyBorder="1" applyAlignment="1">
      <alignment horizontal="center" vertical="center"/>
    </xf>
    <xf numFmtId="0" fontId="7" fillId="52" borderId="25" xfId="0" applyFont="1" applyFill="1" applyBorder="1" applyAlignment="1">
      <alignment horizontal="center" vertical="center"/>
    </xf>
    <xf numFmtId="0" fontId="33" fillId="52" borderId="15" xfId="0" applyFont="1" applyFill="1" applyBorder="1" applyAlignment="1">
      <alignment horizontal="center" vertical="center"/>
    </xf>
    <xf numFmtId="0" fontId="7" fillId="52" borderId="15" xfId="0" applyFont="1" applyFill="1" applyBorder="1" applyAlignment="1">
      <alignment horizontal="center" vertical="center"/>
    </xf>
    <xf numFmtId="0" fontId="33" fillId="52" borderId="56" xfId="0" applyFont="1" applyFill="1" applyBorder="1" applyAlignment="1">
      <alignment horizontal="center" vertical="center"/>
    </xf>
    <xf numFmtId="0" fontId="7" fillId="52" borderId="1" xfId="0" applyFont="1" applyFill="1" applyBorder="1" applyAlignment="1">
      <alignment horizontal="center" vertical="center" wrapText="1"/>
    </xf>
    <xf numFmtId="0" fontId="7" fillId="52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7" fillId="52" borderId="57" xfId="0" applyFont="1" applyFill="1" applyBorder="1" applyAlignment="1">
      <alignment horizontal="center" vertical="center" wrapText="1"/>
    </xf>
    <xf numFmtId="0" fontId="7" fillId="52" borderId="58" xfId="0" applyFont="1" applyFill="1" applyBorder="1" applyAlignment="1">
      <alignment horizontal="center" vertical="center" wrapText="1"/>
    </xf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35FE9BFD-F8D7-4161-A6E5-4DE582EA5A5C}"/>
    <cellStyle name="60% - Accent2 2" xfId="37" xr:uid="{016166CD-0313-4ACB-B3F6-407436C38179}"/>
    <cellStyle name="60% - Accent3 2" xfId="38" xr:uid="{9F793664-0F7A-400A-9D38-518D837E6C1E}"/>
    <cellStyle name="60% - Accent4 2" xfId="39" xr:uid="{DBDF2DC1-CB4B-4838-96B4-CDA223F16929}"/>
    <cellStyle name="60% - Accent5 2" xfId="40" xr:uid="{68801B17-CAD1-46ED-B732-4633CA8B9BF6}"/>
    <cellStyle name="60% - Accent6 2" xfId="41" xr:uid="{8C594E85-8B80-4FE1-8BF7-350502FE98FF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87FD7616-844C-4B7E-8984-52B06BFC7A6B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8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Fe</a:t>
            </a:r>
          </a:p>
        </c:rich>
      </c:tx>
      <c:layout>
        <c:manualLayout>
          <c:xMode val="edge"/>
          <c:yMode val="edge"/>
          <c:x val="0.19556233595800526"/>
          <c:y val="4.166666666666666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6920384951881"/>
          <c:y val="8.3333333333333329E-2"/>
          <c:w val="0.79941907261592304"/>
          <c:h val="0.72832372438280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'Sediment Conc'!$K$1</c:f>
              <c:strCache>
                <c:ptCount val="1"/>
                <c:pt idx="0">
                  <c:v>Pine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'Sediment Conc'!$J$2:$J$6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23</c:v>
                </c:pt>
                <c:pt idx="4">
                  <c:v>30</c:v>
                </c:pt>
              </c:numCache>
            </c:numRef>
          </c:xVal>
          <c:yVal>
            <c:numRef>
              <c:f>'Sediment Conc'!$K$2:$K$6</c:f>
              <c:numCache>
                <c:formatCode>0.00</c:formatCode>
                <c:ptCount val="5"/>
                <c:pt idx="1">
                  <c:v>70293.494340000005</c:v>
                </c:pt>
                <c:pt idx="2">
                  <c:v>60801.502659999998</c:v>
                </c:pt>
                <c:pt idx="3">
                  <c:v>81864.463030000014</c:v>
                </c:pt>
                <c:pt idx="4">
                  <c:v>81396.122808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B2-4705-BCC3-65DBD20F2899}"/>
            </c:ext>
          </c:extLst>
        </c:ser>
        <c:ser>
          <c:idx val="1"/>
          <c:order val="1"/>
          <c:tx>
            <c:strRef>
              <c:f>'Sediment Conc'!$L$1</c:f>
              <c:strCache>
                <c:ptCount val="1"/>
                <c:pt idx="0">
                  <c:v>Esco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'Sediment Conc'!$J$2:$J$6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23</c:v>
                </c:pt>
                <c:pt idx="4">
                  <c:v>30</c:v>
                </c:pt>
              </c:numCache>
            </c:numRef>
          </c:xVal>
          <c:yVal>
            <c:numRef>
              <c:f>'Sediment Conc'!$L$2:$L$6</c:f>
              <c:numCache>
                <c:formatCode>0.00</c:formatCode>
                <c:ptCount val="5"/>
                <c:pt idx="0">
                  <c:v>38517.984235333301</c:v>
                </c:pt>
                <c:pt idx="2">
                  <c:v>22576.673459999998</c:v>
                </c:pt>
                <c:pt idx="3">
                  <c:v>53041.003470666699</c:v>
                </c:pt>
                <c:pt idx="4">
                  <c:v>27769.098840000002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B2-4705-BCC3-65DBD20F2899}"/>
            </c:ext>
          </c:extLst>
        </c:ser>
        <c:ser>
          <c:idx val="2"/>
          <c:order val="2"/>
          <c:tx>
            <c:strRef>
              <c:f>'Sediment Conc'!$M$1</c:f>
              <c:strCache>
                <c:ptCount val="1"/>
                <c:pt idx="0">
                  <c:v>YK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'Sediment Conc'!$J$2:$J$6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23</c:v>
                </c:pt>
                <c:pt idx="4">
                  <c:v>30</c:v>
                </c:pt>
              </c:numCache>
            </c:numRef>
          </c:xVal>
          <c:yVal>
            <c:numRef>
              <c:f>'Sediment Conc'!$M$2:$M$6</c:f>
              <c:numCache>
                <c:formatCode>0.00</c:formatCode>
                <c:ptCount val="5"/>
                <c:pt idx="0">
                  <c:v>4271.9339500000006</c:v>
                </c:pt>
                <c:pt idx="1">
                  <c:v>4435.1638045833297</c:v>
                </c:pt>
                <c:pt idx="2">
                  <c:v>4732.6922104265404</c:v>
                </c:pt>
                <c:pt idx="3">
                  <c:v>3901.0574339240497</c:v>
                </c:pt>
                <c:pt idx="4">
                  <c:v>5551.0453914999998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B2-4705-BCC3-65DBD20F2899}"/>
            </c:ext>
          </c:extLst>
        </c:ser>
        <c:ser>
          <c:idx val="3"/>
          <c:order val="3"/>
          <c:tx>
            <c:strRef>
              <c:f>'Sediment Conc'!$N$1</c:f>
              <c:strCache>
                <c:ptCount val="1"/>
                <c:pt idx="0">
                  <c:v>Sines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'Sediment Conc'!$J$2:$J$6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23</c:v>
                </c:pt>
                <c:pt idx="4">
                  <c:v>30</c:v>
                </c:pt>
              </c:numCache>
            </c:numRef>
          </c:xVal>
          <c:yVal>
            <c:numRef>
              <c:f>'Sediment Conc'!$N$2:$N$6</c:f>
              <c:numCache>
                <c:formatCode>0.00</c:formatCode>
                <c:ptCount val="5"/>
                <c:pt idx="0">
                  <c:v>8279.9849959999992</c:v>
                </c:pt>
                <c:pt idx="1">
                  <c:v>11085.1989304</c:v>
                </c:pt>
                <c:pt idx="2">
                  <c:v>7650.3386399999999</c:v>
                </c:pt>
                <c:pt idx="3">
                  <c:v>11684.899829999998</c:v>
                </c:pt>
                <c:pt idx="4">
                  <c:v>7366.3849081967201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B2-4705-BCC3-65DBD20F2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437104"/>
        <c:axId val="496437432"/>
      </c:scatterChart>
      <c:valAx>
        <c:axId val="496437104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the</a:t>
                </a:r>
                <a:r>
                  <a:rPr lang="en-US" baseline="0"/>
                  <a:t> mine opening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37432"/>
        <c:crosses val="autoZero"/>
        <c:crossBetween val="midCat"/>
      </c:valAx>
      <c:valAx>
        <c:axId val="496437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(mg/kg)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3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992169728783903"/>
          <c:y val="1.4467045785943447E-2"/>
          <c:w val="0.75182327209098865"/>
          <c:h val="9.6644065325167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chemeClr val="tx1"/>
                </a:solidFill>
              </a:rPr>
              <a:t>Sines No. 2</a:t>
            </a:r>
          </a:p>
        </c:rich>
      </c:tx>
      <c:layout>
        <c:manualLayout>
          <c:xMode val="edge"/>
          <c:yMode val="edge"/>
          <c:x val="0.48734721328387515"/>
          <c:y val="6.7108177102178243E-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214847976262774E-2"/>
          <c:y val="3.8852102532840035E-2"/>
          <c:w val="0.84012515535547161"/>
          <c:h val="0.8549284184079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'Variations in Fe conc'!$D$2</c:f>
              <c:strCache>
                <c:ptCount val="1"/>
                <c:pt idx="0">
                  <c:v>Total Fe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'Variations in Fe conc'!$A$3:$A$7</c:f>
              <c:numCache>
                <c:formatCode>General</c:formatCode>
                <c:ptCount val="5"/>
                <c:pt idx="0">
                  <c:v>0</c:v>
                </c:pt>
                <c:pt idx="1">
                  <c:v>7.62</c:v>
                </c:pt>
                <c:pt idx="2">
                  <c:v>15.24</c:v>
                </c:pt>
                <c:pt idx="3">
                  <c:v>22.86</c:v>
                </c:pt>
                <c:pt idx="4">
                  <c:v>30.48</c:v>
                </c:pt>
              </c:numCache>
            </c:numRef>
          </c:cat>
          <c:val>
            <c:numRef>
              <c:f>'Variations in Fe conc'!$D$3:$D$7</c:f>
              <c:numCache>
                <c:formatCode>0.000</c:formatCode>
                <c:ptCount val="5"/>
                <c:pt idx="0">
                  <c:v>5.0949999999999998</c:v>
                </c:pt>
                <c:pt idx="1">
                  <c:v>3.8410000000000002</c:v>
                </c:pt>
                <c:pt idx="2">
                  <c:v>3.5459999999999998</c:v>
                </c:pt>
                <c:pt idx="3">
                  <c:v>3.4049999999999998</c:v>
                </c:pt>
                <c:pt idx="4">
                  <c:v>3.1629999999999998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9-4D1D-A79B-1BE8C3DF2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5390928"/>
        <c:axId val="1749228080"/>
      </c:barChart>
      <c:lineChart>
        <c:grouping val="standard"/>
        <c:varyColors val="0"/>
        <c:ser>
          <c:idx val="1"/>
          <c:order val="1"/>
          <c:tx>
            <c:strRef>
              <c:f>'Variations in Fe conc'!$E$2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'Variations in Fe conc'!$E$3:$E$7</c:f>
              <c:numCache>
                <c:formatCode>0.000000</c:formatCode>
                <c:ptCount val="5"/>
                <c:pt idx="0">
                  <c:v>3.0479999999999999E-3</c:v>
                </c:pt>
                <c:pt idx="1">
                  <c:v>6.0959999999999999E-3</c:v>
                </c:pt>
                <c:pt idx="2">
                  <c:v>6.0959999999999999E-3</c:v>
                </c:pt>
                <c:pt idx="3">
                  <c:v>6.0959999999999999E-3</c:v>
                </c:pt>
                <c:pt idx="4">
                  <c:v>9.1439999999999994E-3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D9-4D1D-A79B-1BE8C3DF2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219104"/>
        <c:axId val="313217440"/>
      </c:lineChart>
      <c:catAx>
        <c:axId val="161539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Distance from mine</a:t>
                </a:r>
                <a:r>
                  <a:rPr lang="en-US" baseline="0">
                    <a:solidFill>
                      <a:schemeClr val="tx1"/>
                    </a:solidFill>
                  </a:rPr>
                  <a:t> opening (m)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228080"/>
        <c:crosses val="autoZero"/>
        <c:auto val="1"/>
        <c:lblAlgn val="ctr"/>
        <c:lblOffset val="100"/>
        <c:noMultiLvlLbl val="1"/>
      </c:catAx>
      <c:valAx>
        <c:axId val="1749228080"/>
        <c:scaling>
          <c:orientation val="minMax"/>
          <c:max val="6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Iron</a:t>
                </a:r>
                <a:r>
                  <a:rPr lang="en-US" baseline="0">
                    <a:solidFill>
                      <a:schemeClr val="tx1"/>
                    </a:solidFill>
                  </a:rPr>
                  <a:t> Concentration (mg/L)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390928"/>
        <c:crosses val="autoZero"/>
        <c:crossBetween val="between"/>
      </c:valAx>
      <c:valAx>
        <c:axId val="313217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Velocity (ft/s)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19104"/>
        <c:crosses val="max"/>
        <c:crossBetween val="between"/>
      </c:valAx>
      <c:catAx>
        <c:axId val="31321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21744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3093031316522375"/>
          <c:y val="0.15982286556087891"/>
          <c:w val="0.20129908500342325"/>
          <c:h val="0.1408392888480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>
                <a:solidFill>
                  <a:schemeClr val="tx1"/>
                </a:solidFill>
              </a:rPr>
              <a:t>York Clay and Mining No. 4</a:t>
            </a:r>
          </a:p>
        </c:rich>
      </c:tx>
      <c:layout>
        <c:manualLayout>
          <c:xMode val="edge"/>
          <c:yMode val="edge"/>
          <c:x val="0.3674221743023357"/>
          <c:y val="6.357616778101096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214847976262774E-2"/>
          <c:y val="3.8852102532840035E-2"/>
          <c:w val="0.84012515535547161"/>
          <c:h val="0.914972576867786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'Variations in Fe conc'!$B$2</c:f>
              <c:strCache>
                <c:ptCount val="1"/>
                <c:pt idx="0">
                  <c:v>Total Fe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'Variations in Fe conc'!$A$3:$A$7</c:f>
              <c:numCache>
                <c:formatCode>General</c:formatCode>
                <c:ptCount val="5"/>
                <c:pt idx="0">
                  <c:v>0</c:v>
                </c:pt>
                <c:pt idx="1">
                  <c:v>7.62</c:v>
                </c:pt>
                <c:pt idx="2">
                  <c:v>15.24</c:v>
                </c:pt>
                <c:pt idx="3">
                  <c:v>22.86</c:v>
                </c:pt>
                <c:pt idx="4">
                  <c:v>30.48</c:v>
                </c:pt>
              </c:numCache>
            </c:numRef>
          </c:cat>
          <c:val>
            <c:numRef>
              <c:f>'Variations in Fe conc'!$B$3:$B$7</c:f>
              <c:numCache>
                <c:formatCode>0.000</c:formatCode>
                <c:ptCount val="5"/>
                <c:pt idx="0">
                  <c:v>6.2169999999999996</c:v>
                </c:pt>
                <c:pt idx="1">
                  <c:v>5.593</c:v>
                </c:pt>
                <c:pt idx="2">
                  <c:v>2.323</c:v>
                </c:pt>
                <c:pt idx="3">
                  <c:v>1.2070000000000001</c:v>
                </c:pt>
                <c:pt idx="4">
                  <c:v>1.845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5-493C-9787-CEC79703E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5390928"/>
        <c:axId val="1749228080"/>
      </c:barChart>
      <c:lineChart>
        <c:grouping val="standard"/>
        <c:varyColors val="0"/>
        <c:ser>
          <c:idx val="1"/>
          <c:order val="1"/>
          <c:tx>
            <c:strRef>
              <c:f>'Variations in Fe conc'!$C$2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'Variations in Fe conc'!$C$3:$C$7</c:f>
              <c:numCache>
                <c:formatCode>0.000000</c:formatCode>
                <c:ptCount val="5"/>
                <c:pt idx="0">
                  <c:v>3.0479999999999999E-3</c:v>
                </c:pt>
                <c:pt idx="1">
                  <c:v>3.0479999999999999E-3</c:v>
                </c:pt>
                <c:pt idx="2">
                  <c:v>6.0959999999999999E-3</c:v>
                </c:pt>
                <c:pt idx="3">
                  <c:v>9.1439999999999994E-3</c:v>
                </c:pt>
                <c:pt idx="4">
                  <c:v>6.0959999999999999E-3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35-493C-9787-CEC79703E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219104"/>
        <c:axId val="313217440"/>
      </c:lineChart>
      <c:catAx>
        <c:axId val="1615390928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228080"/>
        <c:crosses val="autoZero"/>
        <c:auto val="1"/>
        <c:lblAlgn val="ctr"/>
        <c:lblOffset val="100"/>
        <c:noMultiLvlLbl val="1"/>
      </c:catAx>
      <c:valAx>
        <c:axId val="1749228080"/>
        <c:scaling>
          <c:orientation val="minMax"/>
          <c:max val="7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Iron</a:t>
                </a:r>
                <a:r>
                  <a:rPr lang="en-US" baseline="0">
                    <a:solidFill>
                      <a:schemeClr val="tx1"/>
                    </a:solidFill>
                  </a:rPr>
                  <a:t> Concentration (mg/L)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390928"/>
        <c:crosses val="autoZero"/>
        <c:crossBetween val="between"/>
      </c:valAx>
      <c:valAx>
        <c:axId val="313217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Velocity (ft/s)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19104"/>
        <c:crosses val="max"/>
        <c:crossBetween val="between"/>
      </c:valAx>
      <c:catAx>
        <c:axId val="31321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217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951385636510933"/>
          <c:y val="6.7990623210529733E-2"/>
          <c:w val="0.20129908500342325"/>
          <c:h val="0.1408392888480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PO4</a:t>
            </a:r>
          </a:p>
        </c:rich>
      </c:tx>
      <c:layout>
        <c:manualLayout>
          <c:xMode val="edge"/>
          <c:yMode val="edge"/>
          <c:x val="0.14186967014330171"/>
          <c:y val="3.8725774615369246E-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40692299736931"/>
          <c:y val="6.6058244591806314E-2"/>
          <c:w val="0.86122204054554907"/>
          <c:h val="0.891965614671555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'Variability of PO4'!$C$2</c:f>
              <c:strCache>
                <c:ptCount val="1"/>
                <c:pt idx="0">
                  <c:v>York Clay and Mining No. 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'Variability of PO4'!$B$3:$B$7</c:f>
              <c:numCache>
                <c:formatCode>General</c:formatCode>
                <c:ptCount val="5"/>
                <c:pt idx="0">
                  <c:v>0</c:v>
                </c:pt>
                <c:pt idx="1">
                  <c:v>7.62</c:v>
                </c:pt>
                <c:pt idx="2">
                  <c:v>15.24</c:v>
                </c:pt>
                <c:pt idx="3">
                  <c:v>22.86</c:v>
                </c:pt>
                <c:pt idx="4">
                  <c:v>30.48</c:v>
                </c:pt>
              </c:numCache>
            </c:numRef>
          </c:xVal>
          <c:yVal>
            <c:numRef>
              <c:f>'Variability of PO4'!$C$3:$C$7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56-48BB-815D-7DD129811541}"/>
            </c:ext>
          </c:extLst>
        </c:ser>
        <c:ser>
          <c:idx val="1"/>
          <c:order val="1"/>
          <c:tx>
            <c:strRef>
              <c:f>'Variability of PO4'!$D$2</c:f>
              <c:strCache>
                <c:ptCount val="1"/>
                <c:pt idx="0">
                  <c:v>Sines No. 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'Variability of PO4'!$B$3:$B$7</c:f>
              <c:numCache>
                <c:formatCode>General</c:formatCode>
                <c:ptCount val="5"/>
                <c:pt idx="0">
                  <c:v>0</c:v>
                </c:pt>
                <c:pt idx="1">
                  <c:v>7.62</c:v>
                </c:pt>
                <c:pt idx="2">
                  <c:v>15.24</c:v>
                </c:pt>
                <c:pt idx="3">
                  <c:v>22.86</c:v>
                </c:pt>
                <c:pt idx="4">
                  <c:v>30.48</c:v>
                </c:pt>
              </c:numCache>
            </c:numRef>
          </c:xVal>
          <c:yVal>
            <c:numRef>
              <c:f>'Variability of PO4'!$D$3:$D$7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56-48BB-815D-7DD129811541}"/>
            </c:ext>
          </c:extLst>
        </c:ser>
        <c:ser>
          <c:idx val="2"/>
          <c:order val="2"/>
          <c:tx>
            <c:strRef>
              <c:f>'Variability of PO4'!$E$2</c:f>
              <c:strCache>
                <c:ptCount val="1"/>
                <c:pt idx="0">
                  <c:v>Esco No. 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'Variability of PO4'!$B$3:$B$7</c:f>
              <c:numCache>
                <c:formatCode>General</c:formatCode>
                <c:ptCount val="5"/>
                <c:pt idx="0">
                  <c:v>0</c:v>
                </c:pt>
                <c:pt idx="1">
                  <c:v>7.62</c:v>
                </c:pt>
                <c:pt idx="2">
                  <c:v>15.24</c:v>
                </c:pt>
                <c:pt idx="3">
                  <c:v>22.86</c:v>
                </c:pt>
                <c:pt idx="4">
                  <c:v>30.48</c:v>
                </c:pt>
              </c:numCache>
            </c:numRef>
          </c:xVal>
          <c:yVal>
            <c:numRef>
              <c:f>'Variability of PO4'!$E$3:$E$7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56-48BB-815D-7DD129811541}"/>
            </c:ext>
          </c:extLst>
        </c:ser>
        <c:ser>
          <c:idx val="3"/>
          <c:order val="3"/>
          <c:tx>
            <c:strRef>
              <c:f>'Variability of PO4'!$F$2</c:f>
              <c:strCache>
                <c:ptCount val="1"/>
                <c:pt idx="0">
                  <c:v>Sunday Creek No. 9 and 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'Variability of PO4'!$B$3:$B$7</c:f>
              <c:numCache>
                <c:formatCode>General</c:formatCode>
                <c:ptCount val="5"/>
                <c:pt idx="0">
                  <c:v>0</c:v>
                </c:pt>
                <c:pt idx="1">
                  <c:v>7.62</c:v>
                </c:pt>
                <c:pt idx="2">
                  <c:v>15.24</c:v>
                </c:pt>
                <c:pt idx="3">
                  <c:v>22.86</c:v>
                </c:pt>
                <c:pt idx="4">
                  <c:v>30.48</c:v>
                </c:pt>
              </c:numCache>
            </c:numRef>
          </c:xVal>
          <c:yVal>
            <c:numRef>
              <c:f>'Variability of PO4'!$F$3:$F$7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56-48BB-815D-7DD129811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36960"/>
        <c:axId val="1758020560"/>
      </c:scatterChart>
      <c:valAx>
        <c:axId val="1615236960"/>
        <c:scaling>
          <c:orientation val="minMax"/>
          <c:max val="31"/>
          <c:min val="0"/>
        </c:scaling>
        <c:delete val="0"/>
        <c:axPos val="b"/>
        <c:numFmt formatCode="General" sourceLinked="1"/>
        <c:majorTickMark val="cross"/>
        <c:minorTickMark val="out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020560"/>
        <c:crosses val="autoZero"/>
        <c:crossBetween val="midCat"/>
      </c:valAx>
      <c:valAx>
        <c:axId val="1758020560"/>
        <c:scaling>
          <c:orientation val="minMax"/>
          <c:max val="0.1500000000000000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PO4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3696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354537766654685"/>
          <c:y val="0.23143392164723553"/>
          <c:w val="0.32602768783288794"/>
          <c:h val="0.360193882049512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>
                <a:solidFill>
                  <a:schemeClr val="tx1"/>
                </a:solidFill>
              </a:rPr>
              <a:t>Sunday Creek No. 9</a:t>
            </a:r>
            <a:r>
              <a:rPr lang="en-US" sz="1100" b="0" baseline="0">
                <a:solidFill>
                  <a:schemeClr val="tx1"/>
                </a:solidFill>
              </a:rPr>
              <a:t> and 12</a:t>
            </a:r>
            <a:endParaRPr lang="en-US" sz="1100" b="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7903157625553535"/>
          <c:y val="2.316710411198600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06618465077153"/>
          <c:y val="3.8852102532840035E-2"/>
          <c:w val="0.77054142254523583"/>
          <c:h val="0.904213418753168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'Variations in PO4(1)'!$H$2</c:f>
              <c:strCache>
                <c:ptCount val="1"/>
                <c:pt idx="0">
                  <c:v>Total NO3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'Variations in PO4(1)'!$A$3:$A$7</c:f>
              <c:numCache>
                <c:formatCode>General</c:formatCode>
                <c:ptCount val="5"/>
                <c:pt idx="0">
                  <c:v>0</c:v>
                </c:pt>
                <c:pt idx="1">
                  <c:v>7.62</c:v>
                </c:pt>
                <c:pt idx="2">
                  <c:v>15.24</c:v>
                </c:pt>
                <c:pt idx="3">
                  <c:v>22.86</c:v>
                </c:pt>
                <c:pt idx="4">
                  <c:v>30.48</c:v>
                </c:pt>
              </c:numCache>
            </c:numRef>
          </c:cat>
          <c:val>
            <c:numRef>
              <c:f>'Variations in PO4(1)'!$H$3:$H$7</c:f>
              <c:numCache>
                <c:formatCode>0.000</c:formatCode>
                <c:ptCount val="5"/>
                <c:pt idx="0">
                  <c:v>0.04</c:v>
                </c:pt>
                <c:pt idx="1">
                  <c:v>0.03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9-4D2F-85A2-735321E57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5390928"/>
        <c:axId val="1749228080"/>
      </c:barChart>
      <c:lineChart>
        <c:grouping val="standard"/>
        <c:varyColors val="0"/>
        <c:ser>
          <c:idx val="1"/>
          <c:order val="1"/>
          <c:tx>
            <c:strRef>
              <c:f>'Variations in PO4(1)'!$I$2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'Variations in PO4(1)'!$A$3:$A$7</c:f>
              <c:numCache>
                <c:formatCode>General</c:formatCode>
                <c:ptCount val="5"/>
                <c:pt idx="0">
                  <c:v>0</c:v>
                </c:pt>
                <c:pt idx="1">
                  <c:v>7.62</c:v>
                </c:pt>
                <c:pt idx="2">
                  <c:v>15.24</c:v>
                </c:pt>
                <c:pt idx="3">
                  <c:v>22.86</c:v>
                </c:pt>
                <c:pt idx="4">
                  <c:v>30.48</c:v>
                </c:pt>
              </c:numCache>
            </c:numRef>
          </c:cat>
          <c:val>
            <c:numRef>
              <c:f>'Variations in PO4(1)'!$I$3:$I$7</c:f>
              <c:numCache>
                <c:formatCode>General</c:formatCode>
                <c:ptCount val="5"/>
                <c:pt idx="0">
                  <c:v>3.3528000000000002E-2</c:v>
                </c:pt>
                <c:pt idx="1">
                  <c:v>3.6575999999999997E-2</c:v>
                </c:pt>
                <c:pt idx="2">
                  <c:v>5.7911999999999998E-2</c:v>
                </c:pt>
                <c:pt idx="3">
                  <c:v>7.0104E-2</c:v>
                </c:pt>
                <c:pt idx="4">
                  <c:v>5.4864000000000003E-2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C9-4D2F-85A2-735321E57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219104"/>
        <c:axId val="313217440"/>
      </c:lineChart>
      <c:catAx>
        <c:axId val="1615390928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228080"/>
        <c:crosses val="autoZero"/>
        <c:auto val="1"/>
        <c:lblAlgn val="ctr"/>
        <c:lblOffset val="100"/>
        <c:noMultiLvlLbl val="1"/>
      </c:catAx>
      <c:valAx>
        <c:axId val="1749228080"/>
        <c:scaling>
          <c:orientation val="minMax"/>
          <c:max val="6.0000000000000012E-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NO3</a:t>
                </a:r>
                <a:r>
                  <a:rPr lang="en-US" baseline="0">
                    <a:solidFill>
                      <a:schemeClr val="tx1"/>
                    </a:solidFill>
                  </a:rPr>
                  <a:t> Concentration (mg/L)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390928"/>
        <c:crosses val="autoZero"/>
        <c:crossBetween val="between"/>
      </c:valAx>
      <c:valAx>
        <c:axId val="313217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19104"/>
        <c:crosses val="max"/>
        <c:crossBetween val="between"/>
      </c:valAx>
      <c:catAx>
        <c:axId val="31321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217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093031316522375"/>
          <c:y val="0.15982286556087891"/>
          <c:w val="0.20129908500342325"/>
          <c:h val="0.1408392888480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>
                <a:solidFill>
                  <a:schemeClr val="tx1"/>
                </a:solidFill>
              </a:rPr>
              <a:t>Esco No. 40</a:t>
            </a:r>
          </a:p>
        </c:rich>
      </c:tx>
      <c:layout>
        <c:manualLayout>
          <c:xMode val="edge"/>
          <c:yMode val="edge"/>
          <c:x val="0.44195838687059669"/>
          <c:y val="6.710800473788955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4996316001493"/>
          <c:y val="3.8852102532840035E-2"/>
          <c:w val="0.77219817824708459"/>
          <c:h val="0.914972576867786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'Variations in PO4(1)'!$F$2</c:f>
              <c:strCache>
                <c:ptCount val="1"/>
                <c:pt idx="0">
                  <c:v>Total NO3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'Variations in PO4(1)'!$A$3:$A$7</c:f>
              <c:numCache>
                <c:formatCode>General</c:formatCode>
                <c:ptCount val="5"/>
                <c:pt idx="0">
                  <c:v>0</c:v>
                </c:pt>
                <c:pt idx="1">
                  <c:v>7.62</c:v>
                </c:pt>
                <c:pt idx="2">
                  <c:v>15.24</c:v>
                </c:pt>
                <c:pt idx="3">
                  <c:v>22.86</c:v>
                </c:pt>
                <c:pt idx="4">
                  <c:v>30.48</c:v>
                </c:pt>
              </c:numCache>
            </c:numRef>
          </c:cat>
          <c:val>
            <c:numRef>
              <c:f>'Variations in PO4(1)'!$F$3:$F$7</c:f>
              <c:numCache>
                <c:formatCode>0.000</c:formatCode>
                <c:ptCount val="5"/>
                <c:pt idx="0">
                  <c:v>0.03</c:v>
                </c:pt>
                <c:pt idx="1">
                  <c:v>0.04</c:v>
                </c:pt>
                <c:pt idx="2">
                  <c:v>0.08</c:v>
                </c:pt>
                <c:pt idx="3">
                  <c:v>0.18</c:v>
                </c:pt>
                <c:pt idx="4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5-4648-B215-619C5EB7A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5390928"/>
        <c:axId val="1749228080"/>
      </c:barChart>
      <c:lineChart>
        <c:grouping val="standard"/>
        <c:varyColors val="0"/>
        <c:ser>
          <c:idx val="1"/>
          <c:order val="1"/>
          <c:tx>
            <c:strRef>
              <c:f>'Variations in PO4(1)'!$G$2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'Variations in PO4(1)'!$G$3:$G$7</c:f>
              <c:numCache>
                <c:formatCode>0.0</c:formatCode>
                <c:ptCount val="5"/>
                <c:pt idx="0">
                  <c:v>0.36575999999999997</c:v>
                </c:pt>
                <c:pt idx="1">
                  <c:v>0.24384</c:v>
                </c:pt>
                <c:pt idx="2">
                  <c:v>0.21335999999999999</c:v>
                </c:pt>
                <c:pt idx="3">
                  <c:v>3.048E-2</c:v>
                </c:pt>
                <c:pt idx="4">
                  <c:v>0.24384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A5-4648-B215-619C5EB7A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219104"/>
        <c:axId val="313217440"/>
      </c:lineChart>
      <c:catAx>
        <c:axId val="1615390928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228080"/>
        <c:crosses val="autoZero"/>
        <c:auto val="1"/>
        <c:lblAlgn val="ctr"/>
        <c:lblOffset val="100"/>
        <c:noMultiLvlLbl val="1"/>
      </c:catAx>
      <c:valAx>
        <c:axId val="1749228080"/>
        <c:scaling>
          <c:orientation val="minMax"/>
          <c:max val="0.3000000000000000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NO3</a:t>
                </a:r>
                <a:r>
                  <a:rPr lang="en-US" baseline="0">
                    <a:solidFill>
                      <a:schemeClr val="tx1"/>
                    </a:solidFill>
                  </a:rPr>
                  <a:t> Concentration (mg/L)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390928"/>
        <c:crosses val="autoZero"/>
        <c:crossBetween val="between"/>
      </c:valAx>
      <c:valAx>
        <c:axId val="313217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19104"/>
        <c:crosses val="max"/>
        <c:crossBetween val="between"/>
      </c:valAx>
      <c:catAx>
        <c:axId val="31321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217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742850852179796"/>
          <c:y val="8.6953247591020869E-2"/>
          <c:w val="0.20129908500342325"/>
          <c:h val="0.1408392888480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>
                <a:solidFill>
                  <a:schemeClr val="tx1"/>
                </a:solidFill>
              </a:rPr>
              <a:t>Sines No. 2</a:t>
            </a:r>
          </a:p>
        </c:rich>
      </c:tx>
      <c:layout>
        <c:manualLayout>
          <c:xMode val="edge"/>
          <c:yMode val="edge"/>
          <c:x val="0.45403470245566979"/>
          <c:y val="6.004415845984369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4996316001496"/>
          <c:y val="3.8852102532840035E-2"/>
          <c:w val="0.77716844535263063"/>
          <c:h val="0.8549284184079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'Variations in PO4(1)'!$D$2</c:f>
              <c:strCache>
                <c:ptCount val="1"/>
                <c:pt idx="0">
                  <c:v>Total NO3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'Variations in PO4(1)'!$A$3:$A$7</c:f>
              <c:numCache>
                <c:formatCode>General</c:formatCode>
                <c:ptCount val="5"/>
                <c:pt idx="0">
                  <c:v>0</c:v>
                </c:pt>
                <c:pt idx="1">
                  <c:v>7.62</c:v>
                </c:pt>
                <c:pt idx="2">
                  <c:v>15.24</c:v>
                </c:pt>
                <c:pt idx="3">
                  <c:v>22.86</c:v>
                </c:pt>
                <c:pt idx="4">
                  <c:v>30.48</c:v>
                </c:pt>
              </c:numCache>
            </c:numRef>
          </c:cat>
          <c:val>
            <c:numRef>
              <c:f>'Variations in PO4(1)'!$D$3:$D$7</c:f>
              <c:numCache>
                <c:formatCode>0.000</c:formatCode>
                <c:ptCount val="5"/>
                <c:pt idx="0">
                  <c:v>0.76</c:v>
                </c:pt>
                <c:pt idx="1">
                  <c:v>0.36</c:v>
                </c:pt>
                <c:pt idx="2">
                  <c:v>0.6</c:v>
                </c:pt>
                <c:pt idx="3">
                  <c:v>0.7</c:v>
                </c:pt>
                <c:pt idx="4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9-4513-8AFF-59A2637A2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5390928"/>
        <c:axId val="1749228080"/>
      </c:barChart>
      <c:lineChart>
        <c:grouping val="standard"/>
        <c:varyColors val="0"/>
        <c:ser>
          <c:idx val="1"/>
          <c:order val="1"/>
          <c:tx>
            <c:strRef>
              <c:f>'Variations in PO4(1)'!$E$2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'Variations in PO4(1)'!$E$3:$E$7</c:f>
              <c:numCache>
                <c:formatCode>0.000</c:formatCode>
                <c:ptCount val="5"/>
                <c:pt idx="0">
                  <c:v>3.0479999999999999E-3</c:v>
                </c:pt>
                <c:pt idx="1">
                  <c:v>6.0959999999999999E-3</c:v>
                </c:pt>
                <c:pt idx="2">
                  <c:v>6.0959999999999999E-3</c:v>
                </c:pt>
                <c:pt idx="3">
                  <c:v>6.0959999999999999E-3</c:v>
                </c:pt>
                <c:pt idx="4">
                  <c:v>9.1439999999999994E-3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9-4513-8AFF-59A2637A2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219104"/>
        <c:axId val="313217440"/>
      </c:lineChart>
      <c:catAx>
        <c:axId val="161539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Distance from mine</a:t>
                </a:r>
                <a:r>
                  <a:rPr lang="en-US" baseline="0">
                    <a:solidFill>
                      <a:schemeClr val="tx1"/>
                    </a:solidFill>
                  </a:rPr>
                  <a:t> opening (m)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228080"/>
        <c:crosses val="autoZero"/>
        <c:auto val="1"/>
        <c:lblAlgn val="ctr"/>
        <c:lblOffset val="100"/>
        <c:noMultiLvlLbl val="1"/>
      </c:catAx>
      <c:valAx>
        <c:axId val="174922808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NO3</a:t>
                </a:r>
                <a:r>
                  <a:rPr lang="en-US" baseline="0">
                    <a:solidFill>
                      <a:schemeClr val="tx1"/>
                    </a:solidFill>
                  </a:rPr>
                  <a:t> Concentration (mg/L)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390928"/>
        <c:crosses val="autoZero"/>
        <c:crossBetween val="between"/>
      </c:valAx>
      <c:valAx>
        <c:axId val="313217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19104"/>
        <c:crosses val="max"/>
        <c:crossBetween val="between"/>
      </c:valAx>
      <c:catAx>
        <c:axId val="31321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217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884793122089581"/>
          <c:y val="0.4388516019330938"/>
          <c:w val="0.20129908500342325"/>
          <c:h val="9.4923167672825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>
                <a:solidFill>
                  <a:schemeClr val="tx1"/>
                </a:solidFill>
              </a:rPr>
              <a:t>York Clay and Mining No. 4</a:t>
            </a:r>
          </a:p>
        </c:rich>
      </c:tx>
      <c:layout>
        <c:manualLayout>
          <c:xMode val="edge"/>
          <c:yMode val="edge"/>
          <c:x val="0.40406593621336173"/>
          <c:y val="6.004415845984369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66347456371228"/>
          <c:y val="3.8852102532840035E-2"/>
          <c:w val="0.77385493394893323"/>
          <c:h val="0.914972576867786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'Variations in PO4(1)'!$B$2</c:f>
              <c:strCache>
                <c:ptCount val="1"/>
                <c:pt idx="0">
                  <c:v>Total NO3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'Variations in PO4(1)'!$A$3:$A$7</c:f>
              <c:numCache>
                <c:formatCode>General</c:formatCode>
                <c:ptCount val="5"/>
                <c:pt idx="0">
                  <c:v>0</c:v>
                </c:pt>
                <c:pt idx="1">
                  <c:v>7.62</c:v>
                </c:pt>
                <c:pt idx="2">
                  <c:v>15.24</c:v>
                </c:pt>
                <c:pt idx="3">
                  <c:v>22.86</c:v>
                </c:pt>
                <c:pt idx="4">
                  <c:v>30.48</c:v>
                </c:pt>
              </c:numCache>
            </c:numRef>
          </c:cat>
          <c:val>
            <c:numRef>
              <c:f>'Variations in PO4(1)'!$B$3:$B$7</c:f>
              <c:numCache>
                <c:formatCode>0.000</c:formatCode>
                <c:ptCount val="5"/>
                <c:pt idx="0">
                  <c:v>0.28999999999999998</c:v>
                </c:pt>
                <c:pt idx="1">
                  <c:v>0.15</c:v>
                </c:pt>
                <c:pt idx="2">
                  <c:v>0.17</c:v>
                </c:pt>
                <c:pt idx="3">
                  <c:v>0.18</c:v>
                </c:pt>
                <c:pt idx="4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9-4330-A56A-F955DC851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5390928"/>
        <c:axId val="1749228080"/>
      </c:barChart>
      <c:lineChart>
        <c:grouping val="standard"/>
        <c:varyColors val="0"/>
        <c:ser>
          <c:idx val="1"/>
          <c:order val="1"/>
          <c:tx>
            <c:strRef>
              <c:f>'Variations in PO4(1)'!$C$2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'Variations in PO4(1)'!$C$3:$C$7</c:f>
              <c:numCache>
                <c:formatCode>0.000</c:formatCode>
                <c:ptCount val="5"/>
                <c:pt idx="0">
                  <c:v>3.0479999999999999E-3</c:v>
                </c:pt>
                <c:pt idx="1">
                  <c:v>3.0479999999999999E-3</c:v>
                </c:pt>
                <c:pt idx="2">
                  <c:v>6.0959999999999999E-3</c:v>
                </c:pt>
                <c:pt idx="3">
                  <c:v>9.1439999999999994E-3</c:v>
                </c:pt>
                <c:pt idx="4">
                  <c:v>6.0959999999999999E-3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9-4330-A56A-F955DC851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219104"/>
        <c:axId val="313217440"/>
      </c:lineChart>
      <c:catAx>
        <c:axId val="1615390928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228080"/>
        <c:crosses val="autoZero"/>
        <c:auto val="1"/>
        <c:lblAlgn val="ctr"/>
        <c:lblOffset val="100"/>
        <c:noMultiLvlLbl val="1"/>
      </c:catAx>
      <c:valAx>
        <c:axId val="1749228080"/>
        <c:scaling>
          <c:orientation val="minMax"/>
          <c:max val="0.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NO3</a:t>
                </a:r>
                <a:r>
                  <a:rPr lang="en-US" baseline="0">
                    <a:solidFill>
                      <a:schemeClr val="tx1"/>
                    </a:solidFill>
                  </a:rPr>
                  <a:t> Concentration (mg/L)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390928"/>
        <c:crosses val="autoZero"/>
        <c:crossBetween val="between"/>
      </c:valAx>
      <c:valAx>
        <c:axId val="313217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19104"/>
        <c:crosses val="max"/>
        <c:crossBetween val="between"/>
      </c:valAx>
      <c:catAx>
        <c:axId val="31321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217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466251234087305"/>
          <c:y val="3.9734548641191518E-2"/>
          <c:w val="0.20129908500342325"/>
          <c:h val="0.1408392888480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NO3</a:t>
            </a:r>
          </a:p>
        </c:rich>
      </c:tx>
      <c:layout>
        <c:manualLayout>
          <c:xMode val="edge"/>
          <c:yMode val="edge"/>
          <c:x val="0.14186967014330171"/>
          <c:y val="3.8725774615369246E-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40692299736931"/>
          <c:y val="6.6058244591806314E-2"/>
          <c:w val="0.86122204054554907"/>
          <c:h val="0.891965614671555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'Variability of No3'!$C$2</c:f>
              <c:strCache>
                <c:ptCount val="1"/>
                <c:pt idx="0">
                  <c:v>York Clay and Mining No. 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'Variability of No3'!$B$3:$B$7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of No3'!$C$3:$C$7</c:f>
              <c:numCache>
                <c:formatCode>0.000</c:formatCode>
                <c:ptCount val="5"/>
                <c:pt idx="0">
                  <c:v>0.28999999999999998</c:v>
                </c:pt>
                <c:pt idx="1">
                  <c:v>0.15</c:v>
                </c:pt>
                <c:pt idx="2">
                  <c:v>0.17</c:v>
                </c:pt>
                <c:pt idx="3">
                  <c:v>0.18</c:v>
                </c:pt>
                <c:pt idx="4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4A-4810-9EEE-FFBF10EFE2B0}"/>
            </c:ext>
          </c:extLst>
        </c:ser>
        <c:ser>
          <c:idx val="1"/>
          <c:order val="1"/>
          <c:tx>
            <c:strRef>
              <c:f>'Variability of No3'!$D$2</c:f>
              <c:strCache>
                <c:ptCount val="1"/>
                <c:pt idx="0">
                  <c:v>Sines No.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'Variability of No3'!$B$3:$B$7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of No3'!$D$3:$D$7</c:f>
              <c:numCache>
                <c:formatCode>0.000</c:formatCode>
                <c:ptCount val="5"/>
                <c:pt idx="0">
                  <c:v>0.76</c:v>
                </c:pt>
                <c:pt idx="1">
                  <c:v>0.36</c:v>
                </c:pt>
                <c:pt idx="2">
                  <c:v>0.6</c:v>
                </c:pt>
                <c:pt idx="3">
                  <c:v>0.7</c:v>
                </c:pt>
                <c:pt idx="4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4A-4810-9EEE-FFBF10EFE2B0}"/>
            </c:ext>
          </c:extLst>
        </c:ser>
        <c:ser>
          <c:idx val="2"/>
          <c:order val="2"/>
          <c:tx>
            <c:strRef>
              <c:f>'Variability of No3'!$E$2</c:f>
              <c:strCache>
                <c:ptCount val="1"/>
                <c:pt idx="0">
                  <c:v>Esco No. 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'Variability of No3'!$B$3:$B$7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of No3'!$E$3:$E$7</c:f>
              <c:numCache>
                <c:formatCode>0.000</c:formatCode>
                <c:ptCount val="5"/>
                <c:pt idx="0">
                  <c:v>0.03</c:v>
                </c:pt>
                <c:pt idx="1">
                  <c:v>0.04</c:v>
                </c:pt>
                <c:pt idx="2">
                  <c:v>0.08</c:v>
                </c:pt>
                <c:pt idx="3">
                  <c:v>0.18</c:v>
                </c:pt>
                <c:pt idx="4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4A-4810-9EEE-FFBF10EFE2B0}"/>
            </c:ext>
          </c:extLst>
        </c:ser>
        <c:ser>
          <c:idx val="3"/>
          <c:order val="3"/>
          <c:tx>
            <c:strRef>
              <c:f>'Variability of No3'!$F$2</c:f>
              <c:strCache>
                <c:ptCount val="1"/>
                <c:pt idx="0">
                  <c:v>Sunday Creek No. 9 and 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'Variability of No3'!$B$3:$B$7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of No3'!$F$3:$F$7</c:f>
              <c:numCache>
                <c:formatCode>0.000</c:formatCode>
                <c:ptCount val="5"/>
                <c:pt idx="0">
                  <c:v>0.04</c:v>
                </c:pt>
                <c:pt idx="1">
                  <c:v>0.03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4A-4810-9EEE-FFBF10EFE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36960"/>
        <c:axId val="1758020560"/>
      </c:scatterChart>
      <c:valAx>
        <c:axId val="1615236960"/>
        <c:scaling>
          <c:orientation val="minMax"/>
          <c:max val="100"/>
        </c:scaling>
        <c:delete val="0"/>
        <c:axPos val="b"/>
        <c:numFmt formatCode="General" sourceLinked="1"/>
        <c:majorTickMark val="cross"/>
        <c:minorTickMark val="out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020560"/>
        <c:crosses val="autoZero"/>
        <c:crossBetween val="midCat"/>
      </c:valAx>
      <c:valAx>
        <c:axId val="1758020560"/>
        <c:scaling>
          <c:orientation val="minMax"/>
          <c:max val="0.3000000000000000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NO3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3696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69227631488011"/>
          <c:y val="3.6743565718331206E-2"/>
          <c:w val="0.32602768783288794"/>
          <c:h val="0.360193882049512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>
                <a:solidFill>
                  <a:schemeClr val="tx1"/>
                </a:solidFill>
              </a:rPr>
              <a:t>Sunday Creek No. 9</a:t>
            </a:r>
            <a:r>
              <a:rPr lang="en-US" sz="1100" b="0" baseline="0">
                <a:solidFill>
                  <a:schemeClr val="tx1"/>
                </a:solidFill>
              </a:rPr>
              <a:t> and 12</a:t>
            </a:r>
            <a:endParaRPr lang="en-US" sz="1100" b="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7903157625553535"/>
          <c:y val="2.316710411198600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06618465077153"/>
          <c:y val="3.8852102532840035E-2"/>
          <c:w val="0.77054142254523583"/>
          <c:h val="0.904213418753168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'Variations in NO3 (2)'!$H$2</c:f>
              <c:strCache>
                <c:ptCount val="1"/>
                <c:pt idx="0">
                  <c:v>Total NO3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'Variations in NO3 (2)'!$A$3:$A$7</c:f>
              <c:numCache>
                <c:formatCode>General</c:formatCode>
                <c:ptCount val="5"/>
                <c:pt idx="0">
                  <c:v>0</c:v>
                </c:pt>
                <c:pt idx="1">
                  <c:v>7.62</c:v>
                </c:pt>
                <c:pt idx="2">
                  <c:v>15.24</c:v>
                </c:pt>
                <c:pt idx="3">
                  <c:v>22.86</c:v>
                </c:pt>
                <c:pt idx="4">
                  <c:v>30.48</c:v>
                </c:pt>
              </c:numCache>
            </c:numRef>
          </c:cat>
          <c:val>
            <c:numRef>
              <c:f>'Variations in NO3 (2)'!$H$3:$H$7</c:f>
              <c:numCache>
                <c:formatCode>0.000</c:formatCode>
                <c:ptCount val="5"/>
                <c:pt idx="0">
                  <c:v>0.04</c:v>
                </c:pt>
                <c:pt idx="1">
                  <c:v>0.03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2-414D-97F2-42004357D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5390928"/>
        <c:axId val="1749228080"/>
      </c:barChart>
      <c:lineChart>
        <c:grouping val="standard"/>
        <c:varyColors val="0"/>
        <c:ser>
          <c:idx val="1"/>
          <c:order val="1"/>
          <c:tx>
            <c:strRef>
              <c:f>'Variations in NO3 (2)'!$I$2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'Variations in NO3 (2)'!$A$3:$A$7</c:f>
              <c:numCache>
                <c:formatCode>General</c:formatCode>
                <c:ptCount val="5"/>
                <c:pt idx="0">
                  <c:v>0</c:v>
                </c:pt>
                <c:pt idx="1">
                  <c:v>7.62</c:v>
                </c:pt>
                <c:pt idx="2">
                  <c:v>15.24</c:v>
                </c:pt>
                <c:pt idx="3">
                  <c:v>22.86</c:v>
                </c:pt>
                <c:pt idx="4">
                  <c:v>30.48</c:v>
                </c:pt>
              </c:numCache>
            </c:numRef>
          </c:cat>
          <c:val>
            <c:numRef>
              <c:f>'Variations in NO3 (2)'!$I$3:$I$7</c:f>
              <c:numCache>
                <c:formatCode>General</c:formatCode>
                <c:ptCount val="5"/>
                <c:pt idx="0">
                  <c:v>3.3528000000000002E-2</c:v>
                </c:pt>
                <c:pt idx="1">
                  <c:v>3.6575999999999997E-2</c:v>
                </c:pt>
                <c:pt idx="2">
                  <c:v>5.7911999999999998E-2</c:v>
                </c:pt>
                <c:pt idx="3">
                  <c:v>7.0104E-2</c:v>
                </c:pt>
                <c:pt idx="4">
                  <c:v>5.4864000000000003E-2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2-414D-97F2-42004357D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219104"/>
        <c:axId val="313217440"/>
      </c:lineChart>
      <c:catAx>
        <c:axId val="1615390928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228080"/>
        <c:crosses val="autoZero"/>
        <c:auto val="1"/>
        <c:lblAlgn val="ctr"/>
        <c:lblOffset val="100"/>
        <c:noMultiLvlLbl val="1"/>
      </c:catAx>
      <c:valAx>
        <c:axId val="1749228080"/>
        <c:scaling>
          <c:orientation val="minMax"/>
          <c:max val="6.0000000000000012E-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NO3</a:t>
                </a:r>
                <a:r>
                  <a:rPr lang="en-US" baseline="0">
                    <a:solidFill>
                      <a:schemeClr val="tx1"/>
                    </a:solidFill>
                  </a:rPr>
                  <a:t> Concentration (mg/L)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390928"/>
        <c:crosses val="autoZero"/>
        <c:crossBetween val="between"/>
      </c:valAx>
      <c:valAx>
        <c:axId val="313217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19104"/>
        <c:crosses val="max"/>
        <c:crossBetween val="between"/>
      </c:valAx>
      <c:catAx>
        <c:axId val="31321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217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093031316522375"/>
          <c:y val="0.15982286556087891"/>
          <c:w val="0.20129908500342325"/>
          <c:h val="0.1408392888480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>
                <a:solidFill>
                  <a:schemeClr val="tx1"/>
                </a:solidFill>
              </a:rPr>
              <a:t>Esco No. 40</a:t>
            </a:r>
          </a:p>
        </c:rich>
      </c:tx>
      <c:layout>
        <c:manualLayout>
          <c:xMode val="edge"/>
          <c:yMode val="edge"/>
          <c:x val="0.44195838687059669"/>
          <c:y val="6.710800473788955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4996316001493"/>
          <c:y val="3.8852102532840035E-2"/>
          <c:w val="0.77219817824708459"/>
          <c:h val="0.914972576867786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'Variations in NO3 (2)'!$F$2</c:f>
              <c:strCache>
                <c:ptCount val="1"/>
                <c:pt idx="0">
                  <c:v>Total NO3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'Variations in NO3 (2)'!$A$3:$A$7</c:f>
              <c:numCache>
                <c:formatCode>General</c:formatCode>
                <c:ptCount val="5"/>
                <c:pt idx="0">
                  <c:v>0</c:v>
                </c:pt>
                <c:pt idx="1">
                  <c:v>7.62</c:v>
                </c:pt>
                <c:pt idx="2">
                  <c:v>15.24</c:v>
                </c:pt>
                <c:pt idx="3">
                  <c:v>22.86</c:v>
                </c:pt>
                <c:pt idx="4">
                  <c:v>30.48</c:v>
                </c:pt>
              </c:numCache>
            </c:numRef>
          </c:cat>
          <c:val>
            <c:numRef>
              <c:f>'Variations in NO3 (2)'!$F$3:$F$7</c:f>
              <c:numCache>
                <c:formatCode>0.000</c:formatCode>
                <c:ptCount val="5"/>
                <c:pt idx="0">
                  <c:v>0.03</c:v>
                </c:pt>
                <c:pt idx="1">
                  <c:v>0.04</c:v>
                </c:pt>
                <c:pt idx="2">
                  <c:v>0.08</c:v>
                </c:pt>
                <c:pt idx="3">
                  <c:v>0.18</c:v>
                </c:pt>
                <c:pt idx="4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D2-4FF7-93FC-C939F1B61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5390928"/>
        <c:axId val="1749228080"/>
      </c:barChart>
      <c:lineChart>
        <c:grouping val="standard"/>
        <c:varyColors val="0"/>
        <c:ser>
          <c:idx val="1"/>
          <c:order val="1"/>
          <c:tx>
            <c:strRef>
              <c:f>'Variations in NO3 (2)'!$G$2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'Variations in NO3 (2)'!$G$3:$G$7</c:f>
              <c:numCache>
                <c:formatCode>0.0</c:formatCode>
                <c:ptCount val="5"/>
                <c:pt idx="0">
                  <c:v>0.36575999999999997</c:v>
                </c:pt>
                <c:pt idx="1">
                  <c:v>0.24384</c:v>
                </c:pt>
                <c:pt idx="2">
                  <c:v>0.21335999999999999</c:v>
                </c:pt>
                <c:pt idx="3">
                  <c:v>3.048E-2</c:v>
                </c:pt>
                <c:pt idx="4">
                  <c:v>0.24384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D2-4FF7-93FC-C939F1B61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219104"/>
        <c:axId val="313217440"/>
      </c:lineChart>
      <c:catAx>
        <c:axId val="1615390928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228080"/>
        <c:crosses val="autoZero"/>
        <c:auto val="1"/>
        <c:lblAlgn val="ctr"/>
        <c:lblOffset val="100"/>
        <c:noMultiLvlLbl val="1"/>
      </c:catAx>
      <c:valAx>
        <c:axId val="1749228080"/>
        <c:scaling>
          <c:orientation val="minMax"/>
          <c:max val="0.3000000000000000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NO3</a:t>
                </a:r>
                <a:r>
                  <a:rPr lang="en-US" baseline="0">
                    <a:solidFill>
                      <a:schemeClr val="tx1"/>
                    </a:solidFill>
                  </a:rPr>
                  <a:t> Concentration (mg/L)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390928"/>
        <c:crosses val="autoZero"/>
        <c:crossBetween val="between"/>
      </c:valAx>
      <c:valAx>
        <c:axId val="313217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19104"/>
        <c:crosses val="max"/>
        <c:crossBetween val="between"/>
      </c:valAx>
      <c:catAx>
        <c:axId val="31321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217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742850852179796"/>
          <c:y val="8.6953247591020869E-2"/>
          <c:w val="0.20129908500342325"/>
          <c:h val="0.1408392888480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Al</a:t>
            </a:r>
          </a:p>
        </c:rich>
      </c:tx>
      <c:layout>
        <c:manualLayout>
          <c:xMode val="edge"/>
          <c:yMode val="edge"/>
          <c:x val="0.19556233595800526"/>
          <c:y val="4.166666666666666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6920384951881"/>
          <c:y val="8.3333333333333329E-2"/>
          <c:w val="0.79941907261592304"/>
          <c:h val="0.72832372438280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'Sediment Conc'!$Q$1</c:f>
              <c:strCache>
                <c:ptCount val="1"/>
                <c:pt idx="0">
                  <c:v>Pine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'Sediment Conc'!$P$2:$P$6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23</c:v>
                </c:pt>
                <c:pt idx="4">
                  <c:v>30</c:v>
                </c:pt>
              </c:numCache>
            </c:numRef>
          </c:xVal>
          <c:yVal>
            <c:numRef>
              <c:f>'Sediment Conc'!$Q$2:$Q$6</c:f>
              <c:numCache>
                <c:formatCode>0.00</c:formatCode>
                <c:ptCount val="5"/>
                <c:pt idx="0">
                  <c:v>260.5103810526316</c:v>
                </c:pt>
                <c:pt idx="1">
                  <c:v>3823.6156199999996</c:v>
                </c:pt>
                <c:pt idx="2">
                  <c:v>15898.774675000001</c:v>
                </c:pt>
                <c:pt idx="3">
                  <c:v>1227.5721808695655</c:v>
                </c:pt>
                <c:pt idx="4">
                  <c:v>1059.1147421052631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7-44D6-877C-BEB2767F8C5F}"/>
            </c:ext>
          </c:extLst>
        </c:ser>
        <c:ser>
          <c:idx val="1"/>
          <c:order val="1"/>
          <c:tx>
            <c:strRef>
              <c:f>'Sediment Conc'!$R$1</c:f>
              <c:strCache>
                <c:ptCount val="1"/>
                <c:pt idx="0">
                  <c:v>Esco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'Sediment Conc'!$P$2:$P$6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23</c:v>
                </c:pt>
                <c:pt idx="4">
                  <c:v>30</c:v>
                </c:pt>
              </c:numCache>
            </c:numRef>
          </c:xVal>
          <c:yVal>
            <c:numRef>
              <c:f>'Sediment Conc'!$R$2:$R$6</c:f>
              <c:numCache>
                <c:formatCode>0.00</c:formatCode>
                <c:ptCount val="5"/>
                <c:pt idx="0">
                  <c:v>9089.7038256857868</c:v>
                </c:pt>
                <c:pt idx="2">
                  <c:v>6280.3988336170196</c:v>
                </c:pt>
                <c:pt idx="3">
                  <c:v>6661.7632459259257</c:v>
                </c:pt>
                <c:pt idx="4">
                  <c:v>6930.3435654545447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47-44D6-877C-BEB2767F8C5F}"/>
            </c:ext>
          </c:extLst>
        </c:ser>
        <c:ser>
          <c:idx val="2"/>
          <c:order val="2"/>
          <c:tx>
            <c:strRef>
              <c:f>'Sediment Conc'!$S$1</c:f>
              <c:strCache>
                <c:ptCount val="1"/>
                <c:pt idx="0">
                  <c:v>YK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'Sediment Conc'!$P$2:$P$6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23</c:v>
                </c:pt>
                <c:pt idx="4">
                  <c:v>30</c:v>
                </c:pt>
              </c:numCache>
            </c:numRef>
          </c:xVal>
          <c:yVal>
            <c:numRef>
              <c:f>'Sediment Conc'!$S$2:$S$6</c:f>
              <c:numCache>
                <c:formatCode>0.00</c:formatCode>
                <c:ptCount val="5"/>
                <c:pt idx="0">
                  <c:v>2220.7121814000002</c:v>
                </c:pt>
                <c:pt idx="1">
                  <c:v>1732.8952116666667</c:v>
                </c:pt>
                <c:pt idx="2">
                  <c:v>1645.646821421801</c:v>
                </c:pt>
                <c:pt idx="3">
                  <c:v>2182.9721832911391</c:v>
                </c:pt>
                <c:pt idx="4">
                  <c:v>2649.3223946236558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47-44D6-877C-BEB2767F8C5F}"/>
            </c:ext>
          </c:extLst>
        </c:ser>
        <c:ser>
          <c:idx val="3"/>
          <c:order val="3"/>
          <c:tx>
            <c:strRef>
              <c:f>'Sediment Conc'!$T$1</c:f>
              <c:strCache>
                <c:ptCount val="1"/>
                <c:pt idx="0">
                  <c:v>Sines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'Sediment Conc'!$P$2:$P$6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23</c:v>
                </c:pt>
                <c:pt idx="4">
                  <c:v>30</c:v>
                </c:pt>
              </c:numCache>
            </c:numRef>
          </c:xVal>
          <c:yVal>
            <c:numRef>
              <c:f>'Sediment Conc'!$T$2:$T$6</c:f>
              <c:numCache>
                <c:formatCode>0.00</c:formatCode>
                <c:ptCount val="5"/>
                <c:pt idx="0">
                  <c:v>1763.5635066</c:v>
                </c:pt>
                <c:pt idx="1">
                  <c:v>1297.3316364532022</c:v>
                </c:pt>
                <c:pt idx="2">
                  <c:v>1101.7388737864078</c:v>
                </c:pt>
                <c:pt idx="3">
                  <c:v>1268.2214017841727</c:v>
                </c:pt>
                <c:pt idx="4">
                  <c:v>1133.4010101639344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47-44D6-877C-BEB2767F8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437104"/>
        <c:axId val="496437432"/>
      </c:scatterChart>
      <c:valAx>
        <c:axId val="496437104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the</a:t>
                </a:r>
                <a:r>
                  <a:rPr lang="en-US" baseline="0"/>
                  <a:t> mine opening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37432"/>
        <c:crosses val="autoZero"/>
        <c:crossBetween val="midCat"/>
      </c:valAx>
      <c:valAx>
        <c:axId val="496437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(mg/kg)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3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992169728783903"/>
          <c:y val="1.4467045785943447E-2"/>
          <c:w val="0.75182327209098865"/>
          <c:h val="9.6644065325167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>
                <a:solidFill>
                  <a:schemeClr val="tx1"/>
                </a:solidFill>
              </a:rPr>
              <a:t>Sines No. 2</a:t>
            </a:r>
          </a:p>
        </c:rich>
      </c:tx>
      <c:layout>
        <c:manualLayout>
          <c:xMode val="edge"/>
          <c:yMode val="edge"/>
          <c:x val="0.45403470245566979"/>
          <c:y val="6.004415845984369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4996316001496"/>
          <c:y val="3.8852102532840035E-2"/>
          <c:w val="0.77716844535263063"/>
          <c:h val="0.8549284184079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'Variations in NO3 (2)'!$D$2</c:f>
              <c:strCache>
                <c:ptCount val="1"/>
                <c:pt idx="0">
                  <c:v>Total NO3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'Variations in NO3 (2)'!$A$3:$A$7</c:f>
              <c:numCache>
                <c:formatCode>General</c:formatCode>
                <c:ptCount val="5"/>
                <c:pt idx="0">
                  <c:v>0</c:v>
                </c:pt>
                <c:pt idx="1">
                  <c:v>7.62</c:v>
                </c:pt>
                <c:pt idx="2">
                  <c:v>15.24</c:v>
                </c:pt>
                <c:pt idx="3">
                  <c:v>22.86</c:v>
                </c:pt>
                <c:pt idx="4">
                  <c:v>30.48</c:v>
                </c:pt>
              </c:numCache>
            </c:numRef>
          </c:cat>
          <c:val>
            <c:numRef>
              <c:f>'Variations in NO3 (2)'!$D$3:$D$7</c:f>
              <c:numCache>
                <c:formatCode>0.000</c:formatCode>
                <c:ptCount val="5"/>
                <c:pt idx="0">
                  <c:v>0.76</c:v>
                </c:pt>
                <c:pt idx="1">
                  <c:v>0.36</c:v>
                </c:pt>
                <c:pt idx="2">
                  <c:v>0.6</c:v>
                </c:pt>
                <c:pt idx="3">
                  <c:v>0.7</c:v>
                </c:pt>
                <c:pt idx="4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D-4B40-A1DD-35D1D147A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5390928"/>
        <c:axId val="1749228080"/>
      </c:barChart>
      <c:lineChart>
        <c:grouping val="standard"/>
        <c:varyColors val="0"/>
        <c:ser>
          <c:idx val="1"/>
          <c:order val="1"/>
          <c:tx>
            <c:strRef>
              <c:f>'Variations in NO3 (2)'!$E$2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'Variations in NO3 (2)'!$E$3:$E$7</c:f>
              <c:numCache>
                <c:formatCode>0.000</c:formatCode>
                <c:ptCount val="5"/>
                <c:pt idx="0">
                  <c:v>3.0479999999999999E-3</c:v>
                </c:pt>
                <c:pt idx="1">
                  <c:v>6.0959999999999999E-3</c:v>
                </c:pt>
                <c:pt idx="2">
                  <c:v>6.0959999999999999E-3</c:v>
                </c:pt>
                <c:pt idx="3">
                  <c:v>6.0959999999999999E-3</c:v>
                </c:pt>
                <c:pt idx="4">
                  <c:v>9.1439999999999994E-3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D-4B40-A1DD-35D1D147A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219104"/>
        <c:axId val="313217440"/>
      </c:lineChart>
      <c:catAx>
        <c:axId val="161539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Distance from mine</a:t>
                </a:r>
                <a:r>
                  <a:rPr lang="en-US" baseline="0">
                    <a:solidFill>
                      <a:schemeClr val="tx1"/>
                    </a:solidFill>
                  </a:rPr>
                  <a:t> opening (m)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228080"/>
        <c:crosses val="autoZero"/>
        <c:auto val="1"/>
        <c:lblAlgn val="ctr"/>
        <c:lblOffset val="100"/>
        <c:noMultiLvlLbl val="1"/>
      </c:catAx>
      <c:valAx>
        <c:axId val="174922808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NO3</a:t>
                </a:r>
                <a:r>
                  <a:rPr lang="en-US" baseline="0">
                    <a:solidFill>
                      <a:schemeClr val="tx1"/>
                    </a:solidFill>
                  </a:rPr>
                  <a:t> Concentration (mg/L)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390928"/>
        <c:crosses val="autoZero"/>
        <c:crossBetween val="between"/>
      </c:valAx>
      <c:valAx>
        <c:axId val="313217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19104"/>
        <c:crosses val="max"/>
        <c:crossBetween val="between"/>
      </c:valAx>
      <c:catAx>
        <c:axId val="31321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217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884793122089581"/>
          <c:y val="0.4388516019330938"/>
          <c:w val="0.20129908500342325"/>
          <c:h val="9.4923167672825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>
                <a:solidFill>
                  <a:schemeClr val="tx1"/>
                </a:solidFill>
              </a:rPr>
              <a:t>York Clay and Mining No. 4</a:t>
            </a:r>
          </a:p>
        </c:rich>
      </c:tx>
      <c:layout>
        <c:manualLayout>
          <c:xMode val="edge"/>
          <c:yMode val="edge"/>
          <c:x val="0.40406593621336173"/>
          <c:y val="6.004415845984369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66347456371228"/>
          <c:y val="3.8852102532840035E-2"/>
          <c:w val="0.77385493394893323"/>
          <c:h val="0.914972576867786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'Variations in NO3 (2)'!$B$2</c:f>
              <c:strCache>
                <c:ptCount val="1"/>
                <c:pt idx="0">
                  <c:v>Total NO3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'Variations in NO3 (2)'!$A$3:$A$7</c:f>
              <c:numCache>
                <c:formatCode>General</c:formatCode>
                <c:ptCount val="5"/>
                <c:pt idx="0">
                  <c:v>0</c:v>
                </c:pt>
                <c:pt idx="1">
                  <c:v>7.62</c:v>
                </c:pt>
                <c:pt idx="2">
                  <c:v>15.24</c:v>
                </c:pt>
                <c:pt idx="3">
                  <c:v>22.86</c:v>
                </c:pt>
                <c:pt idx="4">
                  <c:v>30.48</c:v>
                </c:pt>
              </c:numCache>
            </c:numRef>
          </c:cat>
          <c:val>
            <c:numRef>
              <c:f>'Variations in NO3 (2)'!$B$3:$B$7</c:f>
              <c:numCache>
                <c:formatCode>0.000</c:formatCode>
                <c:ptCount val="5"/>
                <c:pt idx="0">
                  <c:v>0.28999999999999998</c:v>
                </c:pt>
                <c:pt idx="1">
                  <c:v>0.15</c:v>
                </c:pt>
                <c:pt idx="2">
                  <c:v>0.17</c:v>
                </c:pt>
                <c:pt idx="3">
                  <c:v>0.18</c:v>
                </c:pt>
                <c:pt idx="4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DA-46E8-853F-00964D66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5390928"/>
        <c:axId val="1749228080"/>
      </c:barChart>
      <c:lineChart>
        <c:grouping val="standard"/>
        <c:varyColors val="0"/>
        <c:ser>
          <c:idx val="1"/>
          <c:order val="1"/>
          <c:tx>
            <c:strRef>
              <c:f>'Variations in NO3 (2)'!$C$2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'Variations in NO3 (2)'!$C$3:$C$7</c:f>
              <c:numCache>
                <c:formatCode>0.000</c:formatCode>
                <c:ptCount val="5"/>
                <c:pt idx="0">
                  <c:v>3.0479999999999999E-3</c:v>
                </c:pt>
                <c:pt idx="1">
                  <c:v>3.0479999999999999E-3</c:v>
                </c:pt>
                <c:pt idx="2">
                  <c:v>6.0959999999999999E-3</c:v>
                </c:pt>
                <c:pt idx="3">
                  <c:v>9.1439999999999994E-3</c:v>
                </c:pt>
                <c:pt idx="4">
                  <c:v>6.0959999999999999E-3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DA-46E8-853F-00964D66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219104"/>
        <c:axId val="313217440"/>
      </c:lineChart>
      <c:catAx>
        <c:axId val="1615390928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228080"/>
        <c:crosses val="autoZero"/>
        <c:auto val="1"/>
        <c:lblAlgn val="ctr"/>
        <c:lblOffset val="100"/>
        <c:noMultiLvlLbl val="1"/>
      </c:catAx>
      <c:valAx>
        <c:axId val="1749228080"/>
        <c:scaling>
          <c:orientation val="minMax"/>
          <c:max val="0.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NO3</a:t>
                </a:r>
                <a:r>
                  <a:rPr lang="en-US" baseline="0">
                    <a:solidFill>
                      <a:schemeClr val="tx1"/>
                    </a:solidFill>
                  </a:rPr>
                  <a:t> Concentration (mg/L)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390928"/>
        <c:crosses val="autoZero"/>
        <c:crossBetween val="between"/>
      </c:valAx>
      <c:valAx>
        <c:axId val="313217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19104"/>
        <c:crosses val="max"/>
        <c:crossBetween val="between"/>
      </c:valAx>
      <c:catAx>
        <c:axId val="31321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217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466251234087305"/>
          <c:y val="3.9734548641191518E-2"/>
          <c:w val="0.20129908500342325"/>
          <c:h val="0.1408392888480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Fe</a:t>
            </a:r>
            <a:r>
              <a:rPr lang="en-US" b="1" baseline="0"/>
              <a:t>, Mn, NO3</a:t>
            </a:r>
            <a:endParaRPr lang="en-US" b="1"/>
          </a:p>
        </c:rich>
      </c:tx>
      <c:layout>
        <c:manualLayout>
          <c:xMode val="edge"/>
          <c:yMode val="edge"/>
          <c:x val="0.24064566929133857"/>
          <c:y val="2.3148148148148147E-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99759405074365"/>
          <c:y val="5.0925925925925923E-2"/>
          <c:w val="0.75464370078740162"/>
          <c:h val="0.91724482356372106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Discharges!$Q$29</c:f>
              <c:strCache>
                <c:ptCount val="1"/>
                <c:pt idx="0">
                  <c:v>Fe load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Discharges!$B$30:$B$34</c:f>
              <c:numCache>
                <c:formatCode>General</c:formatCode>
                <c:ptCount val="5"/>
                <c:pt idx="0">
                  <c:v>0</c:v>
                </c:pt>
                <c:pt idx="1">
                  <c:v>7.62</c:v>
                </c:pt>
                <c:pt idx="2">
                  <c:v>15.24</c:v>
                </c:pt>
                <c:pt idx="3">
                  <c:v>22.86</c:v>
                </c:pt>
                <c:pt idx="4">
                  <c:v>30.48</c:v>
                </c:pt>
              </c:numCache>
            </c:numRef>
          </c:cat>
          <c:val>
            <c:numRef>
              <c:f>Discharges!$Q$30:$Q$34</c:f>
              <c:numCache>
                <c:formatCode>General</c:formatCode>
                <c:ptCount val="5"/>
                <c:pt idx="0">
                  <c:v>3.1866657120000003E-2</c:v>
                </c:pt>
                <c:pt idx="1">
                  <c:v>2.57936731776E-2</c:v>
                </c:pt>
                <c:pt idx="2">
                  <c:v>3.4551679334399996E-2</c:v>
                </c:pt>
                <c:pt idx="3">
                  <c:v>2.9591008128000005E-2</c:v>
                </c:pt>
                <c:pt idx="4">
                  <c:v>5.1227482406400009E-2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9224-4850-AC46-352A01258453}"/>
            </c:ext>
          </c:extLst>
        </c:ser>
        <c:ser>
          <c:idx val="3"/>
          <c:order val="3"/>
          <c:tx>
            <c:strRef>
              <c:f>Discharges!$S$29</c:f>
              <c:strCache>
                <c:ptCount val="1"/>
                <c:pt idx="0">
                  <c:v>Mn load</c:v>
                </c:pt>
              </c:strCache>
            </c:strRef>
          </c:tx>
          <c:spPr>
            <a:solidFill>
              <a:srgbClr val="339966"/>
            </a:solidFill>
            <a:ln>
              <a:solidFill>
                <a:srgbClr val="339966"/>
              </a:solidFill>
            </a:ln>
            <a:effectLst/>
          </c:spPr>
          <c:invertIfNegative val="0"/>
          <c:cat>
            <c:numRef>
              <c:f>Discharges!$B$30:$B$34</c:f>
              <c:numCache>
                <c:formatCode>General</c:formatCode>
                <c:ptCount val="5"/>
                <c:pt idx="0">
                  <c:v>0</c:v>
                </c:pt>
                <c:pt idx="1">
                  <c:v>7.62</c:v>
                </c:pt>
                <c:pt idx="2">
                  <c:v>15.24</c:v>
                </c:pt>
                <c:pt idx="3">
                  <c:v>22.86</c:v>
                </c:pt>
                <c:pt idx="4">
                  <c:v>30.48</c:v>
                </c:pt>
              </c:numCache>
            </c:numRef>
          </c:cat>
          <c:val>
            <c:numRef>
              <c:f>Discharges!$S$30:$S$34</c:f>
              <c:numCache>
                <c:formatCode>General</c:formatCode>
                <c:ptCount val="5"/>
                <c:pt idx="0">
                  <c:v>2.6268883200000002E-2</c:v>
                </c:pt>
                <c:pt idx="1">
                  <c:v>1.00730304E-2</c:v>
                </c:pt>
                <c:pt idx="2">
                  <c:v>1.3641384959999999E-2</c:v>
                </c:pt>
                <c:pt idx="3">
                  <c:v>5.2142745600000017E-3</c:v>
                </c:pt>
                <c:pt idx="4">
                  <c:v>1.1337096960000001E-2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9224-4850-AC46-352A01258453}"/>
            </c:ext>
          </c:extLst>
        </c:ser>
        <c:ser>
          <c:idx val="5"/>
          <c:order val="5"/>
          <c:tx>
            <c:strRef>
              <c:f>Discharges!$U$29</c:f>
              <c:strCache>
                <c:ptCount val="1"/>
                <c:pt idx="0">
                  <c:v>NO3 load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cat>
            <c:numRef>
              <c:f>Discharges!$B$30:$B$34</c:f>
              <c:numCache>
                <c:formatCode>General</c:formatCode>
                <c:ptCount val="5"/>
                <c:pt idx="0">
                  <c:v>0</c:v>
                </c:pt>
                <c:pt idx="1">
                  <c:v>7.62</c:v>
                </c:pt>
                <c:pt idx="2">
                  <c:v>15.24</c:v>
                </c:pt>
                <c:pt idx="3">
                  <c:v>22.86</c:v>
                </c:pt>
                <c:pt idx="4">
                  <c:v>30.48</c:v>
                </c:pt>
              </c:numCache>
            </c:numRef>
          </c:cat>
          <c:val>
            <c:numRef>
              <c:f>Discharges!$U$30:$U$34</c:f>
              <c:numCache>
                <c:formatCode>General</c:formatCode>
                <c:ptCount val="5"/>
                <c:pt idx="0">
                  <c:v>4.7534169600000004E-3</c:v>
                </c:pt>
                <c:pt idx="1">
                  <c:v>2.4175272960000002E-3</c:v>
                </c:pt>
                <c:pt idx="2">
                  <c:v>5.8463078399999995E-3</c:v>
                </c:pt>
                <c:pt idx="3">
                  <c:v>6.083320320000001E-3</c:v>
                </c:pt>
                <c:pt idx="4">
                  <c:v>1.1661014015999999E-2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9224-4850-AC46-352A01258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10544031"/>
        <c:axId val="1310539871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Discharges!$R$29</c15:sqref>
                        </c15:formulaRef>
                      </c:ext>
                    </c:extLst>
                    <c:strCache>
                      <c:ptCount val="1"/>
                      <c:pt idx="0">
                        <c:v>Al load</c:v>
                      </c:pt>
                    </c:strCache>
                  </c:strRef>
                </c:tx>
                <c:spPr>
                  <a:solidFill>
                    <a:schemeClr val="tx1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Discharges!$B$30:$B$34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7.62</c:v>
                      </c:pt>
                      <c:pt idx="2">
                        <c:v>15.24</c:v>
                      </c:pt>
                      <c:pt idx="3">
                        <c:v>22.86</c:v>
                      </c:pt>
                      <c:pt idx="4">
                        <c:v>30.48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Discharges!$R$30:$R$34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0.31775541729478324</c:v>
                      </c:pt>
                      <c:pt idx="1">
                        <c:v>0.33855266462277839</c:v>
                      </c:pt>
                      <c:pt idx="2">
                        <c:v>0.47664778048659234</c:v>
                      </c:pt>
                      <c:pt idx="3">
                        <c:v>0.42388088355693282</c:v>
                      </c:pt>
                      <c:pt idx="4">
                        <c:v>0.77942139253604947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A-9224-4850-AC46-352A0125845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Discharges!$T$29</c15:sqref>
                        </c15:formulaRef>
                      </c:ext>
                    </c:extLst>
                    <c:strCache>
                      <c:ptCount val="1"/>
                      <c:pt idx="0">
                        <c:v>SO4 load</c:v>
                      </c:pt>
                    </c:strCache>
                  </c:strRef>
                </c:tx>
                <c:spPr>
                  <a:solidFill>
                    <a:schemeClr val="tx1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Discharges!$B$30:$B$34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7.62</c:v>
                      </c:pt>
                      <c:pt idx="2">
                        <c:v>15.24</c:v>
                      </c:pt>
                      <c:pt idx="3">
                        <c:v>22.86</c:v>
                      </c:pt>
                      <c:pt idx="4">
                        <c:v>30.48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Discharges!$T$30:$T$34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4.7708234771852736</c:v>
                      </c:pt>
                      <c:pt idx="1">
                        <c:v>5.1076936056964763</c:v>
                      </c:pt>
                      <c:pt idx="2">
                        <c:v>7.3831758969287593</c:v>
                      </c:pt>
                      <c:pt idx="3">
                        <c:v>6.5956994981061223</c:v>
                      </c:pt>
                      <c:pt idx="4">
                        <c:v>12.190371206539668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C-9224-4850-AC46-352A01258453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Discharges!$I$29</c:f>
              <c:strCache>
                <c:ptCount val="1"/>
                <c:pt idx="0">
                  <c:v>Velocity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numRef>
              <c:f>Discharges!$B$30:$B$34</c:f>
              <c:numCache>
                <c:formatCode>General</c:formatCode>
                <c:ptCount val="5"/>
                <c:pt idx="0">
                  <c:v>0</c:v>
                </c:pt>
                <c:pt idx="1">
                  <c:v>7.62</c:v>
                </c:pt>
                <c:pt idx="2">
                  <c:v>15.24</c:v>
                </c:pt>
                <c:pt idx="3">
                  <c:v>22.86</c:v>
                </c:pt>
                <c:pt idx="4">
                  <c:v>30.48</c:v>
                </c:pt>
              </c:numCache>
            </c:numRef>
          </c:cat>
          <c:val>
            <c:numRef>
              <c:f>Discharges!$I$30:$I$34</c:f>
              <c:numCache>
                <c:formatCode>0.00000</c:formatCode>
                <c:ptCount val="5"/>
                <c:pt idx="0">
                  <c:v>3.0479999999999999E-3</c:v>
                </c:pt>
                <c:pt idx="1">
                  <c:v>6.0959999999999999E-3</c:v>
                </c:pt>
                <c:pt idx="2">
                  <c:v>6.0959999999999999E-3</c:v>
                </c:pt>
                <c:pt idx="3">
                  <c:v>6.0959999999999999E-3</c:v>
                </c:pt>
                <c:pt idx="4">
                  <c:v>9.1439999999999994E-3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24-4850-AC46-352A01258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675247"/>
        <c:axId val="2056674415"/>
      </c:lineChart>
      <c:valAx>
        <c:axId val="13105398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Load  (kg/day</a:t>
                </a:r>
                <a:r>
                  <a:rPr lang="en-US" baseline="0">
                    <a:solidFill>
                      <a:schemeClr val="tx1"/>
                    </a:solidFill>
                  </a:rPr>
                  <a:t>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544031"/>
        <c:crosses val="autoZero"/>
        <c:crossBetween val="between"/>
      </c:valAx>
      <c:catAx>
        <c:axId val="13105440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539871"/>
        <c:crosses val="autoZero"/>
        <c:auto val="1"/>
        <c:lblAlgn val="ctr"/>
        <c:lblOffset val="100"/>
        <c:noMultiLvlLbl val="0"/>
      </c:catAx>
      <c:valAx>
        <c:axId val="20566744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675247"/>
        <c:crosses val="max"/>
        <c:crossBetween val="between"/>
      </c:valAx>
      <c:catAx>
        <c:axId val="2056675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66744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498818897637797"/>
          <c:y val="0.17187445319335085"/>
          <c:w val="0.19669006999125113"/>
          <c:h val="0.179977398658501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Esco No. 40</a:t>
            </a:r>
          </a:p>
        </c:rich>
      </c:tx>
      <c:layout>
        <c:manualLayout>
          <c:xMode val="edge"/>
          <c:yMode val="edge"/>
          <c:x val="0.12120122484689416"/>
          <c:y val="1.8518518518518517E-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99759405074365"/>
          <c:y val="5.0925925925925923E-2"/>
          <c:w val="0.79631036745406825"/>
          <c:h val="0.91724482356372106"/>
        </c:manualLayout>
      </c:layout>
      <c:barChart>
        <c:barDir val="col"/>
        <c:grouping val="clustered"/>
        <c:varyColors val="0"/>
        <c:ser>
          <c:idx val="7"/>
          <c:order val="5"/>
          <c:tx>
            <c:strRef>
              <c:f>Discharges!$T$3</c:f>
              <c:strCache>
                <c:ptCount val="1"/>
                <c:pt idx="0">
                  <c:v>SO4 load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val>
            <c:numRef>
              <c:f>Discharges!$T$4:$T$8</c:f>
              <c:numCache>
                <c:formatCode>General</c:formatCode>
                <c:ptCount val="5"/>
                <c:pt idx="0">
                  <c:v>458.20306022400007</c:v>
                </c:pt>
                <c:pt idx="1">
                  <c:v>445.88582161835899</c:v>
                </c:pt>
                <c:pt idx="2">
                  <c:v>363.67704202814258</c:v>
                </c:pt>
                <c:pt idx="3">
                  <c:v>600.49259967144872</c:v>
                </c:pt>
                <c:pt idx="4">
                  <c:v>396.26655175042544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8-4DDE-A90A-47548E255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10622223"/>
        <c:axId val="1310620143"/>
        <c:extLst>
          <c:ext xmlns:c15="http://schemas.microsoft.com/office/drawing/2012/chart" uri="{02D57815-91ED-43cb-92C2-25804820EDAC}">
            <c15:filteredBar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Discharges!$Q$3</c15:sqref>
                        </c15:formulaRef>
                      </c:ext>
                    </c:extLst>
                    <c:strCache>
                      <c:ptCount val="1"/>
                      <c:pt idx="0">
                        <c:v>Fe load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Discharges!$Q$4:$Q$8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12.764228106240001</c:v>
                      </c:pt>
                      <c:pt idx="1">
                        <c:v>26.498943313920009</c:v>
                      </c:pt>
                      <c:pt idx="2">
                        <c:v>20.539462014720002</c:v>
                      </c:pt>
                      <c:pt idx="3">
                        <c:v>55.427238213119992</c:v>
                      </c:pt>
                      <c:pt idx="4">
                        <c:v>36.979674681599988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8E8-4DDE-A90A-47548E25592D}"/>
                  </c:ext>
                </c:extLst>
              </c15:ser>
            </c15:filteredBarSeries>
            <c15:filteredBarSeries>
              <c15:ser>
                <c:idx val="4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Discharges!$Q$3</c15:sqref>
                        </c15:formulaRef>
                      </c:ext>
                    </c:extLst>
                    <c:strCache>
                      <c:ptCount val="1"/>
                      <c:pt idx="0">
                        <c:v>Fe load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Discharges!$Q$4:$Q$8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12.764228106240001</c:v>
                      </c:pt>
                      <c:pt idx="1">
                        <c:v>26.498943313920009</c:v>
                      </c:pt>
                      <c:pt idx="2">
                        <c:v>20.539462014720002</c:v>
                      </c:pt>
                      <c:pt idx="3">
                        <c:v>55.427238213119992</c:v>
                      </c:pt>
                      <c:pt idx="4">
                        <c:v>36.979674681599988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8E8-4DDE-A90A-47548E25592D}"/>
                  </c:ext>
                </c:extLst>
              </c15:ser>
            </c15:filteredBarSeries>
            <c15:filteredBa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Discharges!$R$3</c15:sqref>
                        </c15:formulaRef>
                      </c:ext>
                    </c:extLst>
                    <c:strCache>
                      <c:ptCount val="1"/>
                      <c:pt idx="0">
                        <c:v>Al load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Discharges!$R$4:$R$8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0.83458414540800008</c:v>
                      </c:pt>
                      <c:pt idx="1">
                        <c:v>0.50544280765439997</c:v>
                      </c:pt>
                      <c:pt idx="2">
                        <c:v>1.0092344744505601</c:v>
                      </c:pt>
                      <c:pt idx="3">
                        <c:v>0.82012977472319992</c:v>
                      </c:pt>
                      <c:pt idx="4">
                        <c:v>0.59494510627199992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8E8-4DDE-A90A-47548E25592D}"/>
                  </c:ext>
                </c:extLst>
              </c15:ser>
            </c15:filteredBarSeries>
            <c15:filteredBarSeries>
              <c15:ser>
                <c:idx val="6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Discharges!$S$3</c15:sqref>
                        </c15:formulaRef>
                      </c:ext>
                    </c:extLst>
                    <c:strCache>
                      <c:ptCount val="1"/>
                      <c:pt idx="0">
                        <c:v>Mn load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Discharges!$S$4:$S$8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0.65457580031999996</c:v>
                      </c:pt>
                      <c:pt idx="1">
                        <c:v>2.6989664486400011</c:v>
                      </c:pt>
                      <c:pt idx="2">
                        <c:v>0.56016714585600003</c:v>
                      </c:pt>
                      <c:pt idx="3">
                        <c:v>4.1892680044799997</c:v>
                      </c:pt>
                      <c:pt idx="4">
                        <c:v>0.50312482559999994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8E8-4DDE-A90A-47548E25592D}"/>
                  </c:ext>
                </c:extLst>
              </c15:ser>
            </c15:filteredBarSeries>
            <c15:filteredBarSeries>
              <c15:ser>
                <c:idx val="8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Discharges!$U$3</c15:sqref>
                        </c15:formulaRef>
                      </c:ext>
                    </c:extLst>
                    <c:strCache>
                      <c:ptCount val="1"/>
                      <c:pt idx="0">
                        <c:v>NO3 load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Discharges!$U$4:$U$8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4.9093185024000001E-2</c:v>
                      </c:pt>
                      <c:pt idx="1">
                        <c:v>4.9072117248000008E-2</c:v>
                      </c:pt>
                      <c:pt idx="2">
                        <c:v>7.4688952780799997E-2</c:v>
                      </c:pt>
                      <c:pt idx="3">
                        <c:v>0.29002624646399999</c:v>
                      </c:pt>
                      <c:pt idx="4">
                        <c:v>0.30187489535999995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8E8-4DDE-A90A-47548E25592D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Discharges!$I$3</c:f>
              <c:strCache>
                <c:ptCount val="1"/>
                <c:pt idx="0">
                  <c:v>Velocity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numRef>
              <c:f>Discharges!$B$4:$B$8</c:f>
              <c:numCache>
                <c:formatCode>General</c:formatCode>
                <c:ptCount val="5"/>
                <c:pt idx="0">
                  <c:v>0</c:v>
                </c:pt>
                <c:pt idx="1">
                  <c:v>7.62</c:v>
                </c:pt>
                <c:pt idx="2">
                  <c:v>15.24</c:v>
                </c:pt>
                <c:pt idx="3">
                  <c:v>22.86</c:v>
                </c:pt>
                <c:pt idx="4">
                  <c:v>30.48</c:v>
                </c:pt>
              </c:numCache>
            </c:numRef>
          </c:cat>
          <c:val>
            <c:numRef>
              <c:f>Discharges!$I$4:$I$8</c:f>
              <c:numCache>
                <c:formatCode>0.00000</c:formatCode>
                <c:ptCount val="5"/>
                <c:pt idx="0">
                  <c:v>0.36575999999999997</c:v>
                </c:pt>
                <c:pt idx="1">
                  <c:v>0.24384</c:v>
                </c:pt>
                <c:pt idx="2">
                  <c:v>0.21335999999999999</c:v>
                </c:pt>
                <c:pt idx="3">
                  <c:v>3.048E-2</c:v>
                </c:pt>
                <c:pt idx="4">
                  <c:v>0.24384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8-4DDE-A90A-47548E255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124495"/>
        <c:axId val="1426124911"/>
      </c:lineChart>
      <c:catAx>
        <c:axId val="14261244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124911"/>
        <c:crosses val="autoZero"/>
        <c:auto val="1"/>
        <c:lblAlgn val="ctr"/>
        <c:lblOffset val="100"/>
        <c:noMultiLvlLbl val="0"/>
      </c:catAx>
      <c:valAx>
        <c:axId val="14261249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124495"/>
        <c:crosses val="autoZero"/>
        <c:crossBetween val="between"/>
      </c:valAx>
      <c:valAx>
        <c:axId val="13106201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Fe (kg/day)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622223"/>
        <c:crosses val="max"/>
        <c:crossBetween val="between"/>
      </c:valAx>
      <c:catAx>
        <c:axId val="13106222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06201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721041119860018"/>
          <c:y val="6.5392971711869349E-2"/>
          <c:w val="0.19669006999125113"/>
          <c:h val="0.240162583843686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Fe</a:t>
            </a:r>
          </a:p>
        </c:rich>
      </c:tx>
      <c:layout>
        <c:manualLayout>
          <c:xMode val="edge"/>
          <c:yMode val="edge"/>
          <c:x val="0.12120122484689416"/>
          <c:y val="1.8518518518518517E-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99759405074365"/>
          <c:y val="5.0925925925925923E-2"/>
          <c:w val="0.79631036745406825"/>
          <c:h val="0.91724482356372106"/>
        </c:manualLayout>
      </c:layout>
      <c:barChart>
        <c:barDir val="col"/>
        <c:grouping val="clustered"/>
        <c:varyColors val="0"/>
        <c:ser>
          <c:idx val="4"/>
          <c:order val="2"/>
          <c:tx>
            <c:strRef>
              <c:f>Discharges!$Q$3</c:f>
              <c:strCache>
                <c:ptCount val="1"/>
                <c:pt idx="0">
                  <c:v>Fe load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Discharges!$Q$4:$Q$8</c:f>
              <c:numCache>
                <c:formatCode>General</c:formatCode>
                <c:ptCount val="5"/>
                <c:pt idx="0">
                  <c:v>12.764228106240001</c:v>
                </c:pt>
                <c:pt idx="1">
                  <c:v>26.498943313920009</c:v>
                </c:pt>
                <c:pt idx="2">
                  <c:v>20.539462014720002</c:v>
                </c:pt>
                <c:pt idx="3">
                  <c:v>55.427238213119992</c:v>
                </c:pt>
                <c:pt idx="4">
                  <c:v>36.979674681599988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5-43DD-A1E3-1B72CDAF7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10622223"/>
        <c:axId val="1310620143"/>
        <c:extLst>
          <c:ext xmlns:c15="http://schemas.microsoft.com/office/drawing/2012/chart" uri="{02D57815-91ED-43cb-92C2-25804820EDAC}">
            <c15:filteredBar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Discharges!$Q$3</c15:sqref>
                        </c15:formulaRef>
                      </c:ext>
                    </c:extLst>
                    <c:strCache>
                      <c:ptCount val="1"/>
                      <c:pt idx="0">
                        <c:v>Fe load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Discharges!$Q$4:$Q$8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12.764228106240001</c:v>
                      </c:pt>
                      <c:pt idx="1">
                        <c:v>26.498943313920009</c:v>
                      </c:pt>
                      <c:pt idx="2">
                        <c:v>20.539462014720002</c:v>
                      </c:pt>
                      <c:pt idx="3">
                        <c:v>55.427238213119992</c:v>
                      </c:pt>
                      <c:pt idx="4">
                        <c:v>36.979674681599988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115-43DD-A1E3-1B72CDAF73B9}"/>
                  </c:ext>
                </c:extLst>
              </c15:ser>
            </c15:filteredBarSeries>
            <c15:filteredBa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Discharges!$R$3</c15:sqref>
                        </c15:formulaRef>
                      </c:ext>
                    </c:extLst>
                    <c:strCache>
                      <c:ptCount val="1"/>
                      <c:pt idx="0">
                        <c:v>Al load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Discharges!$R$4:$R$8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0.83458414540800008</c:v>
                      </c:pt>
                      <c:pt idx="1">
                        <c:v>0.50544280765439997</c:v>
                      </c:pt>
                      <c:pt idx="2">
                        <c:v>1.0092344744505601</c:v>
                      </c:pt>
                      <c:pt idx="3">
                        <c:v>0.82012977472319992</c:v>
                      </c:pt>
                      <c:pt idx="4">
                        <c:v>0.59494510627199992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115-43DD-A1E3-1B72CDAF73B9}"/>
                  </c:ext>
                </c:extLst>
              </c15:ser>
            </c15:filteredBarSeries>
            <c15:filteredBarSeries>
              <c15:ser>
                <c:idx val="6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Discharges!$S$3</c15:sqref>
                        </c15:formulaRef>
                      </c:ext>
                    </c:extLst>
                    <c:strCache>
                      <c:ptCount val="1"/>
                      <c:pt idx="0">
                        <c:v>Mn load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Discharges!$S$4:$S$8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0.65457580031999996</c:v>
                      </c:pt>
                      <c:pt idx="1">
                        <c:v>2.6989664486400011</c:v>
                      </c:pt>
                      <c:pt idx="2">
                        <c:v>0.56016714585600003</c:v>
                      </c:pt>
                      <c:pt idx="3">
                        <c:v>4.1892680044799997</c:v>
                      </c:pt>
                      <c:pt idx="4">
                        <c:v>0.50312482559999994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115-43DD-A1E3-1B72CDAF73B9}"/>
                  </c:ext>
                </c:extLst>
              </c15:ser>
            </c15:filteredBarSeries>
            <c15:filteredBarSeries>
              <c15:ser>
                <c:idx val="7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Discharges!$T$3</c15:sqref>
                        </c15:formulaRef>
                      </c:ext>
                    </c:extLst>
                    <c:strCache>
                      <c:ptCount val="1"/>
                      <c:pt idx="0">
                        <c:v>SO4 load</c:v>
                      </c:pt>
                    </c:strCache>
                  </c:strRef>
                </c:tx>
                <c:spPr>
                  <a:solidFill>
                    <a:schemeClr val="tx1"/>
                  </a:solidFill>
                  <a:ln>
                    <a:solidFill>
                      <a:schemeClr val="tx1">
                        <a:lumMod val="75000"/>
                        <a:lumOff val="2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Discharges!$T$4:$T$8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458.20306022400007</c:v>
                      </c:pt>
                      <c:pt idx="1">
                        <c:v>445.88582161835899</c:v>
                      </c:pt>
                      <c:pt idx="2">
                        <c:v>363.67704202814258</c:v>
                      </c:pt>
                      <c:pt idx="3">
                        <c:v>600.49259967144872</c:v>
                      </c:pt>
                      <c:pt idx="4">
                        <c:v>396.26655175042544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115-43DD-A1E3-1B72CDAF73B9}"/>
                  </c:ext>
                </c:extLst>
              </c15:ser>
            </c15:filteredBarSeries>
            <c15:filteredBarSeries>
              <c15:ser>
                <c:idx val="8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Discharges!$U$3</c15:sqref>
                        </c15:formulaRef>
                      </c:ext>
                    </c:extLst>
                    <c:strCache>
                      <c:ptCount val="1"/>
                      <c:pt idx="0">
                        <c:v>NO3 load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Discharges!$U$4:$U$8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4.9093185024000001E-2</c:v>
                      </c:pt>
                      <c:pt idx="1">
                        <c:v>4.9072117248000008E-2</c:v>
                      </c:pt>
                      <c:pt idx="2">
                        <c:v>7.4688952780799997E-2</c:v>
                      </c:pt>
                      <c:pt idx="3">
                        <c:v>0.29002624646399999</c:v>
                      </c:pt>
                      <c:pt idx="4">
                        <c:v>0.30187489535999995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115-43DD-A1E3-1B72CDAF73B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Discharges!$I$3</c:f>
              <c:strCache>
                <c:ptCount val="1"/>
                <c:pt idx="0">
                  <c:v>Velocity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numRef>
              <c:f>Discharges!$B$4:$B$8</c:f>
              <c:numCache>
                <c:formatCode>General</c:formatCode>
                <c:ptCount val="5"/>
                <c:pt idx="0">
                  <c:v>0</c:v>
                </c:pt>
                <c:pt idx="1">
                  <c:v>7.62</c:v>
                </c:pt>
                <c:pt idx="2">
                  <c:v>15.24</c:v>
                </c:pt>
                <c:pt idx="3">
                  <c:v>22.86</c:v>
                </c:pt>
                <c:pt idx="4">
                  <c:v>30.48</c:v>
                </c:pt>
              </c:numCache>
            </c:numRef>
          </c:cat>
          <c:val>
            <c:numRef>
              <c:f>Discharges!$I$4:$I$8</c:f>
              <c:numCache>
                <c:formatCode>0.00000</c:formatCode>
                <c:ptCount val="5"/>
                <c:pt idx="0">
                  <c:v>0.36575999999999997</c:v>
                </c:pt>
                <c:pt idx="1">
                  <c:v>0.24384</c:v>
                </c:pt>
                <c:pt idx="2">
                  <c:v>0.21335999999999999</c:v>
                </c:pt>
                <c:pt idx="3">
                  <c:v>3.048E-2</c:v>
                </c:pt>
                <c:pt idx="4">
                  <c:v>0.24384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15-43DD-A1E3-1B72CDAF7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124495"/>
        <c:axId val="1426124911"/>
      </c:lineChart>
      <c:catAx>
        <c:axId val="14261244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124911"/>
        <c:crosses val="autoZero"/>
        <c:auto val="1"/>
        <c:lblAlgn val="ctr"/>
        <c:lblOffset val="100"/>
        <c:noMultiLvlLbl val="0"/>
      </c:catAx>
      <c:valAx>
        <c:axId val="14261249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124495"/>
        <c:crosses val="autoZero"/>
        <c:crossBetween val="between"/>
      </c:valAx>
      <c:valAx>
        <c:axId val="13106201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Fe (kg/day)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622223"/>
        <c:crosses val="max"/>
        <c:crossBetween val="between"/>
      </c:valAx>
      <c:catAx>
        <c:axId val="13106222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06201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721041119860018"/>
          <c:y val="6.5392971711869349E-2"/>
          <c:w val="0.19669006999125113"/>
          <c:h val="0.240162583843686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Al, Mn, NO3</a:t>
            </a:r>
          </a:p>
        </c:rich>
      </c:tx>
      <c:layout>
        <c:manualLayout>
          <c:xMode val="edge"/>
          <c:yMode val="edge"/>
          <c:x val="0.39620122484689413"/>
          <c:y val="2.3148148148148147E-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99759405074365"/>
          <c:y val="5.0925925925925923E-2"/>
          <c:w val="0.79631036745406825"/>
          <c:h val="0.91724482356372106"/>
        </c:manualLayout>
      </c:layout>
      <c:barChart>
        <c:barDir val="col"/>
        <c:grouping val="clustered"/>
        <c:varyColors val="0"/>
        <c:ser>
          <c:idx val="5"/>
          <c:order val="3"/>
          <c:tx>
            <c:strRef>
              <c:f>Discharges!$R$3</c:f>
              <c:strCache>
                <c:ptCount val="1"/>
                <c:pt idx="0">
                  <c:v>Al load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Discharges!$R$4:$R$8</c:f>
              <c:numCache>
                <c:formatCode>General</c:formatCode>
                <c:ptCount val="5"/>
                <c:pt idx="0">
                  <c:v>0.83458414540800008</c:v>
                </c:pt>
                <c:pt idx="1">
                  <c:v>0.50544280765439997</c:v>
                </c:pt>
                <c:pt idx="2">
                  <c:v>1.0092344744505601</c:v>
                </c:pt>
                <c:pt idx="3">
                  <c:v>0.82012977472319992</c:v>
                </c:pt>
                <c:pt idx="4">
                  <c:v>0.59494510627199992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2B-4AA1-9407-271FEED73918}"/>
            </c:ext>
          </c:extLst>
        </c:ser>
        <c:ser>
          <c:idx val="6"/>
          <c:order val="4"/>
          <c:tx>
            <c:strRef>
              <c:f>Discharges!$S$3</c:f>
              <c:strCache>
                <c:ptCount val="1"/>
                <c:pt idx="0">
                  <c:v>Mn 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Discharges!$S$4:$S$8</c:f>
              <c:numCache>
                <c:formatCode>General</c:formatCode>
                <c:ptCount val="5"/>
                <c:pt idx="0">
                  <c:v>0.65457580031999996</c:v>
                </c:pt>
                <c:pt idx="1">
                  <c:v>2.6989664486400011</c:v>
                </c:pt>
                <c:pt idx="2">
                  <c:v>0.56016714585600003</c:v>
                </c:pt>
                <c:pt idx="3">
                  <c:v>4.1892680044799997</c:v>
                </c:pt>
                <c:pt idx="4">
                  <c:v>0.50312482559999994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2B-4AA1-9407-271FEED73918}"/>
            </c:ext>
          </c:extLst>
        </c:ser>
        <c:ser>
          <c:idx val="8"/>
          <c:order val="6"/>
          <c:tx>
            <c:strRef>
              <c:f>Discharges!$U$3</c:f>
              <c:strCache>
                <c:ptCount val="1"/>
                <c:pt idx="0">
                  <c:v>NO3 load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val>
            <c:numRef>
              <c:f>Discharges!$U$4:$U$8</c:f>
              <c:numCache>
                <c:formatCode>General</c:formatCode>
                <c:ptCount val="5"/>
                <c:pt idx="0">
                  <c:v>4.9093185024000001E-2</c:v>
                </c:pt>
                <c:pt idx="1">
                  <c:v>4.9072117248000008E-2</c:v>
                </c:pt>
                <c:pt idx="2">
                  <c:v>7.4688952780799997E-2</c:v>
                </c:pt>
                <c:pt idx="3">
                  <c:v>0.29002624646399999</c:v>
                </c:pt>
                <c:pt idx="4">
                  <c:v>0.30187489535999995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2B-4AA1-9407-271FEED73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10622223"/>
        <c:axId val="1310620143"/>
        <c:extLst>
          <c:ext xmlns:c15="http://schemas.microsoft.com/office/drawing/2012/chart" uri="{02D57815-91ED-43cb-92C2-25804820EDAC}">
            <c15:filteredBar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Discharges!$Q$3</c15:sqref>
                        </c15:formulaRef>
                      </c:ext>
                    </c:extLst>
                    <c:strCache>
                      <c:ptCount val="1"/>
                      <c:pt idx="0">
                        <c:v>Fe load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Discharges!$Q$4:$Q$8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12.764228106240001</c:v>
                      </c:pt>
                      <c:pt idx="1">
                        <c:v>26.498943313920009</c:v>
                      </c:pt>
                      <c:pt idx="2">
                        <c:v>20.539462014720002</c:v>
                      </c:pt>
                      <c:pt idx="3">
                        <c:v>55.427238213119992</c:v>
                      </c:pt>
                      <c:pt idx="4">
                        <c:v>36.979674681599988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E2B-4AA1-9407-271FEED73918}"/>
                  </c:ext>
                </c:extLst>
              </c15:ser>
            </c15:filteredBarSeries>
            <c15:filteredBarSeries>
              <c15:ser>
                <c:idx val="4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Discharges!$Q$3</c15:sqref>
                        </c15:formulaRef>
                      </c:ext>
                    </c:extLst>
                    <c:strCache>
                      <c:ptCount val="1"/>
                      <c:pt idx="0">
                        <c:v>Fe load</c:v>
                      </c:pt>
                    </c:strCache>
                  </c:strRef>
                </c:tx>
                <c:spPr>
                  <a:solidFill>
                    <a:schemeClr val="tx1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Discharges!$Q$4:$Q$8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12.764228106240001</c:v>
                      </c:pt>
                      <c:pt idx="1">
                        <c:v>26.498943313920009</c:v>
                      </c:pt>
                      <c:pt idx="2">
                        <c:v>20.539462014720002</c:v>
                      </c:pt>
                      <c:pt idx="3">
                        <c:v>55.427238213119992</c:v>
                      </c:pt>
                      <c:pt idx="4">
                        <c:v>36.979674681599988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E2B-4AA1-9407-271FEED73918}"/>
                  </c:ext>
                </c:extLst>
              </c15:ser>
            </c15:filteredBarSeries>
            <c15:filteredBarSeries>
              <c15:ser>
                <c:idx val="7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Discharges!$T$3</c15:sqref>
                        </c15:formulaRef>
                      </c:ext>
                    </c:extLst>
                    <c:strCache>
                      <c:ptCount val="1"/>
                      <c:pt idx="0">
                        <c:v>SO4 load</c:v>
                      </c:pt>
                    </c:strCache>
                  </c:strRef>
                </c:tx>
                <c:spPr>
                  <a:solidFill>
                    <a:schemeClr val="tx1"/>
                  </a:solidFill>
                  <a:ln>
                    <a:solidFill>
                      <a:schemeClr val="tx1">
                        <a:lumMod val="75000"/>
                        <a:lumOff val="2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Discharges!$T$4:$T$8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458.20306022400007</c:v>
                      </c:pt>
                      <c:pt idx="1">
                        <c:v>445.88582161835899</c:v>
                      </c:pt>
                      <c:pt idx="2">
                        <c:v>363.67704202814258</c:v>
                      </c:pt>
                      <c:pt idx="3">
                        <c:v>600.49259967144872</c:v>
                      </c:pt>
                      <c:pt idx="4">
                        <c:v>396.26655175042544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E2B-4AA1-9407-271FEED73918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Discharges!$I$3</c:f>
              <c:strCache>
                <c:ptCount val="1"/>
                <c:pt idx="0">
                  <c:v>Velocity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numRef>
              <c:f>Discharges!$B$4:$B$8</c:f>
              <c:numCache>
                <c:formatCode>General</c:formatCode>
                <c:ptCount val="5"/>
                <c:pt idx="0">
                  <c:v>0</c:v>
                </c:pt>
                <c:pt idx="1">
                  <c:v>7.62</c:v>
                </c:pt>
                <c:pt idx="2">
                  <c:v>15.24</c:v>
                </c:pt>
                <c:pt idx="3">
                  <c:v>22.86</c:v>
                </c:pt>
                <c:pt idx="4">
                  <c:v>30.48</c:v>
                </c:pt>
              </c:numCache>
            </c:numRef>
          </c:cat>
          <c:val>
            <c:numRef>
              <c:f>Discharges!$I$4:$I$8</c:f>
              <c:numCache>
                <c:formatCode>0.00000</c:formatCode>
                <c:ptCount val="5"/>
                <c:pt idx="0">
                  <c:v>0.36575999999999997</c:v>
                </c:pt>
                <c:pt idx="1">
                  <c:v>0.24384</c:v>
                </c:pt>
                <c:pt idx="2">
                  <c:v>0.21335999999999999</c:v>
                </c:pt>
                <c:pt idx="3">
                  <c:v>3.048E-2</c:v>
                </c:pt>
                <c:pt idx="4">
                  <c:v>0.24384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2B-4AA1-9407-271FEED73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124495"/>
        <c:axId val="1426124911"/>
      </c:lineChart>
      <c:catAx>
        <c:axId val="14261244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124911"/>
        <c:crosses val="autoZero"/>
        <c:auto val="1"/>
        <c:lblAlgn val="ctr"/>
        <c:lblOffset val="100"/>
        <c:noMultiLvlLbl val="0"/>
      </c:catAx>
      <c:valAx>
        <c:axId val="14261249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124495"/>
        <c:crosses val="autoZero"/>
        <c:crossBetween val="between"/>
      </c:valAx>
      <c:valAx>
        <c:axId val="13106201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(kg/day)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622223"/>
        <c:crosses val="max"/>
        <c:crossBetween val="between"/>
      </c:valAx>
      <c:catAx>
        <c:axId val="13106222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06201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721041119860018"/>
          <c:y val="6.5392971711869349E-2"/>
          <c:w val="0.19669006999125113"/>
          <c:h val="0.240162583843686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Al, Mn, NO3</a:t>
            </a:r>
          </a:p>
        </c:rich>
      </c:tx>
      <c:layout>
        <c:manualLayout>
          <c:xMode val="edge"/>
          <c:yMode val="edge"/>
          <c:x val="0.39620122484689413"/>
          <c:y val="2.3148148148148147E-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99759405074365"/>
          <c:y val="5.0925925925925923E-2"/>
          <c:w val="0.79631036745406825"/>
          <c:h val="0.91724482356372106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Discharges!$R$12</c:f>
              <c:strCache>
                <c:ptCount val="1"/>
                <c:pt idx="0">
                  <c:v>Al load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f>Discharges!$B$13:$B$17</c:f>
              <c:numCache>
                <c:formatCode>General</c:formatCode>
                <c:ptCount val="5"/>
                <c:pt idx="0">
                  <c:v>0</c:v>
                </c:pt>
                <c:pt idx="1">
                  <c:v>7.62</c:v>
                </c:pt>
                <c:pt idx="2">
                  <c:v>15.24</c:v>
                </c:pt>
                <c:pt idx="3">
                  <c:v>22.86</c:v>
                </c:pt>
                <c:pt idx="4">
                  <c:v>30.48</c:v>
                </c:pt>
              </c:numCache>
            </c:numRef>
          </c:cat>
          <c:val>
            <c:numRef>
              <c:f>Discharges!$R$13:$R$17</c:f>
              <c:numCache>
                <c:formatCode>General</c:formatCode>
                <c:ptCount val="5"/>
                <c:pt idx="0">
                  <c:v>1.2020267262643202E-2</c:v>
                </c:pt>
                <c:pt idx="1">
                  <c:v>1.6536057353625601E-2</c:v>
                </c:pt>
                <c:pt idx="2">
                  <c:v>3.5008585673011197E-2</c:v>
                </c:pt>
                <c:pt idx="3">
                  <c:v>2.6090986372761603E-2</c:v>
                </c:pt>
                <c:pt idx="4">
                  <c:v>4.7238654012825586E-2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E-43AC-B24E-D77753ED0FB7}"/>
            </c:ext>
          </c:extLst>
        </c:ser>
        <c:ser>
          <c:idx val="3"/>
          <c:order val="3"/>
          <c:tx>
            <c:strRef>
              <c:f>Discharges!$S$12</c:f>
              <c:strCache>
                <c:ptCount val="1"/>
                <c:pt idx="0">
                  <c:v>Mn load</c:v>
                </c:pt>
              </c:strCache>
            </c:strRef>
          </c:tx>
          <c:spPr>
            <a:solidFill>
              <a:srgbClr val="339966"/>
            </a:solidFill>
            <a:ln>
              <a:solidFill>
                <a:srgbClr val="339966"/>
              </a:solidFill>
            </a:ln>
            <a:effectLst/>
          </c:spPr>
          <c:invertIfNegative val="0"/>
          <c:cat>
            <c:numRef>
              <c:f>Discharges!$B$13:$B$17</c:f>
              <c:numCache>
                <c:formatCode>General</c:formatCode>
                <c:ptCount val="5"/>
                <c:pt idx="0">
                  <c:v>0</c:v>
                </c:pt>
                <c:pt idx="1">
                  <c:v>7.62</c:v>
                </c:pt>
                <c:pt idx="2">
                  <c:v>15.24</c:v>
                </c:pt>
                <c:pt idx="3">
                  <c:v>22.86</c:v>
                </c:pt>
                <c:pt idx="4">
                  <c:v>30.48</c:v>
                </c:pt>
              </c:numCache>
            </c:numRef>
          </c:cat>
          <c:val>
            <c:numRef>
              <c:f>Discharges!$S$13:$S$17</c:f>
              <c:numCache>
                <c:formatCode>General</c:formatCode>
                <c:ptCount val="5"/>
                <c:pt idx="0">
                  <c:v>0.35851429439999999</c:v>
                </c:pt>
                <c:pt idx="1">
                  <c:v>0.40689117504000011</c:v>
                </c:pt>
                <c:pt idx="2">
                  <c:v>0.72541619712000005</c:v>
                </c:pt>
                <c:pt idx="3">
                  <c:v>0.22330525824000003</c:v>
                </c:pt>
                <c:pt idx="4">
                  <c:v>0.60270956927999997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0E-43AC-B24E-D77753ED0FB7}"/>
            </c:ext>
          </c:extLst>
        </c:ser>
        <c:ser>
          <c:idx val="5"/>
          <c:order val="5"/>
          <c:tx>
            <c:strRef>
              <c:f>Discharges!$U$12</c:f>
              <c:strCache>
                <c:ptCount val="1"/>
                <c:pt idx="0">
                  <c:v>NO3 load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cat>
            <c:numRef>
              <c:f>Discharges!$B$13:$B$17</c:f>
              <c:numCache>
                <c:formatCode>General</c:formatCode>
                <c:ptCount val="5"/>
                <c:pt idx="0">
                  <c:v>0</c:v>
                </c:pt>
                <c:pt idx="1">
                  <c:v>7.62</c:v>
                </c:pt>
                <c:pt idx="2">
                  <c:v>15.24</c:v>
                </c:pt>
                <c:pt idx="3">
                  <c:v>22.86</c:v>
                </c:pt>
                <c:pt idx="4">
                  <c:v>30.48</c:v>
                </c:pt>
              </c:numCache>
            </c:numRef>
          </c:cat>
          <c:val>
            <c:numRef>
              <c:f>Discharges!$U$13:$U$17</c:f>
              <c:numCache>
                <c:formatCode>General</c:formatCode>
                <c:ptCount val="5"/>
                <c:pt idx="0">
                  <c:v>1.4340571776000002E-2</c:v>
                </c:pt>
                <c:pt idx="1">
                  <c:v>1.3563039168000003E-2</c:v>
                </c:pt>
                <c:pt idx="2">
                  <c:v>6.0451349760000011E-3</c:v>
                </c:pt>
                <c:pt idx="3">
                  <c:v>3.7217543040000004E-3</c:v>
                </c:pt>
                <c:pt idx="4">
                  <c:v>1.7220273407999996E-2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0E-43AC-B24E-D77753ED0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26124495"/>
        <c:axId val="142612491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Discharges!$Q$12</c15:sqref>
                        </c15:formulaRef>
                      </c:ext>
                    </c:extLst>
                    <c:strCache>
                      <c:ptCount val="1"/>
                      <c:pt idx="0">
                        <c:v>Fe load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Discharges!$B$13:$B$17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7.62</c:v>
                      </c:pt>
                      <c:pt idx="2">
                        <c:v>15.24</c:v>
                      </c:pt>
                      <c:pt idx="3">
                        <c:v>22.86</c:v>
                      </c:pt>
                      <c:pt idx="4">
                        <c:v>30.48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Discharges!$Q$13:$Q$17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21.295749087360001</c:v>
                      </c:pt>
                      <c:pt idx="1">
                        <c:v>13.834299951360002</c:v>
                      </c:pt>
                      <c:pt idx="2">
                        <c:v>20.930675340902404</c:v>
                      </c:pt>
                      <c:pt idx="3">
                        <c:v>6.7229769747455999</c:v>
                      </c:pt>
                      <c:pt idx="4">
                        <c:v>30.613341051071995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20E-43AC-B24E-D77753ED0FB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Discharges!$T$12</c15:sqref>
                        </c15:formulaRef>
                      </c:ext>
                    </c:extLst>
                    <c:strCache>
                      <c:ptCount val="1"/>
                      <c:pt idx="0">
                        <c:v>SO4 load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Discharges!$B$13:$B$17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7.62</c:v>
                      </c:pt>
                      <c:pt idx="2">
                        <c:v>15.24</c:v>
                      </c:pt>
                      <c:pt idx="3">
                        <c:v>22.86</c:v>
                      </c:pt>
                      <c:pt idx="4">
                        <c:v>30.48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Discharges!$T$13:$T$17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185.85349074877692</c:v>
                      </c:pt>
                      <c:pt idx="1">
                        <c:v>199.39369381398362</c:v>
                      </c:pt>
                      <c:pt idx="2">
                        <c:v>412.38901103766085</c:v>
                      </c:pt>
                      <c:pt idx="3">
                        <c:v>254.14148609144988</c:v>
                      </c:pt>
                      <c:pt idx="4">
                        <c:v>555.0662189345253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20E-43AC-B24E-D77753ED0FB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Discharges!$I$12</c:f>
              <c:strCache>
                <c:ptCount val="1"/>
                <c:pt idx="0">
                  <c:v>Velocity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numRef>
              <c:f>Discharges!$B$13:$B$17</c:f>
              <c:numCache>
                <c:formatCode>General</c:formatCode>
                <c:ptCount val="5"/>
                <c:pt idx="0">
                  <c:v>0</c:v>
                </c:pt>
                <c:pt idx="1">
                  <c:v>7.62</c:v>
                </c:pt>
                <c:pt idx="2">
                  <c:v>15.24</c:v>
                </c:pt>
                <c:pt idx="3">
                  <c:v>22.86</c:v>
                </c:pt>
                <c:pt idx="4">
                  <c:v>30.48</c:v>
                </c:pt>
              </c:numCache>
            </c:numRef>
          </c:cat>
          <c:val>
            <c:numRef>
              <c:f>Discharges!$I$13:$I$17</c:f>
              <c:numCache>
                <c:formatCode>0.00000</c:formatCode>
                <c:ptCount val="5"/>
                <c:pt idx="0">
                  <c:v>3.3528000000000002E-2</c:v>
                </c:pt>
                <c:pt idx="1">
                  <c:v>3.6575999999999997E-2</c:v>
                </c:pt>
                <c:pt idx="2">
                  <c:v>5.7911999999999998E-2</c:v>
                </c:pt>
                <c:pt idx="3">
                  <c:v>7.0104E-2</c:v>
                </c:pt>
                <c:pt idx="4">
                  <c:v>5.4864000000000003E-2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0E-43AC-B24E-D77753ED0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125327"/>
        <c:axId val="1412724367"/>
      </c:lineChart>
      <c:catAx>
        <c:axId val="14261244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124911"/>
        <c:crosses val="autoZero"/>
        <c:auto val="1"/>
        <c:lblAlgn val="ctr"/>
        <c:lblOffset val="100"/>
        <c:noMultiLvlLbl val="0"/>
      </c:catAx>
      <c:valAx>
        <c:axId val="14261249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124495"/>
        <c:crosses val="autoZero"/>
        <c:crossBetween val="between"/>
      </c:valAx>
      <c:valAx>
        <c:axId val="141272436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(kg/day)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125327"/>
        <c:crosses val="max"/>
        <c:crossBetween val="between"/>
      </c:valAx>
      <c:catAx>
        <c:axId val="14261253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27243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943263342082242"/>
          <c:y val="9.7800379119276762E-2"/>
          <c:w val="0.19669006999125113"/>
          <c:h val="0.240162583843686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SO4</a:t>
            </a:r>
          </a:p>
        </c:rich>
      </c:tx>
      <c:layout>
        <c:manualLayout>
          <c:xMode val="edge"/>
          <c:yMode val="edge"/>
          <c:x val="0.18509011373578302"/>
          <c:y val="3.2407407407407406E-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77537182852144"/>
          <c:y val="5.0925925925925923E-2"/>
          <c:w val="0.79353258967629048"/>
          <c:h val="0.91724482356372106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Discharges!$T$12</c:f>
              <c:strCache>
                <c:ptCount val="1"/>
                <c:pt idx="0">
                  <c:v>SO4 load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Discharges!$B$13:$B$17</c:f>
              <c:numCache>
                <c:formatCode>General</c:formatCode>
                <c:ptCount val="5"/>
                <c:pt idx="0">
                  <c:v>0</c:v>
                </c:pt>
                <c:pt idx="1">
                  <c:v>7.62</c:v>
                </c:pt>
                <c:pt idx="2">
                  <c:v>15.24</c:v>
                </c:pt>
                <c:pt idx="3">
                  <c:v>22.86</c:v>
                </c:pt>
                <c:pt idx="4">
                  <c:v>30.48</c:v>
                </c:pt>
              </c:numCache>
            </c:numRef>
          </c:cat>
          <c:val>
            <c:numRef>
              <c:f>Discharges!$T$13:$T$17</c:f>
              <c:numCache>
                <c:formatCode>General</c:formatCode>
                <c:ptCount val="5"/>
                <c:pt idx="0">
                  <c:v>185.85349074877692</c:v>
                </c:pt>
                <c:pt idx="1">
                  <c:v>199.39369381398362</c:v>
                </c:pt>
                <c:pt idx="2">
                  <c:v>412.38901103766085</c:v>
                </c:pt>
                <c:pt idx="3">
                  <c:v>254.14148609144988</c:v>
                </c:pt>
                <c:pt idx="4">
                  <c:v>555.0662189345253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8-4FB2-8523-7207DBCB6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26124495"/>
        <c:axId val="142612491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Discharges!$Q$12</c15:sqref>
                        </c15:formulaRef>
                      </c:ext>
                    </c:extLst>
                    <c:strCache>
                      <c:ptCount val="1"/>
                      <c:pt idx="0">
                        <c:v>Fe load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Discharges!$B$13:$B$17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7.62</c:v>
                      </c:pt>
                      <c:pt idx="2">
                        <c:v>15.24</c:v>
                      </c:pt>
                      <c:pt idx="3">
                        <c:v>22.86</c:v>
                      </c:pt>
                      <c:pt idx="4">
                        <c:v>30.48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Discharges!$Q$13:$Q$17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21.295749087360001</c:v>
                      </c:pt>
                      <c:pt idx="1">
                        <c:v>13.834299951360002</c:v>
                      </c:pt>
                      <c:pt idx="2">
                        <c:v>20.930675340902404</c:v>
                      </c:pt>
                      <c:pt idx="3">
                        <c:v>6.7229769747455999</c:v>
                      </c:pt>
                      <c:pt idx="4">
                        <c:v>30.613341051071995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EE8-4FB2-8523-7207DBCB650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Discharges!$R$12</c15:sqref>
                        </c15:formulaRef>
                      </c:ext>
                    </c:extLst>
                    <c:strCache>
                      <c:ptCount val="1"/>
                      <c:pt idx="0">
                        <c:v>Al load</c:v>
                      </c:pt>
                    </c:strCache>
                  </c:strRef>
                </c:tx>
                <c:spPr>
                  <a:solidFill>
                    <a:schemeClr val="tx2">
                      <a:lumMod val="60000"/>
                      <a:lumOff val="40000"/>
                    </a:schemeClr>
                  </a:solidFill>
                  <a:ln>
                    <a:solidFill>
                      <a:schemeClr val="tx2">
                        <a:lumMod val="60000"/>
                        <a:lumOff val="40000"/>
                      </a:schemeClr>
                    </a:solidFill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Discharges!$B$13:$B$17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7.62</c:v>
                      </c:pt>
                      <c:pt idx="2">
                        <c:v>15.24</c:v>
                      </c:pt>
                      <c:pt idx="3">
                        <c:v>22.86</c:v>
                      </c:pt>
                      <c:pt idx="4">
                        <c:v>30.48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Discharges!$R$13:$R$17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1.2020267262643202E-2</c:v>
                      </c:pt>
                      <c:pt idx="1">
                        <c:v>1.6536057353625601E-2</c:v>
                      </c:pt>
                      <c:pt idx="2">
                        <c:v>3.5008585673011197E-2</c:v>
                      </c:pt>
                      <c:pt idx="3">
                        <c:v>2.6090986372761603E-2</c:v>
                      </c:pt>
                      <c:pt idx="4">
                        <c:v>4.7238654012825586E-2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EE8-4FB2-8523-7207DBCB650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Discharges!$S$12</c15:sqref>
                        </c15:formulaRef>
                      </c:ext>
                    </c:extLst>
                    <c:strCache>
                      <c:ptCount val="1"/>
                      <c:pt idx="0">
                        <c:v>Mn load</c:v>
                      </c:pt>
                    </c:strCache>
                  </c:strRef>
                </c:tx>
                <c:spPr>
                  <a:solidFill>
                    <a:srgbClr val="339966"/>
                  </a:solidFill>
                  <a:ln>
                    <a:solidFill>
                      <a:srgbClr val="339966"/>
                    </a:solidFill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Discharges!$B$13:$B$17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7.62</c:v>
                      </c:pt>
                      <c:pt idx="2">
                        <c:v>15.24</c:v>
                      </c:pt>
                      <c:pt idx="3">
                        <c:v>22.86</c:v>
                      </c:pt>
                      <c:pt idx="4">
                        <c:v>30.48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Discharges!$S$13:$S$17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0.35851429439999999</c:v>
                      </c:pt>
                      <c:pt idx="1">
                        <c:v>0.40689117504000011</c:v>
                      </c:pt>
                      <c:pt idx="2">
                        <c:v>0.72541619712000005</c:v>
                      </c:pt>
                      <c:pt idx="3">
                        <c:v>0.22330525824000003</c:v>
                      </c:pt>
                      <c:pt idx="4">
                        <c:v>0.60270956927999997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EE8-4FB2-8523-7207DBCB650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Discharges!$U$12</c15:sqref>
                        </c15:formulaRef>
                      </c:ext>
                    </c:extLst>
                    <c:strCache>
                      <c:ptCount val="1"/>
                      <c:pt idx="0">
                        <c:v>NO3 load</c:v>
                      </c:pt>
                    </c:strCache>
                  </c:strRef>
                </c:tx>
                <c:spPr>
                  <a:solidFill>
                    <a:srgbClr val="FFC000"/>
                  </a:solidFill>
                  <a:ln>
                    <a:solidFill>
                      <a:srgbClr val="FFC000"/>
                    </a:solidFill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Discharges!$B$13:$B$17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7.62</c:v>
                      </c:pt>
                      <c:pt idx="2">
                        <c:v>15.24</c:v>
                      </c:pt>
                      <c:pt idx="3">
                        <c:v>22.86</c:v>
                      </c:pt>
                      <c:pt idx="4">
                        <c:v>30.48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Discharges!$U$13:$U$17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1.4340571776000002E-2</c:v>
                      </c:pt>
                      <c:pt idx="1">
                        <c:v>1.3563039168000003E-2</c:v>
                      </c:pt>
                      <c:pt idx="2">
                        <c:v>6.0451349760000011E-3</c:v>
                      </c:pt>
                      <c:pt idx="3">
                        <c:v>3.7217543040000004E-3</c:v>
                      </c:pt>
                      <c:pt idx="4">
                        <c:v>1.7220273407999996E-2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EE8-4FB2-8523-7207DBCB650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Discharges!$I$12</c:f>
              <c:strCache>
                <c:ptCount val="1"/>
                <c:pt idx="0">
                  <c:v>Velocity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numRef>
              <c:f>Discharges!$B$13:$B$17</c:f>
              <c:numCache>
                <c:formatCode>General</c:formatCode>
                <c:ptCount val="5"/>
                <c:pt idx="0">
                  <c:v>0</c:v>
                </c:pt>
                <c:pt idx="1">
                  <c:v>7.62</c:v>
                </c:pt>
                <c:pt idx="2">
                  <c:v>15.24</c:v>
                </c:pt>
                <c:pt idx="3">
                  <c:v>22.86</c:v>
                </c:pt>
                <c:pt idx="4">
                  <c:v>30.48</c:v>
                </c:pt>
              </c:numCache>
            </c:numRef>
          </c:cat>
          <c:val>
            <c:numRef>
              <c:f>Discharges!$I$13:$I$17</c:f>
              <c:numCache>
                <c:formatCode>0.00000</c:formatCode>
                <c:ptCount val="5"/>
                <c:pt idx="0">
                  <c:v>3.3528000000000002E-2</c:v>
                </c:pt>
                <c:pt idx="1">
                  <c:v>3.6575999999999997E-2</c:v>
                </c:pt>
                <c:pt idx="2">
                  <c:v>5.7911999999999998E-2</c:v>
                </c:pt>
                <c:pt idx="3">
                  <c:v>7.0104E-2</c:v>
                </c:pt>
                <c:pt idx="4">
                  <c:v>5.4864000000000003E-2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E8-4FB2-8523-7207DBCB6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125327"/>
        <c:axId val="1412724367"/>
      </c:lineChart>
      <c:catAx>
        <c:axId val="14261244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124911"/>
        <c:crosses val="autoZero"/>
        <c:auto val="1"/>
        <c:lblAlgn val="ctr"/>
        <c:lblOffset val="100"/>
        <c:noMultiLvlLbl val="0"/>
      </c:catAx>
      <c:valAx>
        <c:axId val="14261249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124495"/>
        <c:crosses val="autoZero"/>
        <c:crossBetween val="between"/>
      </c:valAx>
      <c:valAx>
        <c:axId val="141272436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SO4 (kg/day)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125327"/>
        <c:crosses val="max"/>
        <c:crossBetween val="between"/>
      </c:valAx>
      <c:catAx>
        <c:axId val="14261253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27243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943263342082242"/>
          <c:y val="0.15798556430446195"/>
          <c:w val="0.19669006999125113"/>
          <c:h val="0.179977398658501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Fe</a:t>
            </a:r>
          </a:p>
        </c:rich>
      </c:tx>
      <c:layout>
        <c:manualLayout>
          <c:xMode val="edge"/>
          <c:yMode val="edge"/>
          <c:x val="0.18509011373578302"/>
          <c:y val="3.2407407407407406E-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77537182852144"/>
          <c:y val="5.0925925925925923E-2"/>
          <c:w val="0.79353258967629048"/>
          <c:h val="0.91724482356372106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Discharges!$Q$12</c:f>
              <c:strCache>
                <c:ptCount val="1"/>
                <c:pt idx="0">
                  <c:v>Fe load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Discharges!$B$13:$B$17</c:f>
              <c:numCache>
                <c:formatCode>General</c:formatCode>
                <c:ptCount val="5"/>
                <c:pt idx="0">
                  <c:v>0</c:v>
                </c:pt>
                <c:pt idx="1">
                  <c:v>7.62</c:v>
                </c:pt>
                <c:pt idx="2">
                  <c:v>15.24</c:v>
                </c:pt>
                <c:pt idx="3">
                  <c:v>22.86</c:v>
                </c:pt>
                <c:pt idx="4">
                  <c:v>30.48</c:v>
                </c:pt>
              </c:numCache>
            </c:numRef>
          </c:cat>
          <c:val>
            <c:numRef>
              <c:f>Discharges!$Q$13:$Q$17</c:f>
              <c:numCache>
                <c:formatCode>General</c:formatCode>
                <c:ptCount val="5"/>
                <c:pt idx="0">
                  <c:v>21.295749087360001</c:v>
                </c:pt>
                <c:pt idx="1">
                  <c:v>13.834299951360002</c:v>
                </c:pt>
                <c:pt idx="2">
                  <c:v>20.930675340902404</c:v>
                </c:pt>
                <c:pt idx="3">
                  <c:v>6.7229769747455999</c:v>
                </c:pt>
                <c:pt idx="4">
                  <c:v>30.613341051071995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7-4796-BAC5-771042156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26124495"/>
        <c:axId val="1426124911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Discharges!$R$12</c15:sqref>
                        </c15:formulaRef>
                      </c:ext>
                    </c:extLst>
                    <c:strCache>
                      <c:ptCount val="1"/>
                      <c:pt idx="0">
                        <c:v>Al load</c:v>
                      </c:pt>
                    </c:strCache>
                  </c:strRef>
                </c:tx>
                <c:spPr>
                  <a:solidFill>
                    <a:schemeClr val="tx2">
                      <a:lumMod val="60000"/>
                      <a:lumOff val="40000"/>
                    </a:schemeClr>
                  </a:solidFill>
                  <a:ln>
                    <a:solidFill>
                      <a:schemeClr val="tx2">
                        <a:lumMod val="60000"/>
                        <a:lumOff val="40000"/>
                      </a:schemeClr>
                    </a:solidFill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Discharges!$B$13:$B$17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7.62</c:v>
                      </c:pt>
                      <c:pt idx="2">
                        <c:v>15.24</c:v>
                      </c:pt>
                      <c:pt idx="3">
                        <c:v>22.86</c:v>
                      </c:pt>
                      <c:pt idx="4">
                        <c:v>30.48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Discharges!$R$13:$R$17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1.2020267262643202E-2</c:v>
                      </c:pt>
                      <c:pt idx="1">
                        <c:v>1.6536057353625601E-2</c:v>
                      </c:pt>
                      <c:pt idx="2">
                        <c:v>3.5008585673011197E-2</c:v>
                      </c:pt>
                      <c:pt idx="3">
                        <c:v>2.6090986372761603E-2</c:v>
                      </c:pt>
                      <c:pt idx="4">
                        <c:v>4.7238654012825586E-2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EB7-4796-BAC5-771042156B7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Discharges!$S$12</c15:sqref>
                        </c15:formulaRef>
                      </c:ext>
                    </c:extLst>
                    <c:strCache>
                      <c:ptCount val="1"/>
                      <c:pt idx="0">
                        <c:v>Mn load</c:v>
                      </c:pt>
                    </c:strCache>
                  </c:strRef>
                </c:tx>
                <c:spPr>
                  <a:solidFill>
                    <a:srgbClr val="339966"/>
                  </a:solidFill>
                  <a:ln>
                    <a:solidFill>
                      <a:srgbClr val="339966"/>
                    </a:solidFill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Discharges!$B$13:$B$17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7.62</c:v>
                      </c:pt>
                      <c:pt idx="2">
                        <c:v>15.24</c:v>
                      </c:pt>
                      <c:pt idx="3">
                        <c:v>22.86</c:v>
                      </c:pt>
                      <c:pt idx="4">
                        <c:v>30.48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Discharges!$S$13:$S$17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0.35851429439999999</c:v>
                      </c:pt>
                      <c:pt idx="1">
                        <c:v>0.40689117504000011</c:v>
                      </c:pt>
                      <c:pt idx="2">
                        <c:v>0.72541619712000005</c:v>
                      </c:pt>
                      <c:pt idx="3">
                        <c:v>0.22330525824000003</c:v>
                      </c:pt>
                      <c:pt idx="4">
                        <c:v>0.60270956927999997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EB7-4796-BAC5-771042156B7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Discharges!$T$12</c15:sqref>
                        </c15:formulaRef>
                      </c:ext>
                    </c:extLst>
                    <c:strCache>
                      <c:ptCount val="1"/>
                      <c:pt idx="0">
                        <c:v>SO4 load</c:v>
                      </c:pt>
                    </c:strCache>
                  </c:strRef>
                </c:tx>
                <c:spPr>
                  <a:solidFill>
                    <a:schemeClr val="tx1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Discharges!$B$13:$B$17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7.62</c:v>
                      </c:pt>
                      <c:pt idx="2">
                        <c:v>15.24</c:v>
                      </c:pt>
                      <c:pt idx="3">
                        <c:v>22.86</c:v>
                      </c:pt>
                      <c:pt idx="4">
                        <c:v>30.48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Discharges!$T$13:$T$17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185.85349074877692</c:v>
                      </c:pt>
                      <c:pt idx="1">
                        <c:v>199.39369381398362</c:v>
                      </c:pt>
                      <c:pt idx="2">
                        <c:v>412.38901103766085</c:v>
                      </c:pt>
                      <c:pt idx="3">
                        <c:v>254.14148609144988</c:v>
                      </c:pt>
                      <c:pt idx="4">
                        <c:v>555.0662189345253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EB7-4796-BAC5-771042156B7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Discharges!$U$12</c15:sqref>
                        </c15:formulaRef>
                      </c:ext>
                    </c:extLst>
                    <c:strCache>
                      <c:ptCount val="1"/>
                      <c:pt idx="0">
                        <c:v>NO3 load</c:v>
                      </c:pt>
                    </c:strCache>
                  </c:strRef>
                </c:tx>
                <c:spPr>
                  <a:solidFill>
                    <a:srgbClr val="FFC000"/>
                  </a:solidFill>
                  <a:ln>
                    <a:solidFill>
                      <a:srgbClr val="FFC000"/>
                    </a:solidFill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Discharges!$B$13:$B$17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7.62</c:v>
                      </c:pt>
                      <c:pt idx="2">
                        <c:v>15.24</c:v>
                      </c:pt>
                      <c:pt idx="3">
                        <c:v>22.86</c:v>
                      </c:pt>
                      <c:pt idx="4">
                        <c:v>30.48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Discharges!$U$13:$U$17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1.4340571776000002E-2</c:v>
                      </c:pt>
                      <c:pt idx="1">
                        <c:v>1.3563039168000003E-2</c:v>
                      </c:pt>
                      <c:pt idx="2">
                        <c:v>6.0451349760000011E-3</c:v>
                      </c:pt>
                      <c:pt idx="3">
                        <c:v>3.7217543040000004E-3</c:v>
                      </c:pt>
                      <c:pt idx="4">
                        <c:v>1.7220273407999996E-2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EB7-4796-BAC5-771042156B7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Discharges!$I$12</c:f>
              <c:strCache>
                <c:ptCount val="1"/>
                <c:pt idx="0">
                  <c:v>Velocity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numRef>
              <c:f>Discharges!$B$13:$B$17</c:f>
              <c:numCache>
                <c:formatCode>General</c:formatCode>
                <c:ptCount val="5"/>
                <c:pt idx="0">
                  <c:v>0</c:v>
                </c:pt>
                <c:pt idx="1">
                  <c:v>7.62</c:v>
                </c:pt>
                <c:pt idx="2">
                  <c:v>15.24</c:v>
                </c:pt>
                <c:pt idx="3">
                  <c:v>22.86</c:v>
                </c:pt>
                <c:pt idx="4">
                  <c:v>30.48</c:v>
                </c:pt>
              </c:numCache>
            </c:numRef>
          </c:cat>
          <c:val>
            <c:numRef>
              <c:f>Discharges!$I$13:$I$17</c:f>
              <c:numCache>
                <c:formatCode>0.00000</c:formatCode>
                <c:ptCount val="5"/>
                <c:pt idx="0">
                  <c:v>3.3528000000000002E-2</c:v>
                </c:pt>
                <c:pt idx="1">
                  <c:v>3.6575999999999997E-2</c:v>
                </c:pt>
                <c:pt idx="2">
                  <c:v>5.7911999999999998E-2</c:v>
                </c:pt>
                <c:pt idx="3">
                  <c:v>7.0104E-2</c:v>
                </c:pt>
                <c:pt idx="4">
                  <c:v>5.4864000000000003E-2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7-4796-BAC5-771042156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125327"/>
        <c:axId val="1412724367"/>
      </c:lineChart>
      <c:catAx>
        <c:axId val="14261244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124911"/>
        <c:crosses val="autoZero"/>
        <c:auto val="1"/>
        <c:lblAlgn val="ctr"/>
        <c:lblOffset val="100"/>
        <c:noMultiLvlLbl val="0"/>
      </c:catAx>
      <c:valAx>
        <c:axId val="14261249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124495"/>
        <c:crosses val="autoZero"/>
        <c:crossBetween val="between"/>
      </c:valAx>
      <c:valAx>
        <c:axId val="141272436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SO4 (kg/day)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125327"/>
        <c:crosses val="max"/>
        <c:crossBetween val="between"/>
      </c:valAx>
      <c:catAx>
        <c:axId val="14261253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27243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943263342082242"/>
          <c:y val="0.15798556430446195"/>
          <c:w val="0.19669006999125113"/>
          <c:h val="0.179977398658501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SO4</a:t>
            </a:r>
          </a:p>
        </c:rich>
      </c:tx>
      <c:layout>
        <c:manualLayout>
          <c:xMode val="edge"/>
          <c:yMode val="edge"/>
          <c:x val="0.18509011373578302"/>
          <c:y val="3.2407407407407406E-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99759405074365"/>
          <c:y val="5.0925925925925923E-2"/>
          <c:w val="0.77131036745406822"/>
          <c:h val="0.91724482356372106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Discharges!$T$21</c:f>
              <c:strCache>
                <c:ptCount val="1"/>
                <c:pt idx="0">
                  <c:v>SO4 load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Discharges!$B$22:$B$26</c:f>
              <c:numCache>
                <c:formatCode>General</c:formatCode>
                <c:ptCount val="5"/>
                <c:pt idx="0">
                  <c:v>0</c:v>
                </c:pt>
                <c:pt idx="1">
                  <c:v>7.62</c:v>
                </c:pt>
                <c:pt idx="2">
                  <c:v>15.24</c:v>
                </c:pt>
                <c:pt idx="3">
                  <c:v>22.86</c:v>
                </c:pt>
                <c:pt idx="4">
                  <c:v>30.48</c:v>
                </c:pt>
              </c:numCache>
            </c:numRef>
          </c:cat>
          <c:val>
            <c:numRef>
              <c:f>Discharges!$T$22:$T$26</c:f>
              <c:numCache>
                <c:formatCode>General</c:formatCode>
                <c:ptCount val="5"/>
                <c:pt idx="0">
                  <c:v>3.0091627701494841</c:v>
                </c:pt>
                <c:pt idx="1">
                  <c:v>1.9786429138204233</c:v>
                </c:pt>
                <c:pt idx="2">
                  <c:v>8.4675664530635668</c:v>
                </c:pt>
                <c:pt idx="3">
                  <c:v>5.9674320088462798</c:v>
                </c:pt>
                <c:pt idx="4">
                  <c:v>8.6761709085186727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7-4148-8FD5-DEC0F2C2A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26125327"/>
        <c:axId val="141272436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Discharges!$Q$21</c15:sqref>
                        </c15:formulaRef>
                      </c:ext>
                    </c:extLst>
                    <c:strCache>
                      <c:ptCount val="1"/>
                      <c:pt idx="0">
                        <c:v>Fe load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Discharges!$B$22:$B$26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7.62</c:v>
                      </c:pt>
                      <c:pt idx="2">
                        <c:v>15.24</c:v>
                      </c:pt>
                      <c:pt idx="3">
                        <c:v>22.86</c:v>
                      </c:pt>
                      <c:pt idx="4">
                        <c:v>30.48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Discharges!$Q$22:$Q$26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3.724697208959999E-2</c:v>
                      </c:pt>
                      <c:pt idx="1">
                        <c:v>2.2277625955199998E-2</c:v>
                      </c:pt>
                      <c:pt idx="2">
                        <c:v>3.9458232691199996E-2</c:v>
                      </c:pt>
                      <c:pt idx="3">
                        <c:v>1.4542098220800007E-2</c:v>
                      </c:pt>
                      <c:pt idx="4">
                        <c:v>3.2432195232E-2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FF7-4148-8FD5-DEC0F2C2ABC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Discharges!$R$21</c15:sqref>
                        </c15:formulaRef>
                      </c:ext>
                    </c:extLst>
                    <c:strCache>
                      <c:ptCount val="1"/>
                      <c:pt idx="0">
                        <c:v>Al load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Discharges!$B$22:$B$26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7.62</c:v>
                      </c:pt>
                      <c:pt idx="2">
                        <c:v>15.24</c:v>
                      </c:pt>
                      <c:pt idx="3">
                        <c:v>22.86</c:v>
                      </c:pt>
                      <c:pt idx="4">
                        <c:v>30.48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Discharges!$R$22:$R$26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2.3902072266203046E-2</c:v>
                      </c:pt>
                      <c:pt idx="1">
                        <c:v>4.1231874314935392E-2</c:v>
                      </c:pt>
                      <c:pt idx="2">
                        <c:v>0.12205263836424471</c:v>
                      </c:pt>
                      <c:pt idx="3">
                        <c:v>0.10096116898698441</c:v>
                      </c:pt>
                      <c:pt idx="4">
                        <c:v>0.12588857316841615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FF7-4148-8FD5-DEC0F2C2ABC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Discharges!$S$21</c15:sqref>
                        </c15:formulaRef>
                      </c:ext>
                    </c:extLst>
                    <c:strCache>
                      <c:ptCount val="1"/>
                      <c:pt idx="0">
                        <c:v>Mn load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Discharges!$B$22:$B$26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7.62</c:v>
                      </c:pt>
                      <c:pt idx="2">
                        <c:v>15.24</c:v>
                      </c:pt>
                      <c:pt idx="3">
                        <c:v>22.86</c:v>
                      </c:pt>
                      <c:pt idx="4">
                        <c:v>30.48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Discharges!$S$22:$S$26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4.7929190400000004E-3</c:v>
                      </c:pt>
                      <c:pt idx="1">
                        <c:v>7.9662527999999986E-3</c:v>
                      </c:pt>
                      <c:pt idx="2">
                        <c:v>4.4163325439999998E-2</c:v>
                      </c:pt>
                      <c:pt idx="3">
                        <c:v>1.2048134400000002E-2</c:v>
                      </c:pt>
                      <c:pt idx="4">
                        <c:v>4.7461749120000001E-2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FF7-4148-8FD5-DEC0F2C2ABC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Discharges!$U$21</c15:sqref>
                        </c15:formulaRef>
                      </c:ext>
                    </c:extLst>
                    <c:strCache>
                      <c:ptCount val="1"/>
                      <c:pt idx="0">
                        <c:v>NO3 load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Discharges!$B$22:$B$26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7.62</c:v>
                      </c:pt>
                      <c:pt idx="2">
                        <c:v>15.24</c:v>
                      </c:pt>
                      <c:pt idx="3">
                        <c:v>22.86</c:v>
                      </c:pt>
                      <c:pt idx="4">
                        <c:v>30.48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Discharges!$U$22:$U$26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1.7374331519999999E-3</c:v>
                      </c:pt>
                      <c:pt idx="1">
                        <c:v>5.9746895999999994E-4</c:v>
                      </c:pt>
                      <c:pt idx="2">
                        <c:v>2.8876020480000006E-3</c:v>
                      </c:pt>
                      <c:pt idx="3">
                        <c:v>2.1686641920000008E-3</c:v>
                      </c:pt>
                      <c:pt idx="4">
                        <c:v>2.63676384E-3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FF7-4148-8FD5-DEC0F2C2ABC8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Discharges!$I$21</c:f>
              <c:strCache>
                <c:ptCount val="1"/>
                <c:pt idx="0">
                  <c:v>Velocity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numRef>
              <c:f>Discharges!$B$22:$B$26</c:f>
              <c:numCache>
                <c:formatCode>General</c:formatCode>
                <c:ptCount val="5"/>
                <c:pt idx="0">
                  <c:v>0</c:v>
                </c:pt>
                <c:pt idx="1">
                  <c:v>7.62</c:v>
                </c:pt>
                <c:pt idx="2">
                  <c:v>15.24</c:v>
                </c:pt>
                <c:pt idx="3">
                  <c:v>22.86</c:v>
                </c:pt>
                <c:pt idx="4">
                  <c:v>30.48</c:v>
                </c:pt>
              </c:numCache>
            </c:numRef>
          </c:cat>
          <c:val>
            <c:numRef>
              <c:f>Discharges!$I$22:$I$26</c:f>
              <c:numCache>
                <c:formatCode>0.00000</c:formatCode>
                <c:ptCount val="5"/>
                <c:pt idx="0">
                  <c:v>3.0479999999999999E-3</c:v>
                </c:pt>
                <c:pt idx="1">
                  <c:v>3.0479999999999999E-3</c:v>
                </c:pt>
                <c:pt idx="2">
                  <c:v>6.0959999999999999E-3</c:v>
                </c:pt>
                <c:pt idx="3">
                  <c:v>9.1439999999999994E-3</c:v>
                </c:pt>
                <c:pt idx="4">
                  <c:v>6.0959999999999999E-3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F7-4148-8FD5-DEC0F2C2A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544031"/>
        <c:axId val="1310539871"/>
      </c:lineChart>
      <c:valAx>
        <c:axId val="141272436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SO4 (kg/day)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125327"/>
        <c:crosses val="max"/>
        <c:crossBetween val="between"/>
      </c:valAx>
      <c:catAx>
        <c:axId val="14261253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724367"/>
        <c:crosses val="autoZero"/>
        <c:auto val="1"/>
        <c:lblAlgn val="ctr"/>
        <c:lblOffset val="100"/>
        <c:noMultiLvlLbl val="0"/>
      </c:catAx>
      <c:valAx>
        <c:axId val="13105398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544031"/>
        <c:crosses val="autoZero"/>
        <c:crossBetween val="between"/>
      </c:valAx>
      <c:catAx>
        <c:axId val="13105440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05398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943263342082242"/>
          <c:y val="0.15798556430446195"/>
          <c:w val="0.19669006999125113"/>
          <c:h val="0.179977398658501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SO4</a:t>
            </a:r>
          </a:p>
        </c:rich>
      </c:tx>
      <c:layout>
        <c:manualLayout>
          <c:xMode val="edge"/>
          <c:yMode val="edge"/>
          <c:x val="0.19556233595800526"/>
          <c:y val="4.166666666666666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6920384951881"/>
          <c:y val="8.3333333333333329E-2"/>
          <c:w val="0.79941907261592304"/>
          <c:h val="0.72832372438280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'Sediment Conc'!$K$23</c:f>
              <c:strCache>
                <c:ptCount val="1"/>
                <c:pt idx="0">
                  <c:v>Pine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'Sediment Conc'!$J$24:$J$28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23</c:v>
                </c:pt>
                <c:pt idx="4">
                  <c:v>30</c:v>
                </c:pt>
              </c:numCache>
            </c:numRef>
          </c:xVal>
          <c:yVal>
            <c:numRef>
              <c:f>'Sediment Conc'!$K$24:$K$28</c:f>
              <c:numCache>
                <c:formatCode>0.00</c:formatCode>
                <c:ptCount val="5"/>
                <c:pt idx="0">
                  <c:v>5582</c:v>
                </c:pt>
                <c:pt idx="1">
                  <c:v>50690</c:v>
                </c:pt>
                <c:pt idx="2">
                  <c:v>59510</c:v>
                </c:pt>
                <c:pt idx="3">
                  <c:v>70210</c:v>
                </c:pt>
                <c:pt idx="4">
                  <c:v>77350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35-4B6F-A9EC-266ED716DCA9}"/>
            </c:ext>
          </c:extLst>
        </c:ser>
        <c:ser>
          <c:idx val="1"/>
          <c:order val="1"/>
          <c:tx>
            <c:strRef>
              <c:f>'Sediment Conc'!$L$23</c:f>
              <c:strCache>
                <c:ptCount val="1"/>
                <c:pt idx="0">
                  <c:v>Esco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'Sediment Conc'!$J$24:$J$28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23</c:v>
                </c:pt>
                <c:pt idx="4">
                  <c:v>30</c:v>
                </c:pt>
              </c:numCache>
            </c:numRef>
          </c:xVal>
          <c:yVal>
            <c:numRef>
              <c:f>'Sediment Conc'!$L$24:$L$28</c:f>
              <c:numCache>
                <c:formatCode>0.00</c:formatCode>
                <c:ptCount val="5"/>
                <c:pt idx="0">
                  <c:v>33520</c:v>
                </c:pt>
                <c:pt idx="1">
                  <c:v>29200</c:v>
                </c:pt>
                <c:pt idx="2">
                  <c:v>31990</c:v>
                </c:pt>
                <c:pt idx="3">
                  <c:v>37080</c:v>
                </c:pt>
                <c:pt idx="4">
                  <c:v>25050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35-4B6F-A9EC-266ED716DCA9}"/>
            </c:ext>
          </c:extLst>
        </c:ser>
        <c:ser>
          <c:idx val="2"/>
          <c:order val="2"/>
          <c:tx>
            <c:strRef>
              <c:f>'Sediment Conc'!$M$23</c:f>
              <c:strCache>
                <c:ptCount val="1"/>
                <c:pt idx="0">
                  <c:v>YK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'Sediment Conc'!$J$24:$J$28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23</c:v>
                </c:pt>
                <c:pt idx="4">
                  <c:v>30</c:v>
                </c:pt>
              </c:numCache>
            </c:numRef>
          </c:xVal>
          <c:yVal>
            <c:numRef>
              <c:f>'Sediment Conc'!$M$24:$M$28</c:f>
              <c:numCache>
                <c:formatCode>0.00</c:formatCode>
                <c:ptCount val="5"/>
                <c:pt idx="0">
                  <c:v>1500</c:v>
                </c:pt>
                <c:pt idx="1">
                  <c:v>1520</c:v>
                </c:pt>
                <c:pt idx="2">
                  <c:v>580</c:v>
                </c:pt>
                <c:pt idx="3">
                  <c:v>270</c:v>
                </c:pt>
                <c:pt idx="4">
                  <c:v>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35-4B6F-A9EC-266ED716DCA9}"/>
            </c:ext>
          </c:extLst>
        </c:ser>
        <c:ser>
          <c:idx val="3"/>
          <c:order val="3"/>
          <c:tx>
            <c:strRef>
              <c:f>'Sediment Conc'!$N$23</c:f>
              <c:strCache>
                <c:ptCount val="1"/>
                <c:pt idx="0">
                  <c:v>Sines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'Sediment Conc'!$J$24:$J$28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23</c:v>
                </c:pt>
                <c:pt idx="4">
                  <c:v>30</c:v>
                </c:pt>
              </c:numCache>
            </c:numRef>
          </c:xVal>
          <c:yVal>
            <c:numRef>
              <c:f>'Sediment Conc'!$N$24:$N$28</c:f>
              <c:numCache>
                <c:formatCode>0.00</c:formatCode>
                <c:ptCount val="5"/>
                <c:pt idx="0">
                  <c:v>2010</c:v>
                </c:pt>
                <c:pt idx="1">
                  <c:v>3590</c:v>
                </c:pt>
                <c:pt idx="2">
                  <c:v>570</c:v>
                </c:pt>
                <c:pt idx="3">
                  <c:v>4220</c:v>
                </c:pt>
                <c:pt idx="4">
                  <c:v>1540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35-4B6F-A9EC-266ED716D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437104"/>
        <c:axId val="496437432"/>
      </c:scatterChart>
      <c:valAx>
        <c:axId val="496437104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the</a:t>
                </a:r>
                <a:r>
                  <a:rPr lang="en-US" baseline="0"/>
                  <a:t> mine opening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37432"/>
        <c:crosses val="autoZero"/>
        <c:crossBetween val="midCat"/>
      </c:valAx>
      <c:valAx>
        <c:axId val="496437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(mg/kg)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3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992166011928244"/>
          <c:y val="7.5676895282501019E-4"/>
          <c:w val="0.75182327209098865"/>
          <c:h val="9.6644065325167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Al</a:t>
            </a:r>
          </a:p>
        </c:rich>
      </c:tx>
      <c:layout>
        <c:manualLayout>
          <c:xMode val="edge"/>
          <c:yMode val="edge"/>
          <c:x val="0.18509011373578302"/>
          <c:y val="3.2407407407407406E-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99759405074365"/>
          <c:y val="5.0925925925925923E-2"/>
          <c:w val="0.77131036745406822"/>
          <c:h val="0.91724482356372106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Discharges!$R$21</c:f>
              <c:strCache>
                <c:ptCount val="1"/>
                <c:pt idx="0">
                  <c:v>Al load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Discharges!$B$22:$B$26</c:f>
              <c:numCache>
                <c:formatCode>General</c:formatCode>
                <c:ptCount val="5"/>
                <c:pt idx="0">
                  <c:v>0</c:v>
                </c:pt>
                <c:pt idx="1">
                  <c:v>7.62</c:v>
                </c:pt>
                <c:pt idx="2">
                  <c:v>15.24</c:v>
                </c:pt>
                <c:pt idx="3">
                  <c:v>22.86</c:v>
                </c:pt>
                <c:pt idx="4">
                  <c:v>30.48</c:v>
                </c:pt>
              </c:numCache>
            </c:numRef>
          </c:cat>
          <c:val>
            <c:numRef>
              <c:f>Discharges!$R$22:$R$26</c:f>
              <c:numCache>
                <c:formatCode>General</c:formatCode>
                <c:ptCount val="5"/>
                <c:pt idx="0">
                  <c:v>2.3902072266203046E-2</c:v>
                </c:pt>
                <c:pt idx="1">
                  <c:v>4.1231874314935392E-2</c:v>
                </c:pt>
                <c:pt idx="2">
                  <c:v>0.12205263836424471</c:v>
                </c:pt>
                <c:pt idx="3">
                  <c:v>0.10096116898698441</c:v>
                </c:pt>
                <c:pt idx="4">
                  <c:v>0.12588857316841615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B-4656-A460-754463B66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26125327"/>
        <c:axId val="141272436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Discharges!$Q$21</c15:sqref>
                        </c15:formulaRef>
                      </c:ext>
                    </c:extLst>
                    <c:strCache>
                      <c:ptCount val="1"/>
                      <c:pt idx="0">
                        <c:v>Fe load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Discharges!$B$22:$B$26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7.62</c:v>
                      </c:pt>
                      <c:pt idx="2">
                        <c:v>15.24</c:v>
                      </c:pt>
                      <c:pt idx="3">
                        <c:v>22.86</c:v>
                      </c:pt>
                      <c:pt idx="4">
                        <c:v>30.48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Discharges!$Q$22:$Q$26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3.724697208959999E-2</c:v>
                      </c:pt>
                      <c:pt idx="1">
                        <c:v>2.2277625955199998E-2</c:v>
                      </c:pt>
                      <c:pt idx="2">
                        <c:v>3.9458232691199996E-2</c:v>
                      </c:pt>
                      <c:pt idx="3">
                        <c:v>1.4542098220800007E-2</c:v>
                      </c:pt>
                      <c:pt idx="4">
                        <c:v>3.2432195232E-2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91B-4656-A460-754463B669D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Discharges!$S$21</c15:sqref>
                        </c15:formulaRef>
                      </c:ext>
                    </c:extLst>
                    <c:strCache>
                      <c:ptCount val="1"/>
                      <c:pt idx="0">
                        <c:v>Mn load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Discharges!$B$22:$B$26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7.62</c:v>
                      </c:pt>
                      <c:pt idx="2">
                        <c:v>15.24</c:v>
                      </c:pt>
                      <c:pt idx="3">
                        <c:v>22.86</c:v>
                      </c:pt>
                      <c:pt idx="4">
                        <c:v>30.48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Discharges!$S$22:$S$26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4.7929190400000004E-3</c:v>
                      </c:pt>
                      <c:pt idx="1">
                        <c:v>7.9662527999999986E-3</c:v>
                      </c:pt>
                      <c:pt idx="2">
                        <c:v>4.4163325439999998E-2</c:v>
                      </c:pt>
                      <c:pt idx="3">
                        <c:v>1.2048134400000002E-2</c:v>
                      </c:pt>
                      <c:pt idx="4">
                        <c:v>4.7461749120000001E-2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91B-4656-A460-754463B669D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Discharges!$T$21</c15:sqref>
                        </c15:formulaRef>
                      </c:ext>
                    </c:extLst>
                    <c:strCache>
                      <c:ptCount val="1"/>
                      <c:pt idx="0">
                        <c:v>SO4 load</c:v>
                      </c:pt>
                    </c:strCache>
                  </c:strRef>
                </c:tx>
                <c:spPr>
                  <a:solidFill>
                    <a:schemeClr val="tx1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Discharges!$B$22:$B$26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7.62</c:v>
                      </c:pt>
                      <c:pt idx="2">
                        <c:v>15.24</c:v>
                      </c:pt>
                      <c:pt idx="3">
                        <c:v>22.86</c:v>
                      </c:pt>
                      <c:pt idx="4">
                        <c:v>30.48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Discharges!$T$22:$T$26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3.0091627701494841</c:v>
                      </c:pt>
                      <c:pt idx="1">
                        <c:v>1.9786429138204233</c:v>
                      </c:pt>
                      <c:pt idx="2">
                        <c:v>8.4675664530635668</c:v>
                      </c:pt>
                      <c:pt idx="3">
                        <c:v>5.9674320088462798</c:v>
                      </c:pt>
                      <c:pt idx="4">
                        <c:v>8.6761709085186727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91B-4656-A460-754463B669D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Discharges!$U$21</c15:sqref>
                        </c15:formulaRef>
                      </c:ext>
                    </c:extLst>
                    <c:strCache>
                      <c:ptCount val="1"/>
                      <c:pt idx="0">
                        <c:v>NO3 load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Discharges!$B$22:$B$26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7.62</c:v>
                      </c:pt>
                      <c:pt idx="2">
                        <c:v>15.24</c:v>
                      </c:pt>
                      <c:pt idx="3">
                        <c:v>22.86</c:v>
                      </c:pt>
                      <c:pt idx="4">
                        <c:v>30.48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Discharges!$U$22:$U$26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1.7374331519999999E-3</c:v>
                      </c:pt>
                      <c:pt idx="1">
                        <c:v>5.9746895999999994E-4</c:v>
                      </c:pt>
                      <c:pt idx="2">
                        <c:v>2.8876020480000006E-3</c:v>
                      </c:pt>
                      <c:pt idx="3">
                        <c:v>2.1686641920000008E-3</c:v>
                      </c:pt>
                      <c:pt idx="4">
                        <c:v>2.63676384E-3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91B-4656-A460-754463B669DB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Discharges!$I$21</c:f>
              <c:strCache>
                <c:ptCount val="1"/>
                <c:pt idx="0">
                  <c:v>Velocity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numRef>
              <c:f>Discharges!$B$22:$B$26</c:f>
              <c:numCache>
                <c:formatCode>General</c:formatCode>
                <c:ptCount val="5"/>
                <c:pt idx="0">
                  <c:v>0</c:v>
                </c:pt>
                <c:pt idx="1">
                  <c:v>7.62</c:v>
                </c:pt>
                <c:pt idx="2">
                  <c:v>15.24</c:v>
                </c:pt>
                <c:pt idx="3">
                  <c:v>22.86</c:v>
                </c:pt>
                <c:pt idx="4">
                  <c:v>30.48</c:v>
                </c:pt>
              </c:numCache>
            </c:numRef>
          </c:cat>
          <c:val>
            <c:numRef>
              <c:f>Discharges!$I$22:$I$26</c:f>
              <c:numCache>
                <c:formatCode>0.00000</c:formatCode>
                <c:ptCount val="5"/>
                <c:pt idx="0">
                  <c:v>3.0479999999999999E-3</c:v>
                </c:pt>
                <c:pt idx="1">
                  <c:v>3.0479999999999999E-3</c:v>
                </c:pt>
                <c:pt idx="2">
                  <c:v>6.0959999999999999E-3</c:v>
                </c:pt>
                <c:pt idx="3">
                  <c:v>9.1439999999999994E-3</c:v>
                </c:pt>
                <c:pt idx="4">
                  <c:v>6.0959999999999999E-3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1B-4656-A460-754463B66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544031"/>
        <c:axId val="1310539871"/>
      </c:lineChart>
      <c:valAx>
        <c:axId val="141272436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Load Al (kg/day)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125327"/>
        <c:crosses val="max"/>
        <c:crossBetween val="between"/>
      </c:valAx>
      <c:catAx>
        <c:axId val="14261253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724367"/>
        <c:crosses val="autoZero"/>
        <c:auto val="1"/>
        <c:lblAlgn val="ctr"/>
        <c:lblOffset val="100"/>
        <c:noMultiLvlLbl val="0"/>
      </c:catAx>
      <c:valAx>
        <c:axId val="13105398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Velocity</a:t>
                </a:r>
                <a:r>
                  <a:rPr lang="en-US" baseline="0">
                    <a:solidFill>
                      <a:schemeClr val="tx1"/>
                    </a:solidFill>
                  </a:rPr>
                  <a:t> (m/s)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544031"/>
        <c:crosses val="autoZero"/>
        <c:crossBetween val="between"/>
      </c:valAx>
      <c:catAx>
        <c:axId val="13105440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05398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943263342082242"/>
          <c:y val="0.15798556430446195"/>
          <c:w val="0.19669006999125113"/>
          <c:h val="0.179977398658501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Fe, Mn, NO3</a:t>
            </a:r>
          </a:p>
        </c:rich>
      </c:tx>
      <c:layout>
        <c:manualLayout>
          <c:xMode val="edge"/>
          <c:yMode val="edge"/>
          <c:x val="0.16286789151356079"/>
          <c:y val="2.3148148148148147E-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99759405074365"/>
          <c:y val="5.0925925925925923E-2"/>
          <c:w val="0.77131036745406822"/>
          <c:h val="0.91724482356372106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Discharges!$Q$21</c:f>
              <c:strCache>
                <c:ptCount val="1"/>
                <c:pt idx="0">
                  <c:v>Fe load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Discharges!$B$22:$B$26</c:f>
              <c:numCache>
                <c:formatCode>General</c:formatCode>
                <c:ptCount val="5"/>
                <c:pt idx="0">
                  <c:v>0</c:v>
                </c:pt>
                <c:pt idx="1">
                  <c:v>7.62</c:v>
                </c:pt>
                <c:pt idx="2">
                  <c:v>15.24</c:v>
                </c:pt>
                <c:pt idx="3">
                  <c:v>22.86</c:v>
                </c:pt>
                <c:pt idx="4">
                  <c:v>30.48</c:v>
                </c:pt>
              </c:numCache>
            </c:numRef>
          </c:cat>
          <c:val>
            <c:numRef>
              <c:f>Discharges!$Q$22:$Q$26</c:f>
              <c:numCache>
                <c:formatCode>General</c:formatCode>
                <c:ptCount val="5"/>
                <c:pt idx="0">
                  <c:v>3.724697208959999E-2</c:v>
                </c:pt>
                <c:pt idx="1">
                  <c:v>2.2277625955199998E-2</c:v>
                </c:pt>
                <c:pt idx="2">
                  <c:v>3.9458232691199996E-2</c:v>
                </c:pt>
                <c:pt idx="3">
                  <c:v>1.4542098220800007E-2</c:v>
                </c:pt>
                <c:pt idx="4">
                  <c:v>3.2432195232E-2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A-4E91-87C9-205FC8C8CB75}"/>
            </c:ext>
          </c:extLst>
        </c:ser>
        <c:ser>
          <c:idx val="3"/>
          <c:order val="3"/>
          <c:tx>
            <c:strRef>
              <c:f>Discharges!$S$21</c:f>
              <c:strCache>
                <c:ptCount val="1"/>
                <c:pt idx="0">
                  <c:v>Mn load</c:v>
                </c:pt>
              </c:strCache>
            </c:strRef>
          </c:tx>
          <c:spPr>
            <a:solidFill>
              <a:srgbClr val="339966"/>
            </a:solidFill>
            <a:ln>
              <a:solidFill>
                <a:srgbClr val="339966"/>
              </a:solidFill>
            </a:ln>
            <a:effectLst/>
          </c:spPr>
          <c:invertIfNegative val="0"/>
          <c:cat>
            <c:numRef>
              <c:f>Discharges!$B$22:$B$26</c:f>
              <c:numCache>
                <c:formatCode>General</c:formatCode>
                <c:ptCount val="5"/>
                <c:pt idx="0">
                  <c:v>0</c:v>
                </c:pt>
                <c:pt idx="1">
                  <c:v>7.62</c:v>
                </c:pt>
                <c:pt idx="2">
                  <c:v>15.24</c:v>
                </c:pt>
                <c:pt idx="3">
                  <c:v>22.86</c:v>
                </c:pt>
                <c:pt idx="4">
                  <c:v>30.48</c:v>
                </c:pt>
              </c:numCache>
            </c:numRef>
          </c:cat>
          <c:val>
            <c:numRef>
              <c:f>Discharges!$S$22:$S$26</c:f>
              <c:numCache>
                <c:formatCode>General</c:formatCode>
                <c:ptCount val="5"/>
                <c:pt idx="0">
                  <c:v>4.7929190400000004E-3</c:v>
                </c:pt>
                <c:pt idx="1">
                  <c:v>7.9662527999999986E-3</c:v>
                </c:pt>
                <c:pt idx="2">
                  <c:v>4.4163325439999998E-2</c:v>
                </c:pt>
                <c:pt idx="3">
                  <c:v>1.2048134400000002E-2</c:v>
                </c:pt>
                <c:pt idx="4">
                  <c:v>4.7461749120000001E-2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7A-4E91-87C9-205FC8C8CB75}"/>
            </c:ext>
          </c:extLst>
        </c:ser>
        <c:ser>
          <c:idx val="5"/>
          <c:order val="5"/>
          <c:tx>
            <c:strRef>
              <c:f>Discharges!$U$21</c:f>
              <c:strCache>
                <c:ptCount val="1"/>
                <c:pt idx="0">
                  <c:v>NO3 load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cat>
            <c:numRef>
              <c:f>Discharges!$B$22:$B$26</c:f>
              <c:numCache>
                <c:formatCode>General</c:formatCode>
                <c:ptCount val="5"/>
                <c:pt idx="0">
                  <c:v>0</c:v>
                </c:pt>
                <c:pt idx="1">
                  <c:v>7.62</c:v>
                </c:pt>
                <c:pt idx="2">
                  <c:v>15.24</c:v>
                </c:pt>
                <c:pt idx="3">
                  <c:v>22.86</c:v>
                </c:pt>
                <c:pt idx="4">
                  <c:v>30.48</c:v>
                </c:pt>
              </c:numCache>
            </c:numRef>
          </c:cat>
          <c:val>
            <c:numRef>
              <c:f>Discharges!$U$22:$U$26</c:f>
              <c:numCache>
                <c:formatCode>General</c:formatCode>
                <c:ptCount val="5"/>
                <c:pt idx="0">
                  <c:v>1.7374331519999999E-3</c:v>
                </c:pt>
                <c:pt idx="1">
                  <c:v>5.9746895999999994E-4</c:v>
                </c:pt>
                <c:pt idx="2">
                  <c:v>2.8876020480000006E-3</c:v>
                </c:pt>
                <c:pt idx="3">
                  <c:v>2.1686641920000008E-3</c:v>
                </c:pt>
                <c:pt idx="4">
                  <c:v>2.63676384E-3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7A-4E91-87C9-205FC8C8C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26125327"/>
        <c:axId val="141272436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Discharges!$R$21</c15:sqref>
                        </c15:formulaRef>
                      </c:ext>
                    </c:extLst>
                    <c:strCache>
                      <c:ptCount val="1"/>
                      <c:pt idx="0">
                        <c:v>Al load</c:v>
                      </c:pt>
                    </c:strCache>
                  </c:strRef>
                </c:tx>
                <c:spPr>
                  <a:solidFill>
                    <a:schemeClr val="tx1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Discharges!$B$22:$B$26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7.62</c:v>
                      </c:pt>
                      <c:pt idx="2">
                        <c:v>15.24</c:v>
                      </c:pt>
                      <c:pt idx="3">
                        <c:v>22.86</c:v>
                      </c:pt>
                      <c:pt idx="4">
                        <c:v>30.48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Discharges!$R$22:$R$26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2.3902072266203046E-2</c:v>
                      </c:pt>
                      <c:pt idx="1">
                        <c:v>4.1231874314935392E-2</c:v>
                      </c:pt>
                      <c:pt idx="2">
                        <c:v>0.12205263836424471</c:v>
                      </c:pt>
                      <c:pt idx="3">
                        <c:v>0.10096116898698441</c:v>
                      </c:pt>
                      <c:pt idx="4">
                        <c:v>0.12588857316841615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57A-4E91-87C9-205FC8C8CB7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Discharges!$T$21</c15:sqref>
                        </c15:formulaRef>
                      </c:ext>
                    </c:extLst>
                    <c:strCache>
                      <c:ptCount val="1"/>
                      <c:pt idx="0">
                        <c:v>SO4 load</c:v>
                      </c:pt>
                    </c:strCache>
                  </c:strRef>
                </c:tx>
                <c:spPr>
                  <a:solidFill>
                    <a:schemeClr val="tx1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Discharges!$B$22:$B$26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7.62</c:v>
                      </c:pt>
                      <c:pt idx="2">
                        <c:v>15.24</c:v>
                      </c:pt>
                      <c:pt idx="3">
                        <c:v>22.86</c:v>
                      </c:pt>
                      <c:pt idx="4">
                        <c:v>30.48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Discharges!$T$22:$T$26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3.0091627701494841</c:v>
                      </c:pt>
                      <c:pt idx="1">
                        <c:v>1.9786429138204233</c:v>
                      </c:pt>
                      <c:pt idx="2">
                        <c:v>8.4675664530635668</c:v>
                      </c:pt>
                      <c:pt idx="3">
                        <c:v>5.9674320088462798</c:v>
                      </c:pt>
                      <c:pt idx="4">
                        <c:v>8.6761709085186727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57A-4E91-87C9-205FC8C8CB7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Discharges!$I$21</c:f>
              <c:strCache>
                <c:ptCount val="1"/>
                <c:pt idx="0">
                  <c:v>Velocity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numRef>
              <c:f>Discharges!$B$22:$B$26</c:f>
              <c:numCache>
                <c:formatCode>General</c:formatCode>
                <c:ptCount val="5"/>
                <c:pt idx="0">
                  <c:v>0</c:v>
                </c:pt>
                <c:pt idx="1">
                  <c:v>7.62</c:v>
                </c:pt>
                <c:pt idx="2">
                  <c:v>15.24</c:v>
                </c:pt>
                <c:pt idx="3">
                  <c:v>22.86</c:v>
                </c:pt>
                <c:pt idx="4">
                  <c:v>30.48</c:v>
                </c:pt>
              </c:numCache>
            </c:numRef>
          </c:cat>
          <c:val>
            <c:numRef>
              <c:f>Discharges!$I$22:$I$26</c:f>
              <c:numCache>
                <c:formatCode>0.00000</c:formatCode>
                <c:ptCount val="5"/>
                <c:pt idx="0">
                  <c:v>3.0479999999999999E-3</c:v>
                </c:pt>
                <c:pt idx="1">
                  <c:v>3.0479999999999999E-3</c:v>
                </c:pt>
                <c:pt idx="2">
                  <c:v>6.0959999999999999E-3</c:v>
                </c:pt>
                <c:pt idx="3">
                  <c:v>9.1439999999999994E-3</c:v>
                </c:pt>
                <c:pt idx="4">
                  <c:v>6.0959999999999999E-3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7A-4E91-87C9-205FC8C8C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544031"/>
        <c:axId val="1310539871"/>
      </c:lineChart>
      <c:valAx>
        <c:axId val="141272436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Load Al (kg/day)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125327"/>
        <c:crosses val="max"/>
        <c:crossBetween val="between"/>
      </c:valAx>
      <c:catAx>
        <c:axId val="14261253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724367"/>
        <c:crosses val="autoZero"/>
        <c:auto val="1"/>
        <c:lblAlgn val="ctr"/>
        <c:lblOffset val="100"/>
        <c:noMultiLvlLbl val="0"/>
      </c:catAx>
      <c:valAx>
        <c:axId val="13105398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Velocity</a:t>
                </a:r>
                <a:r>
                  <a:rPr lang="en-US" baseline="0">
                    <a:solidFill>
                      <a:schemeClr val="tx1"/>
                    </a:solidFill>
                  </a:rPr>
                  <a:t> (m/s)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544031"/>
        <c:crosses val="autoZero"/>
        <c:crossBetween val="between"/>
      </c:valAx>
      <c:catAx>
        <c:axId val="13105440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05398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498818897637797"/>
          <c:y val="0.17187445319335085"/>
          <c:w val="0.19669006999125113"/>
          <c:h val="0.179977398658501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SO4</a:t>
            </a:r>
          </a:p>
        </c:rich>
      </c:tx>
      <c:layout>
        <c:manualLayout>
          <c:xMode val="edge"/>
          <c:yMode val="edge"/>
          <c:x val="0.16286789151356079"/>
          <c:y val="2.3148148148148147E-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99759405074365"/>
          <c:y val="5.0925925925925923E-2"/>
          <c:w val="0.75464370078740162"/>
          <c:h val="0.91724482356372106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Discharges!$T$29</c:f>
              <c:strCache>
                <c:ptCount val="1"/>
                <c:pt idx="0">
                  <c:v>SO4 load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Discharges!$B$30:$B$34</c:f>
              <c:numCache>
                <c:formatCode>General</c:formatCode>
                <c:ptCount val="5"/>
                <c:pt idx="0">
                  <c:v>0</c:v>
                </c:pt>
                <c:pt idx="1">
                  <c:v>7.62</c:v>
                </c:pt>
                <c:pt idx="2">
                  <c:v>15.24</c:v>
                </c:pt>
                <c:pt idx="3">
                  <c:v>22.86</c:v>
                </c:pt>
                <c:pt idx="4">
                  <c:v>30.48</c:v>
                </c:pt>
              </c:numCache>
            </c:numRef>
          </c:cat>
          <c:val>
            <c:numRef>
              <c:f>Discharges!$T$30:$T$34</c:f>
              <c:numCache>
                <c:formatCode>General</c:formatCode>
                <c:ptCount val="5"/>
                <c:pt idx="0">
                  <c:v>4.7708234771852736</c:v>
                </c:pt>
                <c:pt idx="1">
                  <c:v>5.1076936056964763</c:v>
                </c:pt>
                <c:pt idx="2">
                  <c:v>7.3831758969287593</c:v>
                </c:pt>
                <c:pt idx="3">
                  <c:v>6.5956994981061223</c:v>
                </c:pt>
                <c:pt idx="4">
                  <c:v>12.190371206539668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3-4E97-B7BA-45FFEE253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10544031"/>
        <c:axId val="131053987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Discharges!$Q$29</c15:sqref>
                        </c15:formulaRef>
                      </c:ext>
                    </c:extLst>
                    <c:strCache>
                      <c:ptCount val="1"/>
                      <c:pt idx="0">
                        <c:v>Fe load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Discharges!$B$30:$B$34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7.62</c:v>
                      </c:pt>
                      <c:pt idx="2">
                        <c:v>15.24</c:v>
                      </c:pt>
                      <c:pt idx="3">
                        <c:v>22.86</c:v>
                      </c:pt>
                      <c:pt idx="4">
                        <c:v>30.48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Discharges!$Q$30:$Q$34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3.1866657120000003E-2</c:v>
                      </c:pt>
                      <c:pt idx="1">
                        <c:v>2.57936731776E-2</c:v>
                      </c:pt>
                      <c:pt idx="2">
                        <c:v>3.4551679334399996E-2</c:v>
                      </c:pt>
                      <c:pt idx="3">
                        <c:v>2.9591008128000005E-2</c:v>
                      </c:pt>
                      <c:pt idx="4">
                        <c:v>5.1227482406400009E-2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283-4E97-B7BA-45FFEE253BF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Discharges!$R$29</c15:sqref>
                        </c15:formulaRef>
                      </c:ext>
                    </c:extLst>
                    <c:strCache>
                      <c:ptCount val="1"/>
                      <c:pt idx="0">
                        <c:v>Al load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Discharges!$B$30:$B$34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7.62</c:v>
                      </c:pt>
                      <c:pt idx="2">
                        <c:v>15.24</c:v>
                      </c:pt>
                      <c:pt idx="3">
                        <c:v>22.86</c:v>
                      </c:pt>
                      <c:pt idx="4">
                        <c:v>30.48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Discharges!$R$30:$R$34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0.31775541729478324</c:v>
                      </c:pt>
                      <c:pt idx="1">
                        <c:v>0.33855266462277839</c:v>
                      </c:pt>
                      <c:pt idx="2">
                        <c:v>0.47664778048659234</c:v>
                      </c:pt>
                      <c:pt idx="3">
                        <c:v>0.42388088355693282</c:v>
                      </c:pt>
                      <c:pt idx="4">
                        <c:v>0.77942139253604947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283-4E97-B7BA-45FFEE253BF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Discharges!$S$29</c15:sqref>
                        </c15:formulaRef>
                      </c:ext>
                    </c:extLst>
                    <c:strCache>
                      <c:ptCount val="1"/>
                      <c:pt idx="0">
                        <c:v>Mn load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Discharges!$B$30:$B$34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7.62</c:v>
                      </c:pt>
                      <c:pt idx="2">
                        <c:v>15.24</c:v>
                      </c:pt>
                      <c:pt idx="3">
                        <c:v>22.86</c:v>
                      </c:pt>
                      <c:pt idx="4">
                        <c:v>30.48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Discharges!$S$30:$S$34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2.6268883200000002E-2</c:v>
                      </c:pt>
                      <c:pt idx="1">
                        <c:v>1.00730304E-2</c:v>
                      </c:pt>
                      <c:pt idx="2">
                        <c:v>1.3641384959999999E-2</c:v>
                      </c:pt>
                      <c:pt idx="3">
                        <c:v>5.2142745600000017E-3</c:v>
                      </c:pt>
                      <c:pt idx="4">
                        <c:v>1.1337096960000001E-2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283-4E97-B7BA-45FFEE253BF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Discharges!$U$29</c15:sqref>
                        </c15:formulaRef>
                      </c:ext>
                    </c:extLst>
                    <c:strCache>
                      <c:ptCount val="1"/>
                      <c:pt idx="0">
                        <c:v>NO3 load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Discharges!$B$30:$B$34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7.62</c:v>
                      </c:pt>
                      <c:pt idx="2">
                        <c:v>15.24</c:v>
                      </c:pt>
                      <c:pt idx="3">
                        <c:v>22.86</c:v>
                      </c:pt>
                      <c:pt idx="4">
                        <c:v>30.48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Discharges!$U$30:$U$34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4.7534169600000004E-3</c:v>
                      </c:pt>
                      <c:pt idx="1">
                        <c:v>2.4175272960000002E-3</c:v>
                      </c:pt>
                      <c:pt idx="2">
                        <c:v>5.8463078399999995E-3</c:v>
                      </c:pt>
                      <c:pt idx="3">
                        <c:v>6.083320320000001E-3</c:v>
                      </c:pt>
                      <c:pt idx="4">
                        <c:v>1.1661014015999999E-2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283-4E97-B7BA-45FFEE253BF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Discharges!$I$29</c:f>
              <c:strCache>
                <c:ptCount val="1"/>
                <c:pt idx="0">
                  <c:v>Velocity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numRef>
              <c:f>Discharges!$B$30:$B$34</c:f>
              <c:numCache>
                <c:formatCode>General</c:formatCode>
                <c:ptCount val="5"/>
                <c:pt idx="0">
                  <c:v>0</c:v>
                </c:pt>
                <c:pt idx="1">
                  <c:v>7.62</c:v>
                </c:pt>
                <c:pt idx="2">
                  <c:v>15.24</c:v>
                </c:pt>
                <c:pt idx="3">
                  <c:v>22.86</c:v>
                </c:pt>
                <c:pt idx="4">
                  <c:v>30.48</c:v>
                </c:pt>
              </c:numCache>
            </c:numRef>
          </c:cat>
          <c:val>
            <c:numRef>
              <c:f>Discharges!$I$30:$I$34</c:f>
              <c:numCache>
                <c:formatCode>0.00000</c:formatCode>
                <c:ptCount val="5"/>
                <c:pt idx="0">
                  <c:v>3.0479999999999999E-3</c:v>
                </c:pt>
                <c:pt idx="1">
                  <c:v>6.0959999999999999E-3</c:v>
                </c:pt>
                <c:pt idx="2">
                  <c:v>6.0959999999999999E-3</c:v>
                </c:pt>
                <c:pt idx="3">
                  <c:v>6.0959999999999999E-3</c:v>
                </c:pt>
                <c:pt idx="4">
                  <c:v>9.1439999999999994E-3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83-4E97-B7BA-45FFEE253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675247"/>
        <c:axId val="2056674415"/>
      </c:lineChart>
      <c:valAx>
        <c:axId val="13105398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Load SO4 (kg/day</a:t>
                </a:r>
                <a:r>
                  <a:rPr lang="en-US" baseline="0">
                    <a:solidFill>
                      <a:schemeClr val="tx1"/>
                    </a:solidFill>
                  </a:rPr>
                  <a:t>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544031"/>
        <c:crosses val="autoZero"/>
        <c:crossBetween val="between"/>
      </c:valAx>
      <c:catAx>
        <c:axId val="13105440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539871"/>
        <c:crosses val="autoZero"/>
        <c:auto val="1"/>
        <c:lblAlgn val="ctr"/>
        <c:lblOffset val="100"/>
        <c:noMultiLvlLbl val="0"/>
      </c:catAx>
      <c:valAx>
        <c:axId val="20566744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675247"/>
        <c:crosses val="max"/>
        <c:crossBetween val="between"/>
      </c:valAx>
      <c:catAx>
        <c:axId val="2056675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66744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498818897637797"/>
          <c:y val="0.17187445319335085"/>
          <c:w val="0.19669006999125113"/>
          <c:h val="0.179977398658501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Al</a:t>
            </a:r>
          </a:p>
        </c:rich>
      </c:tx>
      <c:layout>
        <c:manualLayout>
          <c:xMode val="edge"/>
          <c:yMode val="edge"/>
          <c:x val="0.16286789151356079"/>
          <c:y val="2.3148148148148147E-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99759405074365"/>
          <c:y val="5.0925925925925923E-2"/>
          <c:w val="0.75464370078740162"/>
          <c:h val="0.91724482356372106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Discharges!$R$29</c:f>
              <c:strCache>
                <c:ptCount val="1"/>
                <c:pt idx="0">
                  <c:v>Al load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Discharges!$B$30:$B$34</c:f>
              <c:numCache>
                <c:formatCode>General</c:formatCode>
                <c:ptCount val="5"/>
                <c:pt idx="0">
                  <c:v>0</c:v>
                </c:pt>
                <c:pt idx="1">
                  <c:v>7.62</c:v>
                </c:pt>
                <c:pt idx="2">
                  <c:v>15.24</c:v>
                </c:pt>
                <c:pt idx="3">
                  <c:v>22.86</c:v>
                </c:pt>
                <c:pt idx="4">
                  <c:v>30.48</c:v>
                </c:pt>
              </c:numCache>
            </c:numRef>
          </c:cat>
          <c:val>
            <c:numRef>
              <c:f>Discharges!$R$30:$R$34</c:f>
              <c:numCache>
                <c:formatCode>General</c:formatCode>
                <c:ptCount val="5"/>
                <c:pt idx="0">
                  <c:v>0.31775541729478324</c:v>
                </c:pt>
                <c:pt idx="1">
                  <c:v>0.33855266462277839</c:v>
                </c:pt>
                <c:pt idx="2">
                  <c:v>0.47664778048659234</c:v>
                </c:pt>
                <c:pt idx="3">
                  <c:v>0.42388088355693282</c:v>
                </c:pt>
                <c:pt idx="4">
                  <c:v>0.77942139253604947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A-44BA-8617-3B6BF6945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10544031"/>
        <c:axId val="131053987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Discharges!$Q$29</c15:sqref>
                        </c15:formulaRef>
                      </c:ext>
                    </c:extLst>
                    <c:strCache>
                      <c:ptCount val="1"/>
                      <c:pt idx="0">
                        <c:v>Fe load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Discharges!$B$30:$B$34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7.62</c:v>
                      </c:pt>
                      <c:pt idx="2">
                        <c:v>15.24</c:v>
                      </c:pt>
                      <c:pt idx="3">
                        <c:v>22.86</c:v>
                      </c:pt>
                      <c:pt idx="4">
                        <c:v>30.48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Discharges!$Q$30:$Q$34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3.1866657120000003E-2</c:v>
                      </c:pt>
                      <c:pt idx="1">
                        <c:v>2.57936731776E-2</c:v>
                      </c:pt>
                      <c:pt idx="2">
                        <c:v>3.4551679334399996E-2</c:v>
                      </c:pt>
                      <c:pt idx="3">
                        <c:v>2.9591008128000005E-2</c:v>
                      </c:pt>
                      <c:pt idx="4">
                        <c:v>5.1227482406400009E-2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A6A-44BA-8617-3B6BF6945D9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Discharges!$S$29</c15:sqref>
                        </c15:formulaRef>
                      </c:ext>
                    </c:extLst>
                    <c:strCache>
                      <c:ptCount val="1"/>
                      <c:pt idx="0">
                        <c:v>Mn load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Discharges!$B$30:$B$34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7.62</c:v>
                      </c:pt>
                      <c:pt idx="2">
                        <c:v>15.24</c:v>
                      </c:pt>
                      <c:pt idx="3">
                        <c:v>22.86</c:v>
                      </c:pt>
                      <c:pt idx="4">
                        <c:v>30.48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Discharges!$S$30:$S$34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2.6268883200000002E-2</c:v>
                      </c:pt>
                      <c:pt idx="1">
                        <c:v>1.00730304E-2</c:v>
                      </c:pt>
                      <c:pt idx="2">
                        <c:v>1.3641384959999999E-2</c:v>
                      </c:pt>
                      <c:pt idx="3">
                        <c:v>5.2142745600000017E-3</c:v>
                      </c:pt>
                      <c:pt idx="4">
                        <c:v>1.1337096960000001E-2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A6A-44BA-8617-3B6BF6945D9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Discharges!$T$29</c15:sqref>
                        </c15:formulaRef>
                      </c:ext>
                    </c:extLst>
                    <c:strCache>
                      <c:ptCount val="1"/>
                      <c:pt idx="0">
                        <c:v>SO4 load</c:v>
                      </c:pt>
                    </c:strCache>
                  </c:strRef>
                </c:tx>
                <c:spPr>
                  <a:solidFill>
                    <a:schemeClr val="tx1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Discharges!$B$30:$B$34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7.62</c:v>
                      </c:pt>
                      <c:pt idx="2">
                        <c:v>15.24</c:v>
                      </c:pt>
                      <c:pt idx="3">
                        <c:v>22.86</c:v>
                      </c:pt>
                      <c:pt idx="4">
                        <c:v>30.48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Discharges!$T$30:$T$34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4.7708234771852736</c:v>
                      </c:pt>
                      <c:pt idx="1">
                        <c:v>5.1076936056964763</c:v>
                      </c:pt>
                      <c:pt idx="2">
                        <c:v>7.3831758969287593</c:v>
                      </c:pt>
                      <c:pt idx="3">
                        <c:v>6.5956994981061223</c:v>
                      </c:pt>
                      <c:pt idx="4">
                        <c:v>12.190371206539668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A6A-44BA-8617-3B6BF6945D9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Discharges!$U$29</c15:sqref>
                        </c15:formulaRef>
                      </c:ext>
                    </c:extLst>
                    <c:strCache>
                      <c:ptCount val="1"/>
                      <c:pt idx="0">
                        <c:v>NO3 load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Discharges!$B$30:$B$34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7.62</c:v>
                      </c:pt>
                      <c:pt idx="2">
                        <c:v>15.24</c:v>
                      </c:pt>
                      <c:pt idx="3">
                        <c:v>22.86</c:v>
                      </c:pt>
                      <c:pt idx="4">
                        <c:v>30.48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Discharges!$U$30:$U$34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4.7534169600000004E-3</c:v>
                      </c:pt>
                      <c:pt idx="1">
                        <c:v>2.4175272960000002E-3</c:v>
                      </c:pt>
                      <c:pt idx="2">
                        <c:v>5.8463078399999995E-3</c:v>
                      </c:pt>
                      <c:pt idx="3">
                        <c:v>6.083320320000001E-3</c:v>
                      </c:pt>
                      <c:pt idx="4">
                        <c:v>1.1661014015999999E-2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A6A-44BA-8617-3B6BF6945D98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Discharges!$I$29</c:f>
              <c:strCache>
                <c:ptCount val="1"/>
                <c:pt idx="0">
                  <c:v>Velocity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numRef>
              <c:f>Discharges!$B$30:$B$34</c:f>
              <c:numCache>
                <c:formatCode>General</c:formatCode>
                <c:ptCount val="5"/>
                <c:pt idx="0">
                  <c:v>0</c:v>
                </c:pt>
                <c:pt idx="1">
                  <c:v>7.62</c:v>
                </c:pt>
                <c:pt idx="2">
                  <c:v>15.24</c:v>
                </c:pt>
                <c:pt idx="3">
                  <c:v>22.86</c:v>
                </c:pt>
                <c:pt idx="4">
                  <c:v>30.48</c:v>
                </c:pt>
              </c:numCache>
            </c:numRef>
          </c:cat>
          <c:val>
            <c:numRef>
              <c:f>Discharges!$I$30:$I$34</c:f>
              <c:numCache>
                <c:formatCode>0.00000</c:formatCode>
                <c:ptCount val="5"/>
                <c:pt idx="0">
                  <c:v>3.0479999999999999E-3</c:v>
                </c:pt>
                <c:pt idx="1">
                  <c:v>6.0959999999999999E-3</c:v>
                </c:pt>
                <c:pt idx="2">
                  <c:v>6.0959999999999999E-3</c:v>
                </c:pt>
                <c:pt idx="3">
                  <c:v>6.0959999999999999E-3</c:v>
                </c:pt>
                <c:pt idx="4">
                  <c:v>9.1439999999999994E-3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A-44BA-8617-3B6BF6945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675247"/>
        <c:axId val="2056674415"/>
      </c:lineChart>
      <c:valAx>
        <c:axId val="13105398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Load Al (kg/day</a:t>
                </a:r>
                <a:r>
                  <a:rPr lang="en-US" baseline="0">
                    <a:solidFill>
                      <a:schemeClr val="tx1"/>
                    </a:solidFill>
                  </a:rPr>
                  <a:t>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544031"/>
        <c:crosses val="autoZero"/>
        <c:crossBetween val="between"/>
      </c:valAx>
      <c:catAx>
        <c:axId val="13105440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539871"/>
        <c:crosses val="autoZero"/>
        <c:auto val="1"/>
        <c:lblAlgn val="ctr"/>
        <c:lblOffset val="100"/>
        <c:noMultiLvlLbl val="0"/>
      </c:catAx>
      <c:valAx>
        <c:axId val="20566744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675247"/>
        <c:crosses val="max"/>
        <c:crossBetween val="between"/>
      </c:valAx>
      <c:catAx>
        <c:axId val="2056675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66744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498818897637797"/>
          <c:y val="0.17187445319335085"/>
          <c:w val="0.19669006999125113"/>
          <c:h val="0.179977398658501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Co</a:t>
            </a:r>
          </a:p>
        </c:rich>
      </c:tx>
      <c:layout>
        <c:manualLayout>
          <c:xMode val="edge"/>
          <c:yMode val="edge"/>
          <c:x val="0.12511135783070904"/>
          <c:y val="3.8725806756169864E-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40692299736931"/>
          <c:y val="6.6058244591806314E-2"/>
          <c:w val="0.86122204054554907"/>
          <c:h val="0.891965614671555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'Variability of Co'!$C$2</c:f>
              <c:strCache>
                <c:ptCount val="1"/>
                <c:pt idx="0">
                  <c:v>York Clay and Mining No. 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'Variability of Co'!$B$3:$B$7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of Co'!$C$3:$C$7</c:f>
              <c:numCache>
                <c:formatCode>0.000</c:formatCode>
                <c:ptCount val="5"/>
                <c:pt idx="0">
                  <c:v>1.3719702236254091E-2</c:v>
                </c:pt>
                <c:pt idx="1">
                  <c:v>1.6957211964377418E-2</c:v>
                </c:pt>
                <c:pt idx="2">
                  <c:v>2.2045297563419969E-2</c:v>
                </c:pt>
                <c:pt idx="3">
                  <c:v>3.1673614481235977E-2</c:v>
                </c:pt>
                <c:pt idx="4">
                  <c:v>2.363905713653984E-2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23-429D-A048-9C38CED31AF1}"/>
            </c:ext>
          </c:extLst>
        </c:ser>
        <c:ser>
          <c:idx val="1"/>
          <c:order val="1"/>
          <c:tx>
            <c:strRef>
              <c:f>'Variability of Co'!$D$2</c:f>
              <c:strCache>
                <c:ptCount val="1"/>
                <c:pt idx="0">
                  <c:v>Sines No.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'Variability of Co'!$B$3:$B$7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of Co'!$D$3:$D$7</c:f>
              <c:numCache>
                <c:formatCode>0.000</c:formatCode>
                <c:ptCount val="5"/>
                <c:pt idx="0">
                  <c:v>0.24809587618445014</c:v>
                </c:pt>
                <c:pt idx="1">
                  <c:v>0.24951183067385985</c:v>
                </c:pt>
                <c:pt idx="2">
                  <c:v>0.24943557638470706</c:v>
                </c:pt>
                <c:pt idx="3">
                  <c:v>0.24918073958948397</c:v>
                </c:pt>
                <c:pt idx="4">
                  <c:v>0.2535970847838922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23-429D-A048-9C38CED31AF1}"/>
            </c:ext>
          </c:extLst>
        </c:ser>
        <c:ser>
          <c:idx val="2"/>
          <c:order val="2"/>
          <c:tx>
            <c:strRef>
              <c:f>'Variability of Co'!$E$2</c:f>
              <c:strCache>
                <c:ptCount val="1"/>
                <c:pt idx="0">
                  <c:v>Esco No. 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'Variability of Co'!$B$3:$B$7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of Co'!$E$3:$E$7</c:f>
              <c:numCache>
                <c:formatCode>0.000</c:formatCode>
                <c:ptCount val="5"/>
                <c:pt idx="1">
                  <c:v>2.5605222446689568E-2</c:v>
                </c:pt>
                <c:pt idx="2">
                  <c:v>2.6102175389789928E-2</c:v>
                </c:pt>
                <c:pt idx="3">
                  <c:v>2.5828747241613503E-2</c:v>
                </c:pt>
                <c:pt idx="4">
                  <c:v>2.5595405534842443E-2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23-429D-A048-9C38CED31AF1}"/>
            </c:ext>
          </c:extLst>
        </c:ser>
        <c:ser>
          <c:idx val="3"/>
          <c:order val="3"/>
          <c:tx>
            <c:strRef>
              <c:f>'Variability of Co'!$F$2</c:f>
              <c:strCache>
                <c:ptCount val="1"/>
                <c:pt idx="0">
                  <c:v>Sunday Creek No. 9 and 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'Variability of Co'!$B$3:$B$7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of Co'!$F$3:$F$7</c:f>
              <c:numCache>
                <c:formatCode>0.0</c:formatCode>
                <c:ptCount val="5"/>
                <c:pt idx="2" formatCode="0.000">
                  <c:v>4.5778269641863351E-2</c:v>
                </c:pt>
                <c:pt idx="3" formatCode="0.000">
                  <c:v>4.1274807971503666E-2</c:v>
                </c:pt>
                <c:pt idx="4" formatCode="0.000">
                  <c:v>4.1884383534753565E-2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23-429D-A048-9C38CED31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36960"/>
        <c:axId val="1758020560"/>
      </c:scatterChart>
      <c:valAx>
        <c:axId val="1615236960"/>
        <c:scaling>
          <c:orientation val="minMax"/>
          <c:max val="100"/>
        </c:scaling>
        <c:delete val="0"/>
        <c:axPos val="b"/>
        <c:numFmt formatCode="General" sourceLinked="1"/>
        <c:majorTickMark val="cross"/>
        <c:minorTickMark val="out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020560"/>
        <c:crosses val="autoZero"/>
        <c:crossBetween val="midCat"/>
      </c:valAx>
      <c:valAx>
        <c:axId val="1758020560"/>
        <c:scaling>
          <c:orientation val="minMax"/>
          <c:max val="0.3000000000000000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Co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3696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46451254176589"/>
          <c:y val="0.33762866124481972"/>
          <c:w val="0.32602768783288794"/>
          <c:h val="0.360193882049512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Cu</a:t>
            </a:r>
          </a:p>
        </c:rich>
      </c:tx>
      <c:layout>
        <c:manualLayout>
          <c:xMode val="edge"/>
          <c:yMode val="edge"/>
          <c:x val="0.12511135783070904"/>
          <c:y val="3.8725806756169864E-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40692299736931"/>
          <c:y val="6.6058244591806314E-2"/>
          <c:w val="0.86122204054554907"/>
          <c:h val="0.891965614671555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'Variability of Cu'!$C$2</c:f>
              <c:strCache>
                <c:ptCount val="1"/>
                <c:pt idx="0">
                  <c:v>York Clay and Mining No. 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'Variability of Cu'!$B$3:$B$7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of Cu'!$C$3:$C$7</c:f>
              <c:numCache>
                <c:formatCode>0.000</c:formatCode>
                <c:ptCount val="5"/>
                <c:pt idx="0">
                  <c:v>1.0459602704860261E-2</c:v>
                </c:pt>
                <c:pt idx="1">
                  <c:v>7.3781913948893557E-3</c:v>
                </c:pt>
                <c:pt idx="2">
                  <c:v>1.8456044766856309E-2</c:v>
                </c:pt>
                <c:pt idx="3">
                  <c:v>1.7980732365177454E-2</c:v>
                </c:pt>
                <c:pt idx="4">
                  <c:v>2.2738243825783603E-3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8-49B4-8A8E-6CAF250659A2}"/>
            </c:ext>
          </c:extLst>
        </c:ser>
        <c:ser>
          <c:idx val="1"/>
          <c:order val="1"/>
          <c:tx>
            <c:strRef>
              <c:f>'Variability of Cu'!$D$2</c:f>
              <c:strCache>
                <c:ptCount val="1"/>
                <c:pt idx="0">
                  <c:v>Sines No.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'Variability of Cu'!$B$3:$B$7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of Cu'!$D$3:$D$7</c:f>
              <c:numCache>
                <c:formatCode>0.000</c:formatCode>
                <c:ptCount val="5"/>
                <c:pt idx="0">
                  <c:v>3.7638164416215578E-2</c:v>
                </c:pt>
                <c:pt idx="1">
                  <c:v>2.4356543087070352E-2</c:v>
                </c:pt>
                <c:pt idx="2">
                  <c:v>2.7636701660350316E-2</c:v>
                </c:pt>
                <c:pt idx="3">
                  <c:v>2.7580958942960265E-2</c:v>
                </c:pt>
                <c:pt idx="4">
                  <c:v>2.9416875986456575E-2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98-49B4-8A8E-6CAF250659A2}"/>
            </c:ext>
          </c:extLst>
        </c:ser>
        <c:ser>
          <c:idx val="2"/>
          <c:order val="2"/>
          <c:tx>
            <c:strRef>
              <c:f>'Variability of Cu'!$E$2</c:f>
              <c:strCache>
                <c:ptCount val="1"/>
                <c:pt idx="0">
                  <c:v>Esco No. 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'Variability of Cu'!$B$3:$B$7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of Cu'!$E$3:$E$7</c:f>
              <c:numCache>
                <c:formatCode>0.000</c:formatCode>
                <c:ptCount val="5"/>
                <c:pt idx="1">
                  <c:v>7.4216998720929668E-3</c:v>
                </c:pt>
                <c:pt idx="2">
                  <c:v>6.5746335669400807E-3</c:v>
                </c:pt>
                <c:pt idx="3">
                  <c:v>6.9422110413979651E-3</c:v>
                </c:pt>
                <c:pt idx="4">
                  <c:v>1.165E-3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98-49B4-8A8E-6CAF250659A2}"/>
            </c:ext>
          </c:extLst>
        </c:ser>
        <c:ser>
          <c:idx val="3"/>
          <c:order val="3"/>
          <c:tx>
            <c:strRef>
              <c:f>'Variability of Cu'!$F$2</c:f>
              <c:strCache>
                <c:ptCount val="1"/>
                <c:pt idx="0">
                  <c:v>Sunday Creek No. 9 and 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'Variability of Cu'!$B$3:$B$7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of Cu'!$F$3:$F$7</c:f>
              <c:numCache>
                <c:formatCode>0.0</c:formatCode>
                <c:ptCount val="5"/>
                <c:pt idx="2" formatCode="0.000">
                  <c:v>3.5418109800577548E-3</c:v>
                </c:pt>
                <c:pt idx="3" formatCode="0.000">
                  <c:v>1.6002874633172241E-4</c:v>
                </c:pt>
                <c:pt idx="4" formatCode="0.000">
                  <c:v>5.1269784491203346E-4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98-49B4-8A8E-6CAF25065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36960"/>
        <c:axId val="1758020560"/>
      </c:scatterChart>
      <c:valAx>
        <c:axId val="1615236960"/>
        <c:scaling>
          <c:orientation val="minMax"/>
          <c:max val="100"/>
        </c:scaling>
        <c:delete val="0"/>
        <c:axPos val="b"/>
        <c:numFmt formatCode="General" sourceLinked="1"/>
        <c:majorTickMark val="cross"/>
        <c:minorTickMark val="out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020560"/>
        <c:crosses val="autoZero"/>
        <c:crossBetween val="midCat"/>
      </c:valAx>
      <c:valAx>
        <c:axId val="1758020560"/>
        <c:scaling>
          <c:orientation val="minMax"/>
          <c:max val="5.000000000000001E-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Cu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36960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255033637858479"/>
          <c:y val="7.2142009074043001E-2"/>
          <c:w val="0.32602768783288794"/>
          <c:h val="0.218601048992878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Ni</a:t>
            </a:r>
          </a:p>
        </c:rich>
      </c:tx>
      <c:layout>
        <c:manualLayout>
          <c:xMode val="edge"/>
          <c:yMode val="edge"/>
          <c:x val="0.11044783455719047"/>
          <c:y val="2.4337248007507591E-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64243567554392E-2"/>
          <c:y val="6.6058244591806314E-2"/>
          <c:w val="0.88426471997536393"/>
          <c:h val="0.891965614671555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'Variability of Zn'!$C$2</c:f>
              <c:strCache>
                <c:ptCount val="1"/>
                <c:pt idx="0">
                  <c:v>York Clay and Mining No. 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'Variability of Zn'!$B$3:$B$7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of Zn'!$C$3:$C$7</c:f>
              <c:numCache>
                <c:formatCode>0.000</c:formatCode>
                <c:ptCount val="5"/>
                <c:pt idx="0">
                  <c:v>8.4044265531339091E-2</c:v>
                </c:pt>
                <c:pt idx="1">
                  <c:v>0.10007005120649215</c:v>
                </c:pt>
                <c:pt idx="2">
                  <c:v>0.13226804111839402</c:v>
                </c:pt>
                <c:pt idx="3">
                  <c:v>0.17828612701636393</c:v>
                </c:pt>
                <c:pt idx="4">
                  <c:v>0.16087110356404702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A4-4FCE-9D0A-D6A4991D8974}"/>
            </c:ext>
          </c:extLst>
        </c:ser>
        <c:ser>
          <c:idx val="1"/>
          <c:order val="1"/>
          <c:tx>
            <c:strRef>
              <c:f>'Variability of Zn'!$D$2</c:f>
              <c:strCache>
                <c:ptCount val="1"/>
                <c:pt idx="0">
                  <c:v>Sines No.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'Variability of Zn'!$B$3:$B$7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of Zn'!$D$3:$D$7</c:f>
              <c:numCache>
                <c:formatCode>0.000</c:formatCode>
                <c:ptCount val="5"/>
                <c:pt idx="0">
                  <c:v>0.70164533653822225</c:v>
                </c:pt>
                <c:pt idx="1">
                  <c:v>0.6193922949496351</c:v>
                </c:pt>
                <c:pt idx="2">
                  <c:v>0.605856642726186</c:v>
                </c:pt>
                <c:pt idx="3">
                  <c:v>0.63691418819082468</c:v>
                </c:pt>
                <c:pt idx="4">
                  <c:v>0.19816664752458049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A4-4FCE-9D0A-D6A4991D8974}"/>
            </c:ext>
          </c:extLst>
        </c:ser>
        <c:ser>
          <c:idx val="2"/>
          <c:order val="2"/>
          <c:tx>
            <c:strRef>
              <c:f>'Variability of Zn'!$E$2</c:f>
              <c:strCache>
                <c:ptCount val="1"/>
                <c:pt idx="0">
                  <c:v>Esco No. 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'Variability of Zn'!$B$3:$B$7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of Zn'!$E$3:$E$7</c:f>
              <c:numCache>
                <c:formatCode>0.0</c:formatCode>
                <c:ptCount val="5"/>
                <c:pt idx="1">
                  <c:v>0.15833660035510513</c:v>
                </c:pt>
                <c:pt idx="2">
                  <c:v>0.14320374573944639</c:v>
                </c:pt>
                <c:pt idx="3">
                  <c:v>0.18452035126709512</c:v>
                </c:pt>
                <c:pt idx="4">
                  <c:v>0.15272999903425605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A4-4FCE-9D0A-D6A4991D8974}"/>
            </c:ext>
          </c:extLst>
        </c:ser>
        <c:ser>
          <c:idx val="3"/>
          <c:order val="3"/>
          <c:tx>
            <c:strRef>
              <c:f>'Variability of Zn'!$F$2</c:f>
              <c:strCache>
                <c:ptCount val="1"/>
                <c:pt idx="0">
                  <c:v>Sunday Creek No. 9 and 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'Variability of Zn'!$B$3:$B$7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of Zn'!$F$3:$F$7</c:f>
              <c:numCache>
                <c:formatCode>0.0</c:formatCode>
                <c:ptCount val="5"/>
                <c:pt idx="2">
                  <c:v>2.6054035742919641</c:v>
                </c:pt>
                <c:pt idx="3">
                  <c:v>0.11770099421493588</c:v>
                </c:pt>
                <c:pt idx="4">
                  <c:v>0.1503947172437638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A4-4FCE-9D0A-D6A4991D8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36960"/>
        <c:axId val="1758020560"/>
      </c:scatterChart>
      <c:valAx>
        <c:axId val="1615236960"/>
        <c:scaling>
          <c:orientation val="minMax"/>
          <c:max val="100"/>
        </c:scaling>
        <c:delete val="0"/>
        <c:axPos val="b"/>
        <c:numFmt formatCode="General" sourceLinked="1"/>
        <c:majorTickMark val="cross"/>
        <c:minorTickMark val="out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020560"/>
        <c:crosses val="autoZero"/>
        <c:crossBetween val="midCat"/>
      </c:valAx>
      <c:valAx>
        <c:axId val="1758020560"/>
        <c:scaling>
          <c:orientation val="minMax"/>
          <c:max val="2.7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Ni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36960"/>
        <c:crosses val="autoZero"/>
        <c:crossBetween val="midCat"/>
        <c:majorUnit val="0.25"/>
        <c:min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007590393858277"/>
          <c:y val="0.37461923431020877"/>
          <c:w val="0.32602768783288794"/>
          <c:h val="0.218601048992878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Ni</a:t>
            </a:r>
          </a:p>
        </c:rich>
      </c:tx>
      <c:layout>
        <c:manualLayout>
          <c:xMode val="edge"/>
          <c:yMode val="edge"/>
          <c:x val="0.11044783455719047"/>
          <c:y val="2.4337248007507591E-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64243567554392E-2"/>
          <c:y val="6.6058244591806314E-2"/>
          <c:w val="0.88426471997536393"/>
          <c:h val="0.891965614671555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'Variations in Ni'!$C$2</c:f>
              <c:strCache>
                <c:ptCount val="1"/>
                <c:pt idx="0">
                  <c:v>York Clay and Mining No. 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'Variations in Ni'!$B$3:$B$7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'Variations in Ni'!$C$3:$C$7</c:f>
              <c:numCache>
                <c:formatCode>0.000</c:formatCode>
                <c:ptCount val="5"/>
                <c:pt idx="0">
                  <c:v>3.05829010344136E-2</c:v>
                </c:pt>
                <c:pt idx="1">
                  <c:v>3.5586658655880551E-2</c:v>
                </c:pt>
                <c:pt idx="2">
                  <c:v>4.2832652080268478E-2</c:v>
                </c:pt>
                <c:pt idx="3">
                  <c:v>5.3373537347022354E-2</c:v>
                </c:pt>
                <c:pt idx="4">
                  <c:v>3.5827180335771799E-2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9D-4D6E-A09C-E8C4D6415323}"/>
            </c:ext>
          </c:extLst>
        </c:ser>
        <c:ser>
          <c:idx val="1"/>
          <c:order val="1"/>
          <c:tx>
            <c:strRef>
              <c:f>'Variations in Ni'!$D$2</c:f>
              <c:strCache>
                <c:ptCount val="1"/>
                <c:pt idx="0">
                  <c:v>Sines No.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'Variations in Ni'!$B$3:$B$7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'Variations in Ni'!$D$3:$D$7</c:f>
              <c:numCache>
                <c:formatCode>0.000</c:formatCode>
                <c:ptCount val="5"/>
                <c:pt idx="0">
                  <c:v>0.38783442480601094</c:v>
                </c:pt>
                <c:pt idx="1">
                  <c:v>0.38946686436574468</c:v>
                </c:pt>
                <c:pt idx="2">
                  <c:v>0.3854456236860459</c:v>
                </c:pt>
                <c:pt idx="3">
                  <c:v>0.38575987084933322</c:v>
                </c:pt>
                <c:pt idx="4">
                  <c:v>0.39650953717277027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9D-4D6E-A09C-E8C4D6415323}"/>
            </c:ext>
          </c:extLst>
        </c:ser>
        <c:ser>
          <c:idx val="2"/>
          <c:order val="2"/>
          <c:tx>
            <c:strRef>
              <c:f>'Variations in Ni'!$E$2</c:f>
              <c:strCache>
                <c:ptCount val="1"/>
                <c:pt idx="0">
                  <c:v>Esco No. 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'Variations in Ni'!$B$3:$B$7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'Variations in Ni'!$E$3:$E$7</c:f>
              <c:numCache>
                <c:formatCode>0.0</c:formatCode>
                <c:ptCount val="5"/>
                <c:pt idx="1">
                  <c:v>5.2923296579161352E-2</c:v>
                </c:pt>
                <c:pt idx="2">
                  <c:v>5.0776766163853772E-2</c:v>
                </c:pt>
                <c:pt idx="3">
                  <c:v>5.2396391600405844E-2</c:v>
                </c:pt>
                <c:pt idx="4">
                  <c:v>5.1624132437527746E-2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9D-4D6E-A09C-E8C4D6415323}"/>
            </c:ext>
          </c:extLst>
        </c:ser>
        <c:ser>
          <c:idx val="3"/>
          <c:order val="3"/>
          <c:tx>
            <c:strRef>
              <c:f>'Variations in Ni'!$F$2</c:f>
              <c:strCache>
                <c:ptCount val="1"/>
                <c:pt idx="0">
                  <c:v>Sunday Creek No. 9 and 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'Variations in Ni'!$B$3:$B$7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'Variations in Ni'!$F$3:$F$7</c:f>
              <c:numCache>
                <c:formatCode>0.0</c:formatCode>
                <c:ptCount val="5"/>
                <c:pt idx="2">
                  <c:v>9.9813505636800498E-2</c:v>
                </c:pt>
                <c:pt idx="3">
                  <c:v>6.02272557823849E-2</c:v>
                </c:pt>
                <c:pt idx="4">
                  <c:v>6.6819726237374019E-2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9D-4D6E-A09C-E8C4D641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36960"/>
        <c:axId val="1758020560"/>
      </c:scatterChart>
      <c:valAx>
        <c:axId val="1615236960"/>
        <c:scaling>
          <c:orientation val="minMax"/>
          <c:max val="100"/>
        </c:scaling>
        <c:delete val="0"/>
        <c:axPos val="b"/>
        <c:numFmt formatCode="General" sourceLinked="1"/>
        <c:majorTickMark val="cross"/>
        <c:minorTickMark val="out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020560"/>
        <c:crosses val="autoZero"/>
        <c:crossBetween val="midCat"/>
      </c:valAx>
      <c:valAx>
        <c:axId val="1758020560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Ni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3696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374438592413926"/>
          <c:y val="0.37809598402556699"/>
          <c:w val="0.32602768783288794"/>
          <c:h val="0.218601048992878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Na</a:t>
            </a:r>
          </a:p>
        </c:rich>
      </c:tx>
      <c:layout>
        <c:manualLayout>
          <c:xMode val="edge"/>
          <c:yMode val="edge"/>
          <c:x val="0.11044783455719047"/>
          <c:y val="2.4337248007507591E-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64243567554392E-2"/>
          <c:y val="6.6058244591806314E-2"/>
          <c:w val="0.88426471997536393"/>
          <c:h val="0.891965614671555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'Variations in Na'!$C$2</c:f>
              <c:strCache>
                <c:ptCount val="1"/>
                <c:pt idx="0">
                  <c:v>York Clay and Mining No. 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'Variations in Na'!$B$3:$B$7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'Variations in Na'!$C$3:$C$7</c:f>
              <c:numCache>
                <c:formatCode>0.000</c:formatCode>
                <c:ptCount val="5"/>
                <c:pt idx="0">
                  <c:v>39.51039130434782</c:v>
                </c:pt>
                <c:pt idx="1">
                  <c:v>41.998863636363637</c:v>
                </c:pt>
                <c:pt idx="2">
                  <c:v>42.091742475583011</c:v>
                </c:pt>
                <c:pt idx="3">
                  <c:v>64.509983564013851</c:v>
                </c:pt>
                <c:pt idx="4">
                  <c:v>39.71884417910448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74-4709-B030-D83CF273D6B8}"/>
            </c:ext>
          </c:extLst>
        </c:ser>
        <c:ser>
          <c:idx val="1"/>
          <c:order val="1"/>
          <c:tx>
            <c:strRef>
              <c:f>'Variations in Na'!$D$2</c:f>
              <c:strCache>
                <c:ptCount val="1"/>
                <c:pt idx="0">
                  <c:v>Sines No.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'Variations in Na'!$B$3:$B$7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'Variations in Na'!$D$3:$D$7</c:f>
              <c:numCache>
                <c:formatCode>0.000</c:formatCode>
                <c:ptCount val="5"/>
                <c:pt idx="0">
                  <c:v>59.872330816610372</c:v>
                </c:pt>
                <c:pt idx="1">
                  <c:v>54.852515923566884</c:v>
                </c:pt>
                <c:pt idx="2">
                  <c:v>57.142071628651458</c:v>
                </c:pt>
                <c:pt idx="3">
                  <c:v>54.056934197407777</c:v>
                </c:pt>
                <c:pt idx="4">
                  <c:v>59.649437175493247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74-4709-B030-D83CF273D6B8}"/>
            </c:ext>
          </c:extLst>
        </c:ser>
        <c:ser>
          <c:idx val="2"/>
          <c:order val="2"/>
          <c:tx>
            <c:strRef>
              <c:f>'Variations in Na'!$E$2</c:f>
              <c:strCache>
                <c:ptCount val="1"/>
                <c:pt idx="0">
                  <c:v>Esco No. 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'Variations in Na'!$B$3:$B$7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'Variations in Na'!$E$3:$E$7</c:f>
              <c:numCache>
                <c:formatCode>0.0</c:formatCode>
                <c:ptCount val="5"/>
                <c:pt idx="1">
                  <c:v>28.996673366834166</c:v>
                </c:pt>
                <c:pt idx="2">
                  <c:v>29.100211180124226</c:v>
                </c:pt>
                <c:pt idx="3">
                  <c:v>29.669516773162936</c:v>
                </c:pt>
                <c:pt idx="4">
                  <c:v>27.857808517094885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74-4709-B030-D83CF273D6B8}"/>
            </c:ext>
          </c:extLst>
        </c:ser>
        <c:ser>
          <c:idx val="3"/>
          <c:order val="3"/>
          <c:tx>
            <c:strRef>
              <c:f>'Variations in Na'!$F$2</c:f>
              <c:strCache>
                <c:ptCount val="1"/>
                <c:pt idx="0">
                  <c:v>Sunday Creek No. 9 and 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'Variations in Na'!$B$3:$B$7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'Variations in Na'!$F$3:$F$7</c:f>
              <c:numCache>
                <c:formatCode>0.0</c:formatCode>
                <c:ptCount val="5"/>
                <c:pt idx="0">
                  <c:v>96.51214705882353</c:v>
                </c:pt>
                <c:pt idx="1">
                  <c:v>87.333405315614613</c:v>
                </c:pt>
                <c:pt idx="2">
                  <c:v>151.15920244150561</c:v>
                </c:pt>
                <c:pt idx="3">
                  <c:v>106.95859044573255</c:v>
                </c:pt>
                <c:pt idx="4">
                  <c:v>162.4577333729805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74-4709-B030-D83CF273D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36960"/>
        <c:axId val="1758020560"/>
      </c:scatterChart>
      <c:valAx>
        <c:axId val="1615236960"/>
        <c:scaling>
          <c:orientation val="minMax"/>
          <c:max val="100"/>
        </c:scaling>
        <c:delete val="0"/>
        <c:axPos val="b"/>
        <c:numFmt formatCode="General" sourceLinked="1"/>
        <c:majorTickMark val="cross"/>
        <c:minorTickMark val="out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020560"/>
        <c:crosses val="autoZero"/>
        <c:crossBetween val="midCat"/>
      </c:valAx>
      <c:valAx>
        <c:axId val="175802056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Na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36960"/>
        <c:crosses val="autoZero"/>
        <c:crossBetween val="midCat"/>
        <c:min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531807887062169"/>
          <c:y val="2.6944262774386069E-2"/>
          <c:w val="0.32602768783288794"/>
          <c:h val="0.218601048992878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K</a:t>
            </a:r>
          </a:p>
        </c:rich>
      </c:tx>
      <c:layout>
        <c:manualLayout>
          <c:xMode val="edge"/>
          <c:yMode val="edge"/>
          <c:x val="0.11044783455719047"/>
          <c:y val="2.4337248007507591E-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64243567554392E-2"/>
          <c:y val="6.6058244591806314E-2"/>
          <c:w val="0.88426471997536393"/>
          <c:h val="0.891965614671555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'Variability in K'!$C$2</c:f>
              <c:strCache>
                <c:ptCount val="1"/>
                <c:pt idx="0">
                  <c:v>York Clay and Mining No. 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'Variability in K'!$B$3:$B$7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in K'!$C$3:$C$7</c:f>
              <c:numCache>
                <c:formatCode>0.000</c:formatCode>
                <c:ptCount val="5"/>
                <c:pt idx="0">
                  <c:v>9.6494818761202943</c:v>
                </c:pt>
                <c:pt idx="1">
                  <c:v>8.7531285511363635</c:v>
                </c:pt>
                <c:pt idx="2">
                  <c:v>9.6226844727925034</c:v>
                </c:pt>
                <c:pt idx="3">
                  <c:v>12.174804498269896</c:v>
                </c:pt>
                <c:pt idx="4">
                  <c:v>13.571611144278608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3D-454E-8FFF-7655D7D49473}"/>
            </c:ext>
          </c:extLst>
        </c:ser>
        <c:ser>
          <c:idx val="1"/>
          <c:order val="1"/>
          <c:tx>
            <c:strRef>
              <c:f>'Variability in K'!$D$2</c:f>
              <c:strCache>
                <c:ptCount val="1"/>
                <c:pt idx="0">
                  <c:v>Sines No.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'Variability in K'!$B$3:$B$7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in K'!$D$3:$D$7</c:f>
              <c:numCache>
                <c:formatCode>0.000</c:formatCode>
                <c:ptCount val="5"/>
                <c:pt idx="0">
                  <c:v>7.2711364991059009</c:v>
                </c:pt>
                <c:pt idx="1">
                  <c:v>5.9804617834394911</c:v>
                </c:pt>
                <c:pt idx="2">
                  <c:v>5.2111324529811922</c:v>
                </c:pt>
                <c:pt idx="3">
                  <c:v>6.9534646061814565</c:v>
                </c:pt>
                <c:pt idx="4">
                  <c:v>5.4749799025578572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3D-454E-8FFF-7655D7D49473}"/>
            </c:ext>
          </c:extLst>
        </c:ser>
        <c:ser>
          <c:idx val="2"/>
          <c:order val="2"/>
          <c:tx>
            <c:strRef>
              <c:f>'Variability in K'!$E$2</c:f>
              <c:strCache>
                <c:ptCount val="1"/>
                <c:pt idx="0">
                  <c:v>Esco No. 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'Variability in K'!$B$3:$B$7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in K'!$E$3:$E$7</c:f>
              <c:numCache>
                <c:formatCode>0.0</c:formatCode>
                <c:ptCount val="5"/>
                <c:pt idx="1">
                  <c:v>5.99676566217288</c:v>
                </c:pt>
                <c:pt idx="2">
                  <c:v>6.5005329359165431</c:v>
                </c:pt>
                <c:pt idx="3">
                  <c:v>5.4640934504792336</c:v>
                </c:pt>
                <c:pt idx="4">
                  <c:v>5.0678038640501724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3D-454E-8FFF-7655D7D49473}"/>
            </c:ext>
          </c:extLst>
        </c:ser>
        <c:ser>
          <c:idx val="3"/>
          <c:order val="3"/>
          <c:tx>
            <c:strRef>
              <c:f>'Variability in K'!$F$2</c:f>
              <c:strCache>
                <c:ptCount val="1"/>
                <c:pt idx="0">
                  <c:v>Sunday Creek No. 9 and 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'Variability in K'!$B$3:$B$7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in K'!$F$3:$F$7</c:f>
              <c:numCache>
                <c:formatCode>0.0</c:formatCode>
                <c:ptCount val="5"/>
                <c:pt idx="0">
                  <c:v>10.845179411764706</c:v>
                </c:pt>
                <c:pt idx="1">
                  <c:v>5.9418106312292354</c:v>
                </c:pt>
                <c:pt idx="2">
                  <c:v>7.2127772126144469</c:v>
                </c:pt>
                <c:pt idx="3">
                  <c:v>7.5106801918848687</c:v>
                </c:pt>
                <c:pt idx="4">
                  <c:v>9.4171034790365749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3D-454E-8FFF-7655D7D49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36960"/>
        <c:axId val="1758020560"/>
      </c:scatterChart>
      <c:valAx>
        <c:axId val="1615236960"/>
        <c:scaling>
          <c:orientation val="minMax"/>
          <c:max val="100"/>
        </c:scaling>
        <c:delete val="0"/>
        <c:axPos val="b"/>
        <c:numFmt formatCode="General" sourceLinked="1"/>
        <c:majorTickMark val="cross"/>
        <c:minorTickMark val="out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020560"/>
        <c:crosses val="autoZero"/>
        <c:crossBetween val="midCat"/>
      </c:valAx>
      <c:valAx>
        <c:axId val="1758020560"/>
        <c:scaling>
          <c:orientation val="minMax"/>
          <c:max val="1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Potassium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36960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746001880691701"/>
          <c:y val="0.70838720698459856"/>
          <c:w val="0.32602768783288794"/>
          <c:h val="0.218601048992878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>
                <a:solidFill>
                  <a:schemeClr val="tx1"/>
                </a:solidFill>
              </a:rPr>
              <a:t>Sunday Creek No. 9</a:t>
            </a:r>
            <a:r>
              <a:rPr lang="en-US" sz="1100" b="0" baseline="0">
                <a:solidFill>
                  <a:schemeClr val="tx1"/>
                </a:solidFill>
              </a:rPr>
              <a:t> and 12</a:t>
            </a:r>
            <a:endParaRPr lang="en-US" sz="1100" b="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7903157625553535"/>
          <c:y val="2.316710411198600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06618465077153"/>
          <c:y val="3.8852102532840035E-2"/>
          <c:w val="0.77054142254523583"/>
          <c:h val="0.904213418753168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'Variations in SO4 (1)'!$H$2</c:f>
              <c:strCache>
                <c:ptCount val="1"/>
                <c:pt idx="0">
                  <c:v>Total SO4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'Variations in SO4 (1)'!$A$3:$A$7</c:f>
              <c:numCache>
                <c:formatCode>General</c:formatCode>
                <c:ptCount val="5"/>
                <c:pt idx="0">
                  <c:v>0</c:v>
                </c:pt>
                <c:pt idx="1">
                  <c:v>7.62</c:v>
                </c:pt>
                <c:pt idx="2">
                  <c:v>15.24</c:v>
                </c:pt>
                <c:pt idx="3">
                  <c:v>22.86</c:v>
                </c:pt>
                <c:pt idx="4">
                  <c:v>30.48</c:v>
                </c:pt>
              </c:numCache>
            </c:numRef>
          </c:cat>
          <c:val>
            <c:numRef>
              <c:f>'Variations in SO4 (1)'!$H$3:$H$7</c:f>
              <c:numCache>
                <c:formatCode>0.0</c:formatCode>
                <c:ptCount val="5"/>
                <c:pt idx="0">
                  <c:v>518.39910891089119</c:v>
                </c:pt>
                <c:pt idx="1">
                  <c:v>441.03764210404347</c:v>
                </c:pt>
                <c:pt idx="2">
                  <c:v>682.18329727111256</c:v>
                </c:pt>
                <c:pt idx="3">
                  <c:v>682.85401273885338</c:v>
                </c:pt>
                <c:pt idx="4">
                  <c:v>644.66597687892579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3-413B-802F-E7E8F8522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5390928"/>
        <c:axId val="1749228080"/>
      </c:barChart>
      <c:lineChart>
        <c:grouping val="standard"/>
        <c:varyColors val="0"/>
        <c:ser>
          <c:idx val="1"/>
          <c:order val="1"/>
          <c:tx>
            <c:strRef>
              <c:f>'Variations in SO4 (1)'!$I$2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'Variations in SO4 (1)'!$A$3:$A$7</c:f>
              <c:numCache>
                <c:formatCode>General</c:formatCode>
                <c:ptCount val="5"/>
                <c:pt idx="0">
                  <c:v>0</c:v>
                </c:pt>
                <c:pt idx="1">
                  <c:v>7.62</c:v>
                </c:pt>
                <c:pt idx="2">
                  <c:v>15.24</c:v>
                </c:pt>
                <c:pt idx="3">
                  <c:v>22.86</c:v>
                </c:pt>
                <c:pt idx="4">
                  <c:v>30.48</c:v>
                </c:pt>
              </c:numCache>
            </c:numRef>
          </c:cat>
          <c:val>
            <c:numRef>
              <c:f>'Variations in SO4 (1)'!$I$3:$I$7</c:f>
              <c:numCache>
                <c:formatCode>General</c:formatCode>
                <c:ptCount val="5"/>
                <c:pt idx="0">
                  <c:v>3.3528000000000002E-2</c:v>
                </c:pt>
                <c:pt idx="1">
                  <c:v>3.6575999999999997E-2</c:v>
                </c:pt>
                <c:pt idx="2">
                  <c:v>5.7911999999999998E-2</c:v>
                </c:pt>
                <c:pt idx="3">
                  <c:v>7.0104E-2</c:v>
                </c:pt>
                <c:pt idx="4">
                  <c:v>5.4864000000000003E-2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53-413B-802F-E7E8F8522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219104"/>
        <c:axId val="313217440"/>
      </c:lineChart>
      <c:catAx>
        <c:axId val="1615390928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228080"/>
        <c:crosses val="autoZero"/>
        <c:auto val="1"/>
        <c:lblAlgn val="ctr"/>
        <c:lblOffset val="100"/>
        <c:noMultiLvlLbl val="1"/>
      </c:catAx>
      <c:valAx>
        <c:axId val="1749228080"/>
        <c:scaling>
          <c:orientation val="minMax"/>
          <c:max val="750"/>
          <c:min val="3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SO4</a:t>
                </a:r>
                <a:r>
                  <a:rPr lang="en-US" baseline="0">
                    <a:solidFill>
                      <a:schemeClr val="tx1"/>
                    </a:solidFill>
                  </a:rPr>
                  <a:t> Concentration (mg/L)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390928"/>
        <c:crosses val="autoZero"/>
        <c:crossBetween val="between"/>
      </c:valAx>
      <c:valAx>
        <c:axId val="313217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19104"/>
        <c:crosses val="max"/>
        <c:crossBetween val="between"/>
      </c:valAx>
      <c:catAx>
        <c:axId val="31321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217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093031316522375"/>
          <c:y val="0.15982286556087891"/>
          <c:w val="0.20129908500342325"/>
          <c:h val="0.1408392888480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Cl</a:t>
            </a:r>
          </a:p>
        </c:rich>
      </c:tx>
      <c:layout>
        <c:manualLayout>
          <c:xMode val="edge"/>
          <c:yMode val="edge"/>
          <c:x val="0.11044783455719047"/>
          <c:y val="2.4337248007507591E-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64243567554392E-2"/>
          <c:y val="6.6058244591806314E-2"/>
          <c:w val="0.88426471997536393"/>
          <c:h val="0.807039869254603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'Variability in Cl'!$C$2</c:f>
              <c:strCache>
                <c:ptCount val="1"/>
                <c:pt idx="0">
                  <c:v>York Clay and Mining No. 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'Variability in Cl'!$B$3:$B$7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in Cl'!$C$3:$C$7</c:f>
              <c:numCache>
                <c:formatCode>0.000</c:formatCode>
                <c:ptCount val="5"/>
                <c:pt idx="0">
                  <c:v>9.4</c:v>
                </c:pt>
                <c:pt idx="1">
                  <c:v>9.4</c:v>
                </c:pt>
                <c:pt idx="2">
                  <c:v>10.1</c:v>
                </c:pt>
                <c:pt idx="3">
                  <c:v>7.8</c:v>
                </c:pt>
                <c:pt idx="4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CD-488F-9AC4-C1A0E5651B40}"/>
            </c:ext>
          </c:extLst>
        </c:ser>
        <c:ser>
          <c:idx val="1"/>
          <c:order val="1"/>
          <c:tx>
            <c:strRef>
              <c:f>'Variability in Cl'!$D$2</c:f>
              <c:strCache>
                <c:ptCount val="1"/>
                <c:pt idx="0">
                  <c:v>Sines No.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'Variability in Cl'!$B$3:$B$7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in Cl'!$D$3:$D$7</c:f>
              <c:numCache>
                <c:formatCode>0.000</c:formatCode>
                <c:ptCount val="5"/>
                <c:pt idx="0">
                  <c:v>14.6</c:v>
                </c:pt>
                <c:pt idx="1">
                  <c:v>18.2</c:v>
                </c:pt>
                <c:pt idx="2">
                  <c:v>21.2</c:v>
                </c:pt>
                <c:pt idx="3">
                  <c:v>14</c:v>
                </c:pt>
                <c:pt idx="4">
                  <c:v>17.399999999999999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CD-488F-9AC4-C1A0E5651B40}"/>
            </c:ext>
          </c:extLst>
        </c:ser>
        <c:ser>
          <c:idx val="2"/>
          <c:order val="2"/>
          <c:tx>
            <c:strRef>
              <c:f>'Variability in Cl'!$E$2</c:f>
              <c:strCache>
                <c:ptCount val="1"/>
                <c:pt idx="0">
                  <c:v>Esco No. 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'Variability in Cl'!$B$3:$B$7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in Cl'!$E$3:$E$7</c:f>
              <c:numCache>
                <c:formatCode>0.0</c:formatCode>
                <c:ptCount val="5"/>
                <c:pt idx="0">
                  <c:v>10.4</c:v>
                </c:pt>
                <c:pt idx="1">
                  <c:v>13.2</c:v>
                </c:pt>
                <c:pt idx="2">
                  <c:v>16.399999999999999</c:v>
                </c:pt>
                <c:pt idx="3">
                  <c:v>9.9</c:v>
                </c:pt>
                <c:pt idx="4">
                  <c:v>13.8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CD-488F-9AC4-C1A0E5651B40}"/>
            </c:ext>
          </c:extLst>
        </c:ser>
        <c:ser>
          <c:idx val="3"/>
          <c:order val="3"/>
          <c:tx>
            <c:strRef>
              <c:f>'Variability in Cl'!$F$2</c:f>
              <c:strCache>
                <c:ptCount val="1"/>
                <c:pt idx="0">
                  <c:v>Sunday Creek No. 9 and 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'Variability in Cl'!$B$3:$B$7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in Cl'!$F$3:$F$7</c:f>
              <c:numCache>
                <c:formatCode>0.0</c:formatCode>
                <c:ptCount val="5"/>
                <c:pt idx="0">
                  <c:v>0.5</c:v>
                </c:pt>
                <c:pt idx="1">
                  <c:v>2.2000000000000002</c:v>
                </c:pt>
                <c:pt idx="2">
                  <c:v>1</c:v>
                </c:pt>
                <c:pt idx="3">
                  <c:v>1.5</c:v>
                </c:pt>
                <c:pt idx="4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CD-488F-9AC4-C1A0E5651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36960"/>
        <c:axId val="1758020560"/>
      </c:scatterChart>
      <c:valAx>
        <c:axId val="1615236960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Distance from mine</a:t>
                </a:r>
                <a:r>
                  <a:rPr lang="en-US" b="1" baseline="0">
                    <a:solidFill>
                      <a:schemeClr val="tx1"/>
                    </a:solidFill>
                  </a:rPr>
                  <a:t> opening (ft)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020560"/>
        <c:crosses val="autoZero"/>
        <c:crossBetween val="midCat"/>
      </c:valAx>
      <c:valAx>
        <c:axId val="1758020560"/>
        <c:scaling>
          <c:orientation val="minMax"/>
          <c:max val="2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Chloride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36960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408515489178673"/>
          <c:y val="2.8982052265391984E-2"/>
          <c:w val="0.32602768783288794"/>
          <c:h val="0.218601048992878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Ca</a:t>
            </a:r>
          </a:p>
        </c:rich>
      </c:tx>
      <c:layout>
        <c:manualLayout>
          <c:xMode val="edge"/>
          <c:yMode val="edge"/>
          <c:x val="0.11044783455719047"/>
          <c:y val="2.4337248007507591E-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932977801998896E-2"/>
          <c:y val="6.6058244591806314E-2"/>
          <c:w val="0.87169598574091944"/>
          <c:h val="0.82590737007974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'Variability in Ca'!$C$2</c:f>
              <c:strCache>
                <c:ptCount val="1"/>
                <c:pt idx="0">
                  <c:v>York Clay and Mining No. 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'Variability in Ca'!$B$3:$B$7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in Ca'!$C$3:$C$7</c:f>
              <c:numCache>
                <c:formatCode>0.000</c:formatCode>
                <c:ptCount val="5"/>
                <c:pt idx="0">
                  <c:v>81.648699163513257</c:v>
                </c:pt>
                <c:pt idx="1">
                  <c:v>90.711487926136357</c:v>
                </c:pt>
                <c:pt idx="2">
                  <c:v>85.353811441100248</c:v>
                </c:pt>
                <c:pt idx="3">
                  <c:v>95.286900519031136</c:v>
                </c:pt>
                <c:pt idx="4">
                  <c:v>87.234573930348247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5-45CF-86AC-05088289EA8F}"/>
            </c:ext>
          </c:extLst>
        </c:ser>
        <c:ser>
          <c:idx val="1"/>
          <c:order val="1"/>
          <c:tx>
            <c:strRef>
              <c:f>'Variability in Ca'!$D$2</c:f>
              <c:strCache>
                <c:ptCount val="1"/>
                <c:pt idx="0">
                  <c:v>Sines No.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'Variability in Ca'!$B$3:$B$7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in Ca'!$D$3:$D$7</c:f>
              <c:numCache>
                <c:formatCode>0.000</c:formatCode>
                <c:ptCount val="5"/>
                <c:pt idx="0">
                  <c:v>61.137309358235647</c:v>
                </c:pt>
                <c:pt idx="1">
                  <c:v>62.620127388535039</c:v>
                </c:pt>
                <c:pt idx="2">
                  <c:v>61.701812525009998</c:v>
                </c:pt>
                <c:pt idx="3">
                  <c:v>61.480633100697908</c:v>
                </c:pt>
                <c:pt idx="4">
                  <c:v>66.331879415347146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45-45CF-86AC-05088289EA8F}"/>
            </c:ext>
          </c:extLst>
        </c:ser>
        <c:ser>
          <c:idx val="2"/>
          <c:order val="2"/>
          <c:tx>
            <c:strRef>
              <c:f>'Variability in Ca'!$E$2</c:f>
              <c:strCache>
                <c:ptCount val="1"/>
                <c:pt idx="0">
                  <c:v>Esco No. 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'Variability in Ca'!$B$3:$B$7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in Ca'!$E$3:$E$7</c:f>
              <c:numCache>
                <c:formatCode>0.0</c:formatCode>
                <c:ptCount val="5"/>
                <c:pt idx="1">
                  <c:v>69.345683187946094</c:v>
                </c:pt>
                <c:pt idx="2">
                  <c:v>70.473544957774465</c:v>
                </c:pt>
                <c:pt idx="3">
                  <c:v>67.305375399361012</c:v>
                </c:pt>
                <c:pt idx="4">
                  <c:v>68.883846955290309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45-45CF-86AC-05088289EA8F}"/>
            </c:ext>
          </c:extLst>
        </c:ser>
        <c:ser>
          <c:idx val="3"/>
          <c:order val="3"/>
          <c:tx>
            <c:strRef>
              <c:f>'Variability in Ca'!$F$2</c:f>
              <c:strCache>
                <c:ptCount val="1"/>
                <c:pt idx="0">
                  <c:v>Sunday Creek No. 9 and 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'Variability in Ca'!$B$3:$B$7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in Ca'!$F$3:$F$7</c:f>
              <c:numCache>
                <c:formatCode>0.0</c:formatCode>
                <c:ptCount val="5"/>
                <c:pt idx="0">
                  <c:v>96.810638235294121</c:v>
                </c:pt>
                <c:pt idx="1">
                  <c:v>78.700963455149491</c:v>
                </c:pt>
                <c:pt idx="2">
                  <c:v>109.42813428280775</c:v>
                </c:pt>
                <c:pt idx="3">
                  <c:v>89.914732960223859</c:v>
                </c:pt>
                <c:pt idx="4">
                  <c:v>92.261201506591348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45-45CF-86AC-05088289E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36960"/>
        <c:axId val="1758020560"/>
      </c:scatterChart>
      <c:valAx>
        <c:axId val="1615236960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Distance from mine opening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020560"/>
        <c:crosses val="autoZero"/>
        <c:crossBetween val="midCat"/>
      </c:valAx>
      <c:valAx>
        <c:axId val="175802056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Ca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36960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626596926136254"/>
          <c:y val="0.59365446637777719"/>
          <c:w val="0.32602768783288794"/>
          <c:h val="0.218601048992878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Mg</a:t>
            </a:r>
          </a:p>
        </c:rich>
      </c:tx>
      <c:layout>
        <c:manualLayout>
          <c:xMode val="edge"/>
          <c:yMode val="edge"/>
          <c:x val="0.11044783455719047"/>
          <c:y val="2.4337248007507591E-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511142215887637E-2"/>
          <c:y val="6.6058244591806314E-2"/>
          <c:w val="0.90311782132703067"/>
          <c:h val="0.891965614671555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'Variability in Mg'!$C$2</c:f>
              <c:strCache>
                <c:ptCount val="1"/>
                <c:pt idx="0">
                  <c:v>York Clay and Mining No. 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'Variability in Mg'!$B$3:$B$7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in Mg'!$C$3:$C$7</c:f>
              <c:numCache>
                <c:formatCode>0.000</c:formatCode>
                <c:ptCount val="5"/>
                <c:pt idx="0">
                  <c:v>29.087287094204342</c:v>
                </c:pt>
                <c:pt idx="1">
                  <c:v>30.156395596590908</c:v>
                </c:pt>
                <c:pt idx="2">
                  <c:v>29.828321307554312</c:v>
                </c:pt>
                <c:pt idx="3">
                  <c:v>31.559730103806231</c:v>
                </c:pt>
                <c:pt idx="4">
                  <c:v>29.527560199004977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13-4BBB-B14B-924F60BB5D11}"/>
            </c:ext>
          </c:extLst>
        </c:ser>
        <c:ser>
          <c:idx val="1"/>
          <c:order val="1"/>
          <c:tx>
            <c:strRef>
              <c:f>'Variability in Mg'!$D$2</c:f>
              <c:strCache>
                <c:ptCount val="1"/>
                <c:pt idx="0">
                  <c:v>Sines No.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'Variability in Mg'!$B$3:$B$7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in Mg'!$D$3:$D$7</c:f>
              <c:numCache>
                <c:formatCode>0.000</c:formatCode>
                <c:ptCount val="5"/>
                <c:pt idx="0">
                  <c:v>70.450340353665808</c:v>
                </c:pt>
                <c:pt idx="1">
                  <c:v>66.444028662420394</c:v>
                </c:pt>
                <c:pt idx="2">
                  <c:v>67.754743297318925</c:v>
                </c:pt>
                <c:pt idx="3">
                  <c:v>66.162966101694934</c:v>
                </c:pt>
                <c:pt idx="4">
                  <c:v>68.381173568818525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13-4BBB-B14B-924F60BB5D11}"/>
            </c:ext>
          </c:extLst>
        </c:ser>
        <c:ser>
          <c:idx val="2"/>
          <c:order val="2"/>
          <c:tx>
            <c:strRef>
              <c:f>'Variability in Mg'!$E$2</c:f>
              <c:strCache>
                <c:ptCount val="1"/>
                <c:pt idx="0">
                  <c:v>Esco No. 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'Variability in Mg'!$B$3:$B$7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in Mg'!$E$3:$E$7</c:f>
              <c:numCache>
                <c:formatCode>0.0</c:formatCode>
                <c:ptCount val="5"/>
                <c:pt idx="1">
                  <c:v>40.02816217287868</c:v>
                </c:pt>
                <c:pt idx="2">
                  <c:v>41.006506507699946</c:v>
                </c:pt>
                <c:pt idx="3">
                  <c:v>39.126994408945684</c:v>
                </c:pt>
                <c:pt idx="4">
                  <c:v>40.129349484118961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13-4BBB-B14B-924F60BB5D11}"/>
            </c:ext>
          </c:extLst>
        </c:ser>
        <c:ser>
          <c:idx val="3"/>
          <c:order val="3"/>
          <c:tx>
            <c:strRef>
              <c:f>'Variability in Mg'!$F$2</c:f>
              <c:strCache>
                <c:ptCount val="1"/>
                <c:pt idx="0">
                  <c:v>Sunday Creek No. 9 and 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'Variability in Mg'!$B$3:$B$7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in Mg'!$F$3:$F$7</c:f>
              <c:numCache>
                <c:formatCode>0.0</c:formatCode>
                <c:ptCount val="5"/>
                <c:pt idx="0">
                  <c:v>48.156576470588234</c:v>
                </c:pt>
                <c:pt idx="1">
                  <c:v>41.368455149501656</c:v>
                </c:pt>
                <c:pt idx="2">
                  <c:v>28.851108850457788</c:v>
                </c:pt>
                <c:pt idx="3">
                  <c:v>40.856474115530681</c:v>
                </c:pt>
                <c:pt idx="4">
                  <c:v>41.498239171374763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13-4BBB-B14B-924F60BB5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36960"/>
        <c:axId val="1758020560"/>
      </c:scatterChart>
      <c:valAx>
        <c:axId val="1615236960"/>
        <c:scaling>
          <c:orientation val="minMax"/>
          <c:max val="100"/>
        </c:scaling>
        <c:delete val="0"/>
        <c:axPos val="b"/>
        <c:numFmt formatCode="General" sourceLinked="1"/>
        <c:majorTickMark val="cross"/>
        <c:minorTickMark val="out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020560"/>
        <c:crosses val="autoZero"/>
        <c:crossBetween val="midCat"/>
      </c:valAx>
      <c:valAx>
        <c:axId val="175802056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Mg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36960"/>
        <c:crosses val="autoZero"/>
        <c:crossBetween val="midCat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903371175339944"/>
          <c:y val="0.68752670869244936"/>
          <c:w val="0.32602768783288794"/>
          <c:h val="0.218601048992878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Si</a:t>
            </a:r>
          </a:p>
        </c:rich>
      </c:tx>
      <c:layout>
        <c:manualLayout>
          <c:xMode val="edge"/>
          <c:yMode val="edge"/>
          <c:x val="0.11044783455719047"/>
          <c:y val="2.4337248007507591E-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174665489406225E-2"/>
          <c:y val="3.4767497153582273E-2"/>
          <c:w val="0.88845429805351217"/>
          <c:h val="0.86067486723333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'Variability Silica'!$C$2</c:f>
              <c:strCache>
                <c:ptCount val="1"/>
                <c:pt idx="0">
                  <c:v>York Clay and Mining No. 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'Variability Silica'!$B$3:$B$8</c:f>
              <c:numCache>
                <c:formatCode>General</c:formatCode>
                <c:ptCount val="6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Silica'!$C$3:$C$8</c:f>
              <c:numCache>
                <c:formatCode>0.000</c:formatCode>
                <c:ptCount val="6"/>
                <c:pt idx="0">
                  <c:v>12.770362587386984</c:v>
                </c:pt>
                <c:pt idx="1">
                  <c:v>13.528881321069015</c:v>
                </c:pt>
                <c:pt idx="2">
                  <c:v>13.645818390147697</c:v>
                </c:pt>
                <c:pt idx="3">
                  <c:v>16.427535517603399</c:v>
                </c:pt>
                <c:pt idx="4">
                  <c:v>13.979331232171484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C0-4CB1-AB54-0A2991501C58}"/>
            </c:ext>
          </c:extLst>
        </c:ser>
        <c:ser>
          <c:idx val="1"/>
          <c:order val="1"/>
          <c:tx>
            <c:strRef>
              <c:f>'Variability Silica'!$D$2</c:f>
              <c:strCache>
                <c:ptCount val="1"/>
                <c:pt idx="0">
                  <c:v>Sines No.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'Variability Silica'!$B$3:$B$8</c:f>
              <c:numCache>
                <c:formatCode>General</c:formatCode>
                <c:ptCount val="6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Silica'!$D$3:$D$8</c:f>
              <c:numCache>
                <c:formatCode>0.000</c:formatCode>
                <c:ptCount val="6"/>
                <c:pt idx="0">
                  <c:v>71.830779142184483</c:v>
                </c:pt>
                <c:pt idx="1">
                  <c:v>70.566425862316962</c:v>
                </c:pt>
                <c:pt idx="2">
                  <c:v>72.625444319196745</c:v>
                </c:pt>
                <c:pt idx="3">
                  <c:v>81.851006361582634</c:v>
                </c:pt>
                <c:pt idx="4">
                  <c:v>81.003763199104554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C0-4CB1-AB54-0A2991501C58}"/>
            </c:ext>
          </c:extLst>
        </c:ser>
        <c:ser>
          <c:idx val="2"/>
          <c:order val="2"/>
          <c:tx>
            <c:strRef>
              <c:f>'Variability Silica'!$E$2</c:f>
              <c:strCache>
                <c:ptCount val="1"/>
                <c:pt idx="0">
                  <c:v>Esco No. 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'Variability Silica'!$B$3:$B$8</c:f>
              <c:numCache>
                <c:formatCode>General</c:formatCode>
                <c:ptCount val="6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Silica'!$E$3:$E$8</c:f>
              <c:numCache>
                <c:formatCode>0.0</c:formatCode>
                <c:ptCount val="6"/>
                <c:pt idx="1">
                  <c:v>9.7512445626554776</c:v>
                </c:pt>
                <c:pt idx="2">
                  <c:v>12.373726754426254</c:v>
                </c:pt>
                <c:pt idx="3">
                  <c:v>12.000889615426663</c:v>
                </c:pt>
                <c:pt idx="4">
                  <c:v>11.093013865967745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C0-4CB1-AB54-0A2991501C58}"/>
            </c:ext>
          </c:extLst>
        </c:ser>
        <c:ser>
          <c:idx val="3"/>
          <c:order val="3"/>
          <c:tx>
            <c:strRef>
              <c:f>'Variability Silica'!$F$2</c:f>
              <c:strCache>
                <c:ptCount val="1"/>
                <c:pt idx="0">
                  <c:v>Sunday Creek No. 9 and 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'Variability Silica'!$B$3:$B$8</c:f>
              <c:numCache>
                <c:formatCode>General</c:formatCode>
                <c:ptCount val="6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'Variability Silica'!$F$3:$F$8</c:f>
              <c:numCache>
                <c:formatCode>0.0</c:formatCode>
                <c:ptCount val="6"/>
                <c:pt idx="2">
                  <c:v>10.175671788793236</c:v>
                </c:pt>
                <c:pt idx="3">
                  <c:v>7.6686282335615932</c:v>
                </c:pt>
                <c:pt idx="4">
                  <c:v>16.365603071391359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C0-4CB1-AB54-0A2991501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36960"/>
        <c:axId val="1758020560"/>
      </c:scatterChart>
      <c:valAx>
        <c:axId val="1615236960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Distance from mine opening</a:t>
                </a:r>
                <a:r>
                  <a:rPr lang="en-US" b="1" baseline="0">
                    <a:solidFill>
                      <a:schemeClr val="tx1"/>
                    </a:solidFill>
                  </a:rPr>
                  <a:t> (ft)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020560"/>
        <c:crosses val="autoZero"/>
        <c:crossBetween val="midCat"/>
      </c:valAx>
      <c:valAx>
        <c:axId val="1758020560"/>
        <c:scaling>
          <c:orientation val="minMax"/>
          <c:max val="8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Silica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36960"/>
        <c:crosses val="autoZero"/>
        <c:crossBetween val="midCat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693892271432532"/>
          <c:y val="0.38852623317164164"/>
          <c:w val="0.32602768783288794"/>
          <c:h val="0.218601048992878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'Water Total Fe Al Mn SO4 Openin'!$B$1</c:f>
              <c:strCache>
                <c:ptCount val="1"/>
                <c:pt idx="0">
                  <c:v>Fe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'Water Total Fe Al Mn SO4 Openin'!$A$2:$A$5</c:f>
              <c:strCache>
                <c:ptCount val="4"/>
                <c:pt idx="0">
                  <c:v>York Clay and Mining No. 4 (0 ft)</c:v>
                </c:pt>
                <c:pt idx="1">
                  <c:v>Sines No. 2 (0 ft)</c:v>
                </c:pt>
                <c:pt idx="2">
                  <c:v>Esco No. 40 Mine (0 ft)</c:v>
                </c:pt>
                <c:pt idx="3">
                  <c:v>Sunday Creek No. 9 and 12 (0 ft)</c:v>
                </c:pt>
              </c:strCache>
            </c:strRef>
          </c:cat>
          <c:val>
            <c:numRef>
              <c:f>'Water Total Fe Al Mn SO4 Openin'!$B$2:$B$5</c:f>
              <c:numCache>
                <c:formatCode>General</c:formatCode>
                <c:ptCount val="4"/>
                <c:pt idx="0">
                  <c:v>0.11766666666666666</c:v>
                </c:pt>
                <c:pt idx="1">
                  <c:v>0.8653333333333334</c:v>
                </c:pt>
                <c:pt idx="2">
                  <c:v>7.8000000000000007</c:v>
                </c:pt>
                <c:pt idx="3">
                  <c:v>59.400000000000006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6-4BD7-B02A-60C1E3EBF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604384"/>
        <c:axId val="1615833632"/>
      </c:barChart>
      <c:catAx>
        <c:axId val="17436043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15833632"/>
        <c:crosses val="autoZero"/>
        <c:auto val="1"/>
        <c:lblAlgn val="ctr"/>
        <c:lblOffset val="100"/>
        <c:noMultiLvlLbl val="0"/>
      </c:catAx>
      <c:valAx>
        <c:axId val="16158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Iron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60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'Water Total Fe Al Mn SO4 Openin'!$A$2:$A$5</c:f>
              <c:strCache>
                <c:ptCount val="4"/>
                <c:pt idx="0">
                  <c:v>York Clay and Mining No. 4 (0 ft)</c:v>
                </c:pt>
                <c:pt idx="1">
                  <c:v>Sines No. 2 (0 ft)</c:v>
                </c:pt>
                <c:pt idx="2">
                  <c:v>Esco No. 40 Mine (0 ft)</c:v>
                </c:pt>
                <c:pt idx="3">
                  <c:v>Sunday Creek No. 9 and 12 (0 ft)</c:v>
                </c:pt>
              </c:strCache>
            </c:strRef>
          </c:cat>
          <c:val>
            <c:numRef>
              <c:f>'Water Total Fe Al Mn SO4 Openin'!$C$2:$C$5</c:f>
              <c:numCache>
                <c:formatCode>General</c:formatCode>
                <c:ptCount val="4"/>
                <c:pt idx="0">
                  <c:v>0.252</c:v>
                </c:pt>
                <c:pt idx="1">
                  <c:v>3.036</c:v>
                </c:pt>
                <c:pt idx="2">
                  <c:v>5.0999999999999997E-2</c:v>
                </c:pt>
                <c:pt idx="3" formatCode="0.000">
                  <c:v>0.69399999999999995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5-4305-9E6C-10536DB60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604384"/>
        <c:axId val="1615833632"/>
      </c:barChart>
      <c:catAx>
        <c:axId val="174360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833632"/>
        <c:crosses val="autoZero"/>
        <c:auto val="1"/>
        <c:lblAlgn val="ctr"/>
        <c:lblOffset val="100"/>
        <c:noMultiLvlLbl val="0"/>
      </c:catAx>
      <c:valAx>
        <c:axId val="16158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Aluminum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60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'Water Total Fe Al Mn SO4 Openin'!$A$2:$A$5</c:f>
              <c:strCache>
                <c:ptCount val="4"/>
                <c:pt idx="0">
                  <c:v>York Clay and Mining No. 4 (0 ft)</c:v>
                </c:pt>
                <c:pt idx="1">
                  <c:v>Sines No. 2 (0 ft)</c:v>
                </c:pt>
                <c:pt idx="2">
                  <c:v>Esco No. 40 Mine (0 ft)</c:v>
                </c:pt>
                <c:pt idx="3">
                  <c:v>Sunday Creek No. 9 and 12 (0 ft)</c:v>
                </c:pt>
              </c:strCache>
            </c:strRef>
          </c:cat>
          <c:val>
            <c:numRef>
              <c:f>'Water Total Fe Al Mn SO4 Openin'!$D$2:$D$5</c:f>
              <c:numCache>
                <c:formatCode>0.000</c:formatCode>
                <c:ptCount val="4"/>
                <c:pt idx="0">
                  <c:v>0.8</c:v>
                </c:pt>
                <c:pt idx="1">
                  <c:v>8.6128048577020238</c:v>
                </c:pt>
                <c:pt idx="2">
                  <c:v>0.4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6-46C2-9E7D-FB4C8E0EE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604384"/>
        <c:axId val="1615833632"/>
      </c:barChart>
      <c:catAx>
        <c:axId val="17436043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15833632"/>
        <c:crosses val="autoZero"/>
        <c:auto val="1"/>
        <c:lblAlgn val="ctr"/>
        <c:lblOffset val="100"/>
        <c:noMultiLvlLbl val="0"/>
      </c:catAx>
      <c:valAx>
        <c:axId val="16158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Manganese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out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60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'Water Total Fe Al Mn SO4 Openin'!$A$2:$A$5</c:f>
              <c:strCache>
                <c:ptCount val="4"/>
                <c:pt idx="0">
                  <c:v>York Clay and Mining No. 4 (0 ft)</c:v>
                </c:pt>
                <c:pt idx="1">
                  <c:v>Sines No. 2 (0 ft)</c:v>
                </c:pt>
                <c:pt idx="2">
                  <c:v>Esco No. 40 Mine (0 ft)</c:v>
                </c:pt>
                <c:pt idx="3">
                  <c:v>Sunday Creek No. 9 and 12 (0 ft)</c:v>
                </c:pt>
              </c:strCache>
            </c:strRef>
          </c:cat>
          <c:val>
            <c:numRef>
              <c:f>'Water Total Fe Al Mn SO4 Openin'!$E$2:$E$5</c:f>
              <c:numCache>
                <c:formatCode>0.00</c:formatCode>
                <c:ptCount val="4"/>
                <c:pt idx="0">
                  <c:v>502.26807422133862</c:v>
                </c:pt>
                <c:pt idx="1">
                  <c:v>762.78304074145581</c:v>
                </c:pt>
                <c:pt idx="2" formatCode="0">
                  <c:v>280</c:v>
                </c:pt>
                <c:pt idx="3">
                  <c:v>518.39910891089119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1D-46D1-914E-5DF9A7ACF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604384"/>
        <c:axId val="1615833632"/>
      </c:barChart>
      <c:catAx>
        <c:axId val="174360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833632"/>
        <c:crosses val="autoZero"/>
        <c:auto val="1"/>
        <c:lblAlgn val="ctr"/>
        <c:lblOffset val="100"/>
        <c:noMultiLvlLbl val="0"/>
      </c:catAx>
      <c:valAx>
        <c:axId val="16158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Sulfate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out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60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>
                <a:solidFill>
                  <a:schemeClr val="tx1"/>
                </a:solidFill>
              </a:rPr>
              <a:t>Sunday Creek No. 9</a:t>
            </a:r>
            <a:r>
              <a:rPr lang="en-US" sz="1100" b="0" baseline="0">
                <a:solidFill>
                  <a:schemeClr val="tx1"/>
                </a:solidFill>
              </a:rPr>
              <a:t> and 12</a:t>
            </a:r>
            <a:endParaRPr lang="en-US" sz="1100" b="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9420779373732667"/>
          <c:y val="5.65005531388934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214847976262774E-2"/>
          <c:y val="3.8852102532840035E-2"/>
          <c:w val="0.84012515535547161"/>
          <c:h val="0.904213418753168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'Variation in Al conc (1)'!$H$2</c:f>
              <c:strCache>
                <c:ptCount val="1"/>
                <c:pt idx="0">
                  <c:v>Total Al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'Variation in Al conc (1)'!$A$3:$A$7</c:f>
              <c:numCache>
                <c:formatCode>General</c:formatCode>
                <c:ptCount val="5"/>
                <c:pt idx="0">
                  <c:v>0</c:v>
                </c:pt>
                <c:pt idx="1">
                  <c:v>7.62</c:v>
                </c:pt>
                <c:pt idx="2">
                  <c:v>15.24</c:v>
                </c:pt>
                <c:pt idx="3">
                  <c:v>22.86</c:v>
                </c:pt>
                <c:pt idx="4">
                  <c:v>30.48</c:v>
                </c:pt>
              </c:numCache>
            </c:numRef>
          </c:cat>
          <c:val>
            <c:numRef>
              <c:f>'Variation in Al conc (1)'!$H$3:$H$7</c:f>
              <c:numCache>
                <c:formatCode>0.00</c:formatCode>
                <c:ptCount val="5"/>
                <c:pt idx="0">
                  <c:v>0.69399999999999995</c:v>
                </c:pt>
                <c:pt idx="1">
                  <c:v>0.47799999999999998</c:v>
                </c:pt>
                <c:pt idx="2">
                  <c:v>0.21199999999999999</c:v>
                </c:pt>
                <c:pt idx="3">
                  <c:v>0.80400000000000005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5-462A-A659-A06426263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5390928"/>
        <c:axId val="1749228080"/>
      </c:barChart>
      <c:lineChart>
        <c:grouping val="standard"/>
        <c:varyColors val="0"/>
        <c:ser>
          <c:idx val="1"/>
          <c:order val="1"/>
          <c:tx>
            <c:strRef>
              <c:f>'Variation in Al conc (1)'!$I$2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'Variation in Al conc (1)'!$A$3:$A$7</c:f>
              <c:numCache>
                <c:formatCode>General</c:formatCode>
                <c:ptCount val="5"/>
                <c:pt idx="0">
                  <c:v>0</c:v>
                </c:pt>
                <c:pt idx="1">
                  <c:v>7.62</c:v>
                </c:pt>
                <c:pt idx="2">
                  <c:v>15.24</c:v>
                </c:pt>
                <c:pt idx="3">
                  <c:v>22.86</c:v>
                </c:pt>
                <c:pt idx="4">
                  <c:v>30.48</c:v>
                </c:pt>
              </c:numCache>
            </c:numRef>
          </c:cat>
          <c:val>
            <c:numRef>
              <c:f>'Variation in Al conc (1)'!$I$3:$I$7</c:f>
              <c:numCache>
                <c:formatCode>General</c:formatCode>
                <c:ptCount val="5"/>
                <c:pt idx="0">
                  <c:v>3.3528000000000002E-2</c:v>
                </c:pt>
                <c:pt idx="1">
                  <c:v>3.6575999999999997E-2</c:v>
                </c:pt>
                <c:pt idx="2">
                  <c:v>5.7911999999999998E-2</c:v>
                </c:pt>
                <c:pt idx="3">
                  <c:v>7.0104E-2</c:v>
                </c:pt>
                <c:pt idx="4">
                  <c:v>5.4864000000000003E-2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45-462A-A659-A06426263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219104"/>
        <c:axId val="313217440"/>
      </c:lineChart>
      <c:catAx>
        <c:axId val="1615390928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228080"/>
        <c:crosses val="autoZero"/>
        <c:auto val="1"/>
        <c:lblAlgn val="ctr"/>
        <c:lblOffset val="100"/>
        <c:noMultiLvlLbl val="1"/>
      </c:catAx>
      <c:valAx>
        <c:axId val="1749228080"/>
        <c:scaling>
          <c:orientation val="minMax"/>
          <c:max val="2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Iron</a:t>
                </a:r>
                <a:r>
                  <a:rPr lang="en-US" baseline="0">
                    <a:solidFill>
                      <a:schemeClr val="tx1"/>
                    </a:solidFill>
                  </a:rPr>
                  <a:t> Concentration (mg/L)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390928"/>
        <c:crosses val="autoZero"/>
        <c:crossBetween val="between"/>
      </c:valAx>
      <c:valAx>
        <c:axId val="313217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Velocity (ft/s)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19104"/>
        <c:crosses val="max"/>
        <c:crossBetween val="between"/>
      </c:valAx>
      <c:catAx>
        <c:axId val="31321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21744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3093031316522375"/>
          <c:y val="0.15982286556087891"/>
          <c:w val="0.20129908500342325"/>
          <c:h val="0.1408392888480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>
                <a:solidFill>
                  <a:schemeClr val="tx1"/>
                </a:solidFill>
              </a:rPr>
              <a:t>Esco No. 40</a:t>
            </a:r>
          </a:p>
        </c:rich>
      </c:tx>
      <c:layout>
        <c:manualLayout>
          <c:xMode val="edge"/>
          <c:yMode val="edge"/>
          <c:x val="0.4590315790799005"/>
          <c:y val="6.710817710217824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214847976262774E-2"/>
          <c:y val="3.8852102532840035E-2"/>
          <c:w val="0.84012515535547161"/>
          <c:h val="0.914972576867786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'Variation in Al conc (1)'!$F$2</c:f>
              <c:strCache>
                <c:ptCount val="1"/>
                <c:pt idx="0">
                  <c:v>Total Al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'Variation in Al conc (1)'!$A$3:$A$7</c:f>
              <c:numCache>
                <c:formatCode>General</c:formatCode>
                <c:ptCount val="5"/>
                <c:pt idx="0">
                  <c:v>0</c:v>
                </c:pt>
                <c:pt idx="1">
                  <c:v>7.62</c:v>
                </c:pt>
                <c:pt idx="2">
                  <c:v>15.24</c:v>
                </c:pt>
                <c:pt idx="3">
                  <c:v>22.86</c:v>
                </c:pt>
                <c:pt idx="4">
                  <c:v>30.48</c:v>
                </c:pt>
              </c:numCache>
            </c:numRef>
          </c:cat>
          <c:val>
            <c:numRef>
              <c:f>'Variation in Al conc (1)'!$F$3:$F$7</c:f>
              <c:numCache>
                <c:formatCode>0.00</c:formatCode>
                <c:ptCount val="5"/>
                <c:pt idx="0">
                  <c:v>0.51</c:v>
                </c:pt>
                <c:pt idx="1">
                  <c:v>0.41199999999999998</c:v>
                </c:pt>
                <c:pt idx="2">
                  <c:v>1.081</c:v>
                </c:pt>
                <c:pt idx="3">
                  <c:v>0.50900000000000001</c:v>
                </c:pt>
                <c:pt idx="4">
                  <c:v>0.47299999999999998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F-43BD-A58E-57209E040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5390928"/>
        <c:axId val="1749228080"/>
      </c:barChart>
      <c:lineChart>
        <c:grouping val="standard"/>
        <c:varyColors val="0"/>
        <c:ser>
          <c:idx val="1"/>
          <c:order val="1"/>
          <c:tx>
            <c:strRef>
              <c:f>'Variation in Al conc (1)'!$G$2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'Variation in Al conc (1)'!$G$3:$G$7</c:f>
              <c:numCache>
                <c:formatCode>0.0</c:formatCode>
                <c:ptCount val="5"/>
                <c:pt idx="0">
                  <c:v>0.36575999999999997</c:v>
                </c:pt>
                <c:pt idx="1">
                  <c:v>0.24384</c:v>
                </c:pt>
                <c:pt idx="2">
                  <c:v>0.21335999999999999</c:v>
                </c:pt>
                <c:pt idx="3">
                  <c:v>3.048E-2</c:v>
                </c:pt>
                <c:pt idx="4">
                  <c:v>0.24384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0F-43BD-A58E-57209E040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219104"/>
        <c:axId val="313217440"/>
      </c:lineChart>
      <c:catAx>
        <c:axId val="1615390928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228080"/>
        <c:crosses val="autoZero"/>
        <c:auto val="1"/>
        <c:lblAlgn val="ctr"/>
        <c:lblOffset val="100"/>
        <c:noMultiLvlLbl val="1"/>
      </c:catAx>
      <c:valAx>
        <c:axId val="1749228080"/>
        <c:scaling>
          <c:orientation val="minMax"/>
          <c:max val="1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Iron</a:t>
                </a:r>
                <a:r>
                  <a:rPr lang="en-US" baseline="0">
                    <a:solidFill>
                      <a:schemeClr val="tx1"/>
                    </a:solidFill>
                  </a:rPr>
                  <a:t> Concentration (mg/L)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390928"/>
        <c:crosses val="autoZero"/>
        <c:crossBetween val="between"/>
      </c:valAx>
      <c:valAx>
        <c:axId val="313217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Velocity (ft/s)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19104"/>
        <c:crosses val="max"/>
        <c:crossBetween val="between"/>
      </c:valAx>
      <c:catAx>
        <c:axId val="31321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21744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3093031316522375"/>
          <c:y val="0.15982286556087891"/>
          <c:w val="0.20129908500342325"/>
          <c:h val="0.1408392888480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>
                <a:solidFill>
                  <a:schemeClr val="tx1"/>
                </a:solidFill>
              </a:rPr>
              <a:t>Esco No. 40</a:t>
            </a:r>
          </a:p>
        </c:rich>
      </c:tx>
      <c:layout>
        <c:manualLayout>
          <c:xMode val="edge"/>
          <c:yMode val="edge"/>
          <c:x val="0.4590315790799005"/>
          <c:y val="6.710817710217824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4996316001493"/>
          <c:y val="3.8852102532840035E-2"/>
          <c:w val="0.77219817824708459"/>
          <c:h val="0.914972576867786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'Variations in SO4 (1)'!$F$2</c:f>
              <c:strCache>
                <c:ptCount val="1"/>
                <c:pt idx="0">
                  <c:v>Total SO4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'Variations in SO4 (1)'!$A$3:$A$7</c:f>
              <c:numCache>
                <c:formatCode>General</c:formatCode>
                <c:ptCount val="5"/>
                <c:pt idx="0">
                  <c:v>0</c:v>
                </c:pt>
                <c:pt idx="1">
                  <c:v>7.62</c:v>
                </c:pt>
                <c:pt idx="2">
                  <c:v>15.24</c:v>
                </c:pt>
                <c:pt idx="3">
                  <c:v>22.86</c:v>
                </c:pt>
                <c:pt idx="4">
                  <c:v>30.48</c:v>
                </c:pt>
              </c:numCache>
            </c:numRef>
          </c:cat>
          <c:val>
            <c:numRef>
              <c:f>'Variations in SO4 (1)'!$F$3:$F$7</c:f>
              <c:numCache>
                <c:formatCode>0.0</c:formatCode>
                <c:ptCount val="5"/>
                <c:pt idx="0">
                  <c:v>280</c:v>
                </c:pt>
                <c:pt idx="1">
                  <c:v>363.4535020080321</c:v>
                </c:pt>
                <c:pt idx="2">
                  <c:v>389.53770643482</c:v>
                </c:pt>
                <c:pt idx="3">
                  <c:v>372.68581467600887</c:v>
                </c:pt>
                <c:pt idx="4">
                  <c:v>315.04432426116841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A-4F7B-85FF-F32A4DD4E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5390928"/>
        <c:axId val="1749228080"/>
      </c:barChart>
      <c:lineChart>
        <c:grouping val="standard"/>
        <c:varyColors val="0"/>
        <c:ser>
          <c:idx val="1"/>
          <c:order val="1"/>
          <c:tx>
            <c:strRef>
              <c:f>'Variations in SO4 (1)'!$G$2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'Variations in SO4 (1)'!$G$3:$G$7</c:f>
              <c:numCache>
                <c:formatCode>0.0</c:formatCode>
                <c:ptCount val="5"/>
                <c:pt idx="0">
                  <c:v>0.36575999999999997</c:v>
                </c:pt>
                <c:pt idx="1">
                  <c:v>0.24384</c:v>
                </c:pt>
                <c:pt idx="2">
                  <c:v>0.21335999999999999</c:v>
                </c:pt>
                <c:pt idx="3">
                  <c:v>3.048E-2</c:v>
                </c:pt>
                <c:pt idx="4">
                  <c:v>0.24384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AA-4F7B-85FF-F32A4DD4E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219104"/>
        <c:axId val="313217440"/>
      </c:lineChart>
      <c:catAx>
        <c:axId val="1615390928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228080"/>
        <c:crosses val="autoZero"/>
        <c:auto val="1"/>
        <c:lblAlgn val="ctr"/>
        <c:lblOffset val="100"/>
        <c:noMultiLvlLbl val="1"/>
      </c:catAx>
      <c:valAx>
        <c:axId val="1749228080"/>
        <c:scaling>
          <c:orientation val="minMax"/>
          <c:max val="450"/>
          <c:min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SO4</a:t>
                </a:r>
                <a:r>
                  <a:rPr lang="en-US" baseline="0">
                    <a:solidFill>
                      <a:schemeClr val="tx1"/>
                    </a:solidFill>
                  </a:rPr>
                  <a:t> Concentration (mg/L)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390928"/>
        <c:crosses val="autoZero"/>
        <c:crossBetween val="between"/>
      </c:valAx>
      <c:valAx>
        <c:axId val="313217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19104"/>
        <c:crosses val="max"/>
        <c:crossBetween val="between"/>
      </c:valAx>
      <c:catAx>
        <c:axId val="31321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217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003007729091479"/>
          <c:y val="9.2714688458700664E-2"/>
          <c:w val="0.20129908500342325"/>
          <c:h val="0.1408392888480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>
                <a:solidFill>
                  <a:schemeClr val="tx1"/>
                </a:solidFill>
              </a:rPr>
              <a:t>Sines No. 2</a:t>
            </a:r>
          </a:p>
        </c:rich>
      </c:tx>
      <c:layout>
        <c:manualLayout>
          <c:xMode val="edge"/>
          <c:yMode val="edge"/>
          <c:x val="0.45403470245566979"/>
          <c:y val="6.004415845984369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214847976262774E-2"/>
          <c:y val="3.8852102532840035E-2"/>
          <c:w val="0.84012515535547161"/>
          <c:h val="0.8549284184079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'Variation in Al conc (1)'!$D$2</c:f>
              <c:strCache>
                <c:ptCount val="1"/>
                <c:pt idx="0">
                  <c:v>Total Al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'Variation in Al conc (1)'!$A$3:$A$7</c:f>
              <c:numCache>
                <c:formatCode>General</c:formatCode>
                <c:ptCount val="5"/>
                <c:pt idx="0">
                  <c:v>0</c:v>
                </c:pt>
                <c:pt idx="1">
                  <c:v>7.62</c:v>
                </c:pt>
                <c:pt idx="2">
                  <c:v>15.24</c:v>
                </c:pt>
                <c:pt idx="3">
                  <c:v>22.86</c:v>
                </c:pt>
                <c:pt idx="4">
                  <c:v>30.48</c:v>
                </c:pt>
              </c:numCache>
            </c:numRef>
          </c:cat>
          <c:val>
            <c:numRef>
              <c:f>'Variation in Al conc (1)'!$D$3:$D$7</c:f>
              <c:numCache>
                <c:formatCode>0.00</c:formatCode>
                <c:ptCount val="5"/>
                <c:pt idx="0">
                  <c:v>50.8043201714068</c:v>
                </c:pt>
                <c:pt idx="1">
                  <c:v>50.414718984087202</c:v>
                </c:pt>
                <c:pt idx="2">
                  <c:v>48.9178257660745</c:v>
                </c:pt>
                <c:pt idx="3">
                  <c:v>48.775438885627004</c:v>
                </c:pt>
                <c:pt idx="4">
                  <c:v>48.124751574430796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1-4E11-9F66-2A54EBBDB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5390928"/>
        <c:axId val="1749228080"/>
      </c:barChart>
      <c:lineChart>
        <c:grouping val="standard"/>
        <c:varyColors val="0"/>
        <c:ser>
          <c:idx val="1"/>
          <c:order val="1"/>
          <c:tx>
            <c:strRef>
              <c:f>'Variation in Al conc (1)'!$E$2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'Variation in Al conc (1)'!$E$3:$E$7</c:f>
              <c:numCache>
                <c:formatCode>0.000</c:formatCode>
                <c:ptCount val="5"/>
                <c:pt idx="0">
                  <c:v>3.0479999999999999E-3</c:v>
                </c:pt>
                <c:pt idx="1">
                  <c:v>6.0959999999999999E-3</c:v>
                </c:pt>
                <c:pt idx="2">
                  <c:v>6.0959999999999999E-3</c:v>
                </c:pt>
                <c:pt idx="3">
                  <c:v>6.0959999999999999E-3</c:v>
                </c:pt>
                <c:pt idx="4">
                  <c:v>9.1439999999999994E-3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51-4E11-9F66-2A54EBBDB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219104"/>
        <c:axId val="313217440"/>
      </c:lineChart>
      <c:catAx>
        <c:axId val="161539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Distance from mine</a:t>
                </a:r>
                <a:r>
                  <a:rPr lang="en-US" baseline="0">
                    <a:solidFill>
                      <a:schemeClr val="tx1"/>
                    </a:solidFill>
                  </a:rPr>
                  <a:t> opening (m)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228080"/>
        <c:crosses val="autoZero"/>
        <c:auto val="1"/>
        <c:lblAlgn val="ctr"/>
        <c:lblOffset val="100"/>
        <c:noMultiLvlLbl val="1"/>
      </c:catAx>
      <c:valAx>
        <c:axId val="1749228080"/>
        <c:scaling>
          <c:orientation val="minMax"/>
          <c:max val="5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Iron</a:t>
                </a:r>
                <a:r>
                  <a:rPr lang="en-US" baseline="0">
                    <a:solidFill>
                      <a:schemeClr val="tx1"/>
                    </a:solidFill>
                  </a:rPr>
                  <a:t> Concentration (mg/L)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390928"/>
        <c:crosses val="autoZero"/>
        <c:crossBetween val="between"/>
      </c:valAx>
      <c:valAx>
        <c:axId val="313217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Velocity (ft/s)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19104"/>
        <c:crosses val="max"/>
        <c:crossBetween val="between"/>
      </c:valAx>
      <c:catAx>
        <c:axId val="31321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21744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4233983403812034"/>
          <c:y val="5.0330576604693346E-2"/>
          <c:w val="0.20129908500342325"/>
          <c:h val="9.4923167672825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>
                <a:solidFill>
                  <a:schemeClr val="tx1"/>
                </a:solidFill>
              </a:rPr>
              <a:t>York Clay and Mining No. 4</a:t>
            </a:r>
          </a:p>
        </c:rich>
      </c:tx>
      <c:layout>
        <c:manualLayout>
          <c:xMode val="edge"/>
          <c:yMode val="edge"/>
          <c:x val="0.40406593621336173"/>
          <c:y val="6.004415845984369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214847976262774E-2"/>
          <c:y val="3.8852102532840035E-2"/>
          <c:w val="0.84012515535547161"/>
          <c:h val="0.914972576867786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'Variation in Al conc (1)'!$B$2</c:f>
              <c:strCache>
                <c:ptCount val="1"/>
                <c:pt idx="0">
                  <c:v>Total Al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'Variation in Al conc (1)'!$A$3:$A$7</c:f>
              <c:numCache>
                <c:formatCode>General</c:formatCode>
                <c:ptCount val="5"/>
                <c:pt idx="0">
                  <c:v>0</c:v>
                </c:pt>
                <c:pt idx="1">
                  <c:v>7.62</c:v>
                </c:pt>
                <c:pt idx="2">
                  <c:v>15.24</c:v>
                </c:pt>
                <c:pt idx="3">
                  <c:v>22.86</c:v>
                </c:pt>
                <c:pt idx="4">
                  <c:v>30.48</c:v>
                </c:pt>
              </c:numCache>
            </c:numRef>
          </c:cat>
          <c:val>
            <c:numRef>
              <c:f>'Variation in Al conc (1)'!$B$3:$B$7</c:f>
              <c:numCache>
                <c:formatCode>0.00</c:formatCode>
                <c:ptCount val="5"/>
                <c:pt idx="0">
                  <c:v>3.9895641160177902</c:v>
                </c:pt>
                <c:pt idx="1">
                  <c:v>10.3516359196975</c:v>
                </c:pt>
                <c:pt idx="2">
                  <c:v>7.1855290919649599</c:v>
                </c:pt>
                <c:pt idx="3">
                  <c:v>8.3798176244601308</c:v>
                </c:pt>
                <c:pt idx="4">
                  <c:v>7.1615385833197793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C-416C-BB03-39D4E5626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5390928"/>
        <c:axId val="1749228080"/>
      </c:barChart>
      <c:lineChart>
        <c:grouping val="standard"/>
        <c:varyColors val="0"/>
        <c:ser>
          <c:idx val="1"/>
          <c:order val="1"/>
          <c:tx>
            <c:strRef>
              <c:f>'Variation in Al conc (1)'!$C$2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'Variation in Al conc (1)'!$C$3:$C$7</c:f>
              <c:numCache>
                <c:formatCode>0.000</c:formatCode>
                <c:ptCount val="5"/>
                <c:pt idx="0">
                  <c:v>3.0479999999999999E-3</c:v>
                </c:pt>
                <c:pt idx="1">
                  <c:v>3.0479999999999999E-3</c:v>
                </c:pt>
                <c:pt idx="2">
                  <c:v>6.0959999999999999E-3</c:v>
                </c:pt>
                <c:pt idx="3">
                  <c:v>9.1439999999999994E-3</c:v>
                </c:pt>
                <c:pt idx="4">
                  <c:v>6.0959999999999999E-3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C-416C-BB03-39D4E5626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219104"/>
        <c:axId val="313217440"/>
      </c:lineChart>
      <c:catAx>
        <c:axId val="1615390928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228080"/>
        <c:crosses val="autoZero"/>
        <c:auto val="1"/>
        <c:lblAlgn val="ctr"/>
        <c:lblOffset val="100"/>
        <c:noMultiLvlLbl val="1"/>
      </c:catAx>
      <c:valAx>
        <c:axId val="1749228080"/>
        <c:scaling>
          <c:orientation val="minMax"/>
          <c:max val="1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Iron</a:t>
                </a:r>
                <a:r>
                  <a:rPr lang="en-US" baseline="0">
                    <a:solidFill>
                      <a:schemeClr val="tx1"/>
                    </a:solidFill>
                  </a:rPr>
                  <a:t> Concentration (mg/L)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390928"/>
        <c:crosses val="autoZero"/>
        <c:crossBetween val="between"/>
      </c:valAx>
      <c:valAx>
        <c:axId val="313217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Velocity (ft/s)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19104"/>
        <c:crosses val="max"/>
        <c:crossBetween val="between"/>
      </c:valAx>
      <c:catAx>
        <c:axId val="31321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217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951385636510933"/>
          <c:y val="6.7990623210529733E-2"/>
          <c:w val="0.20129908500342325"/>
          <c:h val="0.1408392888480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Al</a:t>
            </a:r>
          </a:p>
        </c:rich>
      </c:tx>
      <c:layout>
        <c:manualLayout>
          <c:xMode val="edge"/>
          <c:yMode val="edge"/>
          <c:x val="9.7879100322745979E-2"/>
          <c:y val="3.4767497153582273E-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174665489406225E-2"/>
          <c:y val="3.8244246868940499E-2"/>
          <c:w val="0.88845429805351217"/>
          <c:h val="0.85372136780261476"/>
        </c:manualLayout>
      </c:layout>
      <c:scatterChart>
        <c:scatterStyle val="lineMarker"/>
        <c:varyColors val="0"/>
        <c:ser>
          <c:idx val="0"/>
          <c:order val="0"/>
          <c:tx>
            <c:strRef>
              <c:f>'Variations in Al conc'!$C$2</c:f>
              <c:strCache>
                <c:ptCount val="1"/>
                <c:pt idx="0">
                  <c:v>York Clay and Mining No. 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'Variations in Al conc'!$B$3:$B$7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'Variations in Al conc'!$C$3:$C$7</c:f>
              <c:numCache>
                <c:formatCode>0.000</c:formatCode>
                <c:ptCount val="5"/>
                <c:pt idx="0">
                  <c:v>0.252</c:v>
                </c:pt>
                <c:pt idx="1">
                  <c:v>0.7</c:v>
                </c:pt>
                <c:pt idx="2">
                  <c:v>0.73199999999999998</c:v>
                </c:pt>
                <c:pt idx="3">
                  <c:v>0.115</c:v>
                </c:pt>
                <c:pt idx="4">
                  <c:v>1.0009999999999999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DD-417C-9CC5-CA8B9AC4390F}"/>
            </c:ext>
          </c:extLst>
        </c:ser>
        <c:ser>
          <c:idx val="1"/>
          <c:order val="1"/>
          <c:tx>
            <c:strRef>
              <c:f>'Variations in Al conc'!$D$2</c:f>
              <c:strCache>
                <c:ptCount val="1"/>
                <c:pt idx="0">
                  <c:v>Sines No.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'Variations in Al conc'!$B$3:$B$7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'Variations in Al conc'!$D$3:$D$7</c:f>
              <c:numCache>
                <c:formatCode>0.000</c:formatCode>
                <c:ptCount val="5"/>
                <c:pt idx="0">
                  <c:v>3.036</c:v>
                </c:pt>
                <c:pt idx="1">
                  <c:v>2.4279999999999999</c:v>
                </c:pt>
                <c:pt idx="2">
                  <c:v>2.0720000000000001</c:v>
                </c:pt>
                <c:pt idx="3">
                  <c:v>3.496</c:v>
                </c:pt>
                <c:pt idx="4">
                  <c:v>2.028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DD-417C-9CC5-CA8B9AC4390F}"/>
            </c:ext>
          </c:extLst>
        </c:ser>
        <c:ser>
          <c:idx val="2"/>
          <c:order val="2"/>
          <c:tx>
            <c:strRef>
              <c:f>'Variations in Al conc'!$E$2</c:f>
              <c:strCache>
                <c:ptCount val="1"/>
                <c:pt idx="0">
                  <c:v>Esco No. 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'Variations in Al conc'!$B$3:$B$7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'Variations in Al conc'!$E$3:$E$7</c:f>
              <c:numCache>
                <c:formatCode>0.0</c:formatCode>
                <c:ptCount val="5"/>
                <c:pt idx="0">
                  <c:v>5.0999999999999997E-2</c:v>
                </c:pt>
                <c:pt idx="1">
                  <c:v>0.56100000000000005</c:v>
                </c:pt>
                <c:pt idx="2">
                  <c:v>1.081</c:v>
                </c:pt>
                <c:pt idx="3">
                  <c:v>0.314</c:v>
                </c:pt>
                <c:pt idx="4">
                  <c:v>0.33100000000000002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DD-417C-9CC5-CA8B9AC4390F}"/>
            </c:ext>
          </c:extLst>
        </c:ser>
        <c:ser>
          <c:idx val="3"/>
          <c:order val="3"/>
          <c:tx>
            <c:strRef>
              <c:f>'Variations in Al conc'!$F$2</c:f>
              <c:strCache>
                <c:ptCount val="1"/>
                <c:pt idx="0">
                  <c:v>Sunday Creek No. 9 and 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'Variations in Al conc'!$B$3:$B$7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'Variations in Al conc'!$F$3:$F$7</c:f>
              <c:numCache>
                <c:formatCode>0.0</c:formatCode>
                <c:ptCount val="5"/>
                <c:pt idx="0">
                  <c:v>0.69399999999999995</c:v>
                </c:pt>
                <c:pt idx="1">
                  <c:v>0.47799999999999998</c:v>
                </c:pt>
                <c:pt idx="2">
                  <c:v>0.21199999999999999</c:v>
                </c:pt>
                <c:pt idx="3">
                  <c:v>0.23400000000000001</c:v>
                </c:pt>
                <c:pt idx="4">
                  <c:v>1.7999999999999999E-2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DD-417C-9CC5-CA8B9AC43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36960"/>
        <c:axId val="1758020560"/>
      </c:scatterChart>
      <c:valAx>
        <c:axId val="1615236960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Distance from mine opening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020560"/>
        <c:crosses val="autoZero"/>
        <c:crossBetween val="midCat"/>
      </c:valAx>
      <c:valAx>
        <c:axId val="1758020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Al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3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045554733951067"/>
          <c:y val="0.43024722975594043"/>
          <c:w val="0.32602768783288794"/>
          <c:h val="0.218601048992878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>
                <a:solidFill>
                  <a:schemeClr val="tx1"/>
                </a:solidFill>
              </a:rPr>
              <a:t>Sunday Creek No. 9</a:t>
            </a:r>
            <a:r>
              <a:rPr lang="en-US" sz="1100" b="0" baseline="0">
                <a:solidFill>
                  <a:schemeClr val="tx1"/>
                </a:solidFill>
              </a:rPr>
              <a:t> and 12</a:t>
            </a:r>
            <a:endParaRPr lang="en-US" sz="1100" b="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9420779373732667"/>
          <c:y val="5.65005531388934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06618465077153"/>
          <c:y val="3.8852102532840035E-2"/>
          <c:w val="0.77054142254523583"/>
          <c:h val="0.904213418753168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'Variation in Mn conc (2)'!$H$2</c:f>
              <c:strCache>
                <c:ptCount val="1"/>
                <c:pt idx="0">
                  <c:v>Total Mn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'Variation in Mn conc (2)'!$A$3:$A$7</c:f>
              <c:numCache>
                <c:formatCode>General</c:formatCode>
                <c:ptCount val="5"/>
                <c:pt idx="0">
                  <c:v>0</c:v>
                </c:pt>
                <c:pt idx="1">
                  <c:v>7.62</c:v>
                </c:pt>
                <c:pt idx="2">
                  <c:v>15.24</c:v>
                </c:pt>
                <c:pt idx="3">
                  <c:v>22.86</c:v>
                </c:pt>
                <c:pt idx="4">
                  <c:v>30.48</c:v>
                </c:pt>
              </c:numCache>
            </c:numRef>
          </c:cat>
          <c:val>
            <c:numRef>
              <c:f>'Variation in Mn conc (2)'!$H$3:$H$7</c:f>
              <c:numCache>
                <c:formatCode>0.0</c:formatCode>
                <c:ptCount val="5"/>
                <c:pt idx="0">
                  <c:v>1</c:v>
                </c:pt>
                <c:pt idx="1">
                  <c:v>0.9</c:v>
                </c:pt>
                <c:pt idx="2">
                  <c:v>1.2</c:v>
                </c:pt>
                <c:pt idx="3">
                  <c:v>0.6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E8-46C9-9ADA-4CFF8E1EA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5390928"/>
        <c:axId val="1749228080"/>
      </c:barChart>
      <c:lineChart>
        <c:grouping val="standard"/>
        <c:varyColors val="0"/>
        <c:ser>
          <c:idx val="1"/>
          <c:order val="1"/>
          <c:tx>
            <c:strRef>
              <c:f>'Variation in Mn conc (2)'!$I$2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'Variation in Mn conc (2)'!$A$3:$A$7</c:f>
              <c:numCache>
                <c:formatCode>General</c:formatCode>
                <c:ptCount val="5"/>
                <c:pt idx="0">
                  <c:v>0</c:v>
                </c:pt>
                <c:pt idx="1">
                  <c:v>7.62</c:v>
                </c:pt>
                <c:pt idx="2">
                  <c:v>15.24</c:v>
                </c:pt>
                <c:pt idx="3">
                  <c:v>22.86</c:v>
                </c:pt>
                <c:pt idx="4">
                  <c:v>30.48</c:v>
                </c:pt>
              </c:numCache>
            </c:numRef>
          </c:cat>
          <c:val>
            <c:numRef>
              <c:f>'Variation in Mn conc (2)'!$I$3:$I$7</c:f>
              <c:numCache>
                <c:formatCode>General</c:formatCode>
                <c:ptCount val="5"/>
                <c:pt idx="0">
                  <c:v>3.3528000000000002E-2</c:v>
                </c:pt>
                <c:pt idx="1">
                  <c:v>3.6575999999999997E-2</c:v>
                </c:pt>
                <c:pt idx="2">
                  <c:v>5.7911999999999998E-2</c:v>
                </c:pt>
                <c:pt idx="3">
                  <c:v>7.0104E-2</c:v>
                </c:pt>
                <c:pt idx="4">
                  <c:v>5.4864000000000003E-2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8-46C9-9ADA-4CFF8E1EA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219104"/>
        <c:axId val="313217440"/>
      </c:lineChart>
      <c:catAx>
        <c:axId val="1615390928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228080"/>
        <c:crosses val="autoZero"/>
        <c:auto val="1"/>
        <c:lblAlgn val="ctr"/>
        <c:lblOffset val="100"/>
        <c:noMultiLvlLbl val="1"/>
      </c:catAx>
      <c:valAx>
        <c:axId val="1749228080"/>
        <c:scaling>
          <c:orientation val="minMax"/>
          <c:max val="1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Mn</a:t>
                </a:r>
                <a:r>
                  <a:rPr lang="en-US" baseline="0">
                    <a:solidFill>
                      <a:schemeClr val="tx1"/>
                    </a:solidFill>
                  </a:rPr>
                  <a:t> Concentration (mg/L)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390928"/>
        <c:crosses val="autoZero"/>
        <c:crossBetween val="between"/>
      </c:valAx>
      <c:valAx>
        <c:axId val="313217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19104"/>
        <c:crosses val="max"/>
        <c:crossBetween val="between"/>
      </c:valAx>
      <c:catAx>
        <c:axId val="31321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21744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3093031316522375"/>
          <c:y val="0.15982286556087891"/>
          <c:w val="0.20129908500342325"/>
          <c:h val="0.1408392888480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>
                <a:solidFill>
                  <a:schemeClr val="tx1"/>
                </a:solidFill>
              </a:rPr>
              <a:t>Esco No. 40</a:t>
            </a:r>
          </a:p>
        </c:rich>
      </c:tx>
      <c:layout>
        <c:manualLayout>
          <c:xMode val="edge"/>
          <c:yMode val="edge"/>
          <c:x val="0.4590315790799005"/>
          <c:y val="6.710817710217824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4996316001493"/>
          <c:y val="3.8852102532840035E-2"/>
          <c:w val="0.77219817824708459"/>
          <c:h val="0.914972576867786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'Variation in Mn conc (2)'!$F$2</c:f>
              <c:strCache>
                <c:ptCount val="1"/>
                <c:pt idx="0">
                  <c:v>Total Mn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'Variation in Mn conc (2)'!$A$3:$A$7</c:f>
              <c:numCache>
                <c:formatCode>General</c:formatCode>
                <c:ptCount val="5"/>
                <c:pt idx="0">
                  <c:v>0</c:v>
                </c:pt>
                <c:pt idx="1">
                  <c:v>7.62</c:v>
                </c:pt>
                <c:pt idx="2">
                  <c:v>15.24</c:v>
                </c:pt>
                <c:pt idx="3">
                  <c:v>22.86</c:v>
                </c:pt>
                <c:pt idx="4">
                  <c:v>30.48</c:v>
                </c:pt>
              </c:numCache>
            </c:numRef>
          </c:cat>
          <c:val>
            <c:numRef>
              <c:f>'Variation in Mn conc (2)'!$F$3:$F$7</c:f>
              <c:numCache>
                <c:formatCode>0.0</c:formatCode>
                <c:ptCount val="5"/>
                <c:pt idx="0">
                  <c:v>0.4</c:v>
                </c:pt>
                <c:pt idx="1">
                  <c:v>2.2000000000000002</c:v>
                </c:pt>
                <c:pt idx="2">
                  <c:v>0.6</c:v>
                </c:pt>
                <c:pt idx="3">
                  <c:v>2.6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12-4EB2-B02D-53C68E610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5390928"/>
        <c:axId val="1749228080"/>
      </c:barChart>
      <c:lineChart>
        <c:grouping val="standard"/>
        <c:varyColors val="0"/>
        <c:ser>
          <c:idx val="1"/>
          <c:order val="1"/>
          <c:tx>
            <c:strRef>
              <c:f>'Variation in Mn conc (2)'!$G$2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'Variation in Mn conc (2)'!$G$3:$G$7</c:f>
              <c:numCache>
                <c:formatCode>0.0</c:formatCode>
                <c:ptCount val="5"/>
                <c:pt idx="0">
                  <c:v>0.36575999999999997</c:v>
                </c:pt>
                <c:pt idx="1">
                  <c:v>0.24384</c:v>
                </c:pt>
                <c:pt idx="2">
                  <c:v>0.21335999999999999</c:v>
                </c:pt>
                <c:pt idx="3">
                  <c:v>3.048E-2</c:v>
                </c:pt>
                <c:pt idx="4">
                  <c:v>0.24384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12-4EB2-B02D-53C68E610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219104"/>
        <c:axId val="313217440"/>
      </c:lineChart>
      <c:catAx>
        <c:axId val="1615390928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228080"/>
        <c:crosses val="autoZero"/>
        <c:auto val="1"/>
        <c:lblAlgn val="ctr"/>
        <c:lblOffset val="100"/>
        <c:noMultiLvlLbl val="1"/>
      </c:catAx>
      <c:valAx>
        <c:axId val="1749228080"/>
        <c:scaling>
          <c:orientation val="minMax"/>
          <c:max val="3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Mn</a:t>
                </a:r>
                <a:r>
                  <a:rPr lang="en-US" baseline="0">
                    <a:solidFill>
                      <a:schemeClr val="tx1"/>
                    </a:solidFill>
                  </a:rPr>
                  <a:t> Concentration (mg/L)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390928"/>
        <c:crosses val="autoZero"/>
        <c:crossBetween val="between"/>
      </c:valAx>
      <c:valAx>
        <c:axId val="313217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19104"/>
        <c:crosses val="max"/>
        <c:crossBetween val="between"/>
      </c:valAx>
      <c:catAx>
        <c:axId val="31321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21744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6003007729091479"/>
          <c:y val="9.2714688458700664E-2"/>
          <c:w val="0.20129908500342325"/>
          <c:h val="0.1408392888480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>
                <a:solidFill>
                  <a:schemeClr val="tx1"/>
                </a:solidFill>
              </a:rPr>
              <a:t>Sines No. 2</a:t>
            </a:r>
          </a:p>
        </c:rich>
      </c:tx>
      <c:layout>
        <c:manualLayout>
          <c:xMode val="edge"/>
          <c:yMode val="edge"/>
          <c:x val="0.45403470245566979"/>
          <c:y val="6.004415845984369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4996316001496"/>
          <c:y val="3.8852102532840035E-2"/>
          <c:w val="0.77716844535263063"/>
          <c:h val="0.8549284184079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'Variation in Mn conc (2)'!$D$2</c:f>
              <c:strCache>
                <c:ptCount val="1"/>
                <c:pt idx="0">
                  <c:v>Total Mn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'Variation in Mn conc (2)'!$A$3:$A$7</c:f>
              <c:numCache>
                <c:formatCode>General</c:formatCode>
                <c:ptCount val="5"/>
                <c:pt idx="0">
                  <c:v>0</c:v>
                </c:pt>
                <c:pt idx="1">
                  <c:v>7.62</c:v>
                </c:pt>
                <c:pt idx="2">
                  <c:v>15.24</c:v>
                </c:pt>
                <c:pt idx="3">
                  <c:v>22.86</c:v>
                </c:pt>
                <c:pt idx="4">
                  <c:v>30.48</c:v>
                </c:pt>
              </c:numCache>
            </c:numRef>
          </c:cat>
          <c:val>
            <c:numRef>
              <c:f>'Variation in Mn conc (2)'!$D$3:$D$7</c:f>
              <c:numCache>
                <c:formatCode>0.000</c:formatCode>
                <c:ptCount val="5"/>
                <c:pt idx="0">
                  <c:v>4.2</c:v>
                </c:pt>
                <c:pt idx="1">
                  <c:v>1.5</c:v>
                </c:pt>
                <c:pt idx="2">
                  <c:v>1.4</c:v>
                </c:pt>
                <c:pt idx="3">
                  <c:v>0.6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6-42C6-92C5-320BBD9CC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5390928"/>
        <c:axId val="1749228080"/>
      </c:barChart>
      <c:lineChart>
        <c:grouping val="standard"/>
        <c:varyColors val="0"/>
        <c:ser>
          <c:idx val="1"/>
          <c:order val="1"/>
          <c:tx>
            <c:strRef>
              <c:f>'Variation in Mn conc (2)'!$E$2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'Variation in Mn conc (2)'!$E$3:$E$7</c:f>
              <c:numCache>
                <c:formatCode>0.000</c:formatCode>
                <c:ptCount val="5"/>
                <c:pt idx="0">
                  <c:v>3.0479999999999999E-3</c:v>
                </c:pt>
                <c:pt idx="1">
                  <c:v>6.0959999999999999E-3</c:v>
                </c:pt>
                <c:pt idx="2">
                  <c:v>6.0959999999999999E-3</c:v>
                </c:pt>
                <c:pt idx="3">
                  <c:v>6.0959999999999999E-3</c:v>
                </c:pt>
                <c:pt idx="4">
                  <c:v>9.1439999999999994E-3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6-42C6-92C5-320BBD9CC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219104"/>
        <c:axId val="313217440"/>
      </c:lineChart>
      <c:catAx>
        <c:axId val="161539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Distance from mine</a:t>
                </a:r>
                <a:r>
                  <a:rPr lang="en-US" baseline="0">
                    <a:solidFill>
                      <a:schemeClr val="tx1"/>
                    </a:solidFill>
                  </a:rPr>
                  <a:t> opening (m)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228080"/>
        <c:crosses val="autoZero"/>
        <c:auto val="1"/>
        <c:lblAlgn val="ctr"/>
        <c:lblOffset val="100"/>
        <c:noMultiLvlLbl val="1"/>
      </c:catAx>
      <c:valAx>
        <c:axId val="1749228080"/>
        <c:scaling>
          <c:orientation val="minMax"/>
          <c:max val="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Mn</a:t>
                </a:r>
                <a:r>
                  <a:rPr lang="en-US" baseline="0">
                    <a:solidFill>
                      <a:schemeClr val="tx1"/>
                    </a:solidFill>
                  </a:rPr>
                  <a:t> Concentration (mg/L)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390928"/>
        <c:crosses val="autoZero"/>
        <c:crossBetween val="between"/>
      </c:valAx>
      <c:valAx>
        <c:axId val="313217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19104"/>
        <c:crosses val="max"/>
        <c:crossBetween val="between"/>
      </c:valAx>
      <c:catAx>
        <c:axId val="31321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21744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6884793122089581"/>
          <c:y val="0.4388516019330938"/>
          <c:w val="0.20129908500342325"/>
          <c:h val="9.4923167672825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>
                <a:solidFill>
                  <a:schemeClr val="tx1"/>
                </a:solidFill>
              </a:rPr>
              <a:t>York Clay and Mining No. 4</a:t>
            </a:r>
          </a:p>
        </c:rich>
      </c:tx>
      <c:layout>
        <c:manualLayout>
          <c:xMode val="edge"/>
          <c:yMode val="edge"/>
          <c:x val="0.40406593621336173"/>
          <c:y val="6.004415845984369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66347456371228"/>
          <c:y val="3.8852102532840035E-2"/>
          <c:w val="0.77385493394893323"/>
          <c:h val="0.914972576867786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'Variation in Mn conc (2)'!$B$2</c:f>
              <c:strCache>
                <c:ptCount val="1"/>
                <c:pt idx="0">
                  <c:v>Total Mn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'Variation in Mn conc (2)'!$A$3:$A$7</c:f>
              <c:numCache>
                <c:formatCode>General</c:formatCode>
                <c:ptCount val="5"/>
                <c:pt idx="0">
                  <c:v>0</c:v>
                </c:pt>
                <c:pt idx="1">
                  <c:v>7.62</c:v>
                </c:pt>
                <c:pt idx="2">
                  <c:v>15.24</c:v>
                </c:pt>
                <c:pt idx="3">
                  <c:v>22.86</c:v>
                </c:pt>
                <c:pt idx="4">
                  <c:v>30.48</c:v>
                </c:pt>
              </c:numCache>
            </c:numRef>
          </c:cat>
          <c:val>
            <c:numRef>
              <c:f>'Variation in Mn conc (2)'!$B$3:$B$7</c:f>
              <c:numCache>
                <c:formatCode>0.000</c:formatCode>
                <c:ptCount val="5"/>
                <c:pt idx="0">
                  <c:v>0.8</c:v>
                </c:pt>
                <c:pt idx="1">
                  <c:v>2</c:v>
                </c:pt>
                <c:pt idx="2">
                  <c:v>2.6</c:v>
                </c:pt>
                <c:pt idx="3">
                  <c:v>1</c:v>
                </c:pt>
                <c:pt idx="4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4-425E-89E4-A46AC7CAD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5390928"/>
        <c:axId val="1749228080"/>
      </c:barChart>
      <c:lineChart>
        <c:grouping val="standard"/>
        <c:varyColors val="0"/>
        <c:ser>
          <c:idx val="1"/>
          <c:order val="1"/>
          <c:tx>
            <c:strRef>
              <c:f>'Variation in Mn conc (2)'!$C$2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'Variation in Mn conc (2)'!$C$3:$C$7</c:f>
              <c:numCache>
                <c:formatCode>0.000</c:formatCode>
                <c:ptCount val="5"/>
                <c:pt idx="0">
                  <c:v>3.0479999999999999E-3</c:v>
                </c:pt>
                <c:pt idx="1">
                  <c:v>3.0479999999999999E-3</c:v>
                </c:pt>
                <c:pt idx="2">
                  <c:v>6.0959999999999999E-3</c:v>
                </c:pt>
                <c:pt idx="3">
                  <c:v>9.1439999999999994E-3</c:v>
                </c:pt>
                <c:pt idx="4">
                  <c:v>6.0959999999999999E-3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4-425E-89E4-A46AC7CAD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219104"/>
        <c:axId val="313217440"/>
      </c:lineChart>
      <c:catAx>
        <c:axId val="1615390928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228080"/>
        <c:crosses val="autoZero"/>
        <c:auto val="1"/>
        <c:lblAlgn val="ctr"/>
        <c:lblOffset val="100"/>
        <c:noMultiLvlLbl val="1"/>
      </c:catAx>
      <c:valAx>
        <c:axId val="1749228080"/>
        <c:scaling>
          <c:orientation val="minMax"/>
          <c:max val="3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Mn</a:t>
                </a:r>
                <a:r>
                  <a:rPr lang="en-US" baseline="0">
                    <a:solidFill>
                      <a:schemeClr val="tx1"/>
                    </a:solidFill>
                  </a:rPr>
                  <a:t> Concentration (mg/L)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390928"/>
        <c:crosses val="autoZero"/>
        <c:crossBetween val="between"/>
      </c:valAx>
      <c:valAx>
        <c:axId val="313217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19104"/>
        <c:crosses val="max"/>
        <c:crossBetween val="between"/>
      </c:valAx>
      <c:catAx>
        <c:axId val="31321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217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466251234087305"/>
          <c:y val="3.9734548641191518E-2"/>
          <c:w val="0.20129908500342325"/>
          <c:h val="0.1408392888480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Mn</a:t>
            </a:r>
          </a:p>
        </c:rich>
      </c:tx>
      <c:layout>
        <c:manualLayout>
          <c:xMode val="edge"/>
          <c:yMode val="edge"/>
          <c:x val="9.7879100322745979E-2"/>
          <c:y val="3.4767497153582273E-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174665489406225E-2"/>
          <c:y val="3.8244246868940499E-2"/>
          <c:w val="0.88845429805351217"/>
          <c:h val="0.85372136780261476"/>
        </c:manualLayout>
      </c:layout>
      <c:scatterChart>
        <c:scatterStyle val="lineMarker"/>
        <c:varyColors val="0"/>
        <c:ser>
          <c:idx val="0"/>
          <c:order val="0"/>
          <c:tx>
            <c:strRef>
              <c:f>'Variations in Mn conc'!$C$2</c:f>
              <c:strCache>
                <c:ptCount val="1"/>
                <c:pt idx="0">
                  <c:v>York Clay and Mining No. 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'Variations in Mn conc'!$B$3:$B$7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'Variations in Mn conc'!$C$3:$C$7</c:f>
              <c:numCache>
                <c:formatCode>0.000</c:formatCode>
                <c:ptCount val="5"/>
                <c:pt idx="0">
                  <c:v>0.8</c:v>
                </c:pt>
                <c:pt idx="1">
                  <c:v>2</c:v>
                </c:pt>
                <c:pt idx="2">
                  <c:v>2.6</c:v>
                </c:pt>
                <c:pt idx="3">
                  <c:v>1</c:v>
                </c:pt>
                <c:pt idx="4">
                  <c:v>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59-41BC-B664-D6616A74B9CC}"/>
            </c:ext>
          </c:extLst>
        </c:ser>
        <c:ser>
          <c:idx val="1"/>
          <c:order val="1"/>
          <c:tx>
            <c:strRef>
              <c:f>'Variations in Mn conc'!$D$2</c:f>
              <c:strCache>
                <c:ptCount val="1"/>
                <c:pt idx="0">
                  <c:v>Sines No.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'Variations in Mn conc'!$B$3:$B$7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'Variations in Mn conc'!$D$3:$D$7</c:f>
              <c:numCache>
                <c:formatCode>0.000</c:formatCode>
                <c:ptCount val="5"/>
                <c:pt idx="0">
                  <c:v>4.2</c:v>
                </c:pt>
                <c:pt idx="1">
                  <c:v>1.5</c:v>
                </c:pt>
                <c:pt idx="2">
                  <c:v>1.4</c:v>
                </c:pt>
                <c:pt idx="3">
                  <c:v>0.6</c:v>
                </c:pt>
                <c:pt idx="4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59-41BC-B664-D6616A74B9CC}"/>
            </c:ext>
          </c:extLst>
        </c:ser>
        <c:ser>
          <c:idx val="2"/>
          <c:order val="2"/>
          <c:tx>
            <c:strRef>
              <c:f>'Variations in Mn conc'!$E$2</c:f>
              <c:strCache>
                <c:ptCount val="1"/>
                <c:pt idx="0">
                  <c:v>Esco No. 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'Variations in Mn conc'!$B$3:$B$7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'Variations in Mn conc'!$E$3:$E$7</c:f>
              <c:numCache>
                <c:formatCode>0.0</c:formatCode>
                <c:ptCount val="5"/>
                <c:pt idx="0">
                  <c:v>0.4</c:v>
                </c:pt>
                <c:pt idx="1">
                  <c:v>2.2000000000000002</c:v>
                </c:pt>
                <c:pt idx="2">
                  <c:v>0.6</c:v>
                </c:pt>
                <c:pt idx="3">
                  <c:v>2.6</c:v>
                </c:pt>
                <c:pt idx="4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59-41BC-B664-D6616A74B9CC}"/>
            </c:ext>
          </c:extLst>
        </c:ser>
        <c:ser>
          <c:idx val="3"/>
          <c:order val="3"/>
          <c:tx>
            <c:strRef>
              <c:f>'Variations in Mn conc'!$F$2</c:f>
              <c:strCache>
                <c:ptCount val="1"/>
                <c:pt idx="0">
                  <c:v>Sunday Creek No. 9 and 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'Variations in Mn conc'!$B$3:$B$7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'Variations in Mn conc'!$F$3:$F$7</c:f>
              <c:numCache>
                <c:formatCode>0.0</c:formatCode>
                <c:ptCount val="5"/>
                <c:pt idx="0">
                  <c:v>1</c:v>
                </c:pt>
                <c:pt idx="1">
                  <c:v>0.9</c:v>
                </c:pt>
                <c:pt idx="2">
                  <c:v>1.2</c:v>
                </c:pt>
                <c:pt idx="3">
                  <c:v>0.6</c:v>
                </c:pt>
                <c:pt idx="4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59-41BC-B664-D6616A74B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36960"/>
        <c:axId val="1758020560"/>
      </c:scatterChart>
      <c:valAx>
        <c:axId val="1615236960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Distance from mine opening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020560"/>
        <c:crosses val="autoZero"/>
        <c:crossBetween val="midCat"/>
      </c:valAx>
      <c:valAx>
        <c:axId val="1758020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Mn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3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444611716006649"/>
          <c:y val="5.8235010212610114E-2"/>
          <c:w val="0.32602768783288794"/>
          <c:h val="0.218601048992878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SO4</a:t>
            </a:r>
          </a:p>
        </c:rich>
      </c:tx>
      <c:layout>
        <c:manualLayout>
          <c:xMode val="edge"/>
          <c:yMode val="edge"/>
          <c:x val="0.11044783455719047"/>
          <c:y val="2.4337248007507591E-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932977801998896E-2"/>
          <c:y val="6.6058244591806314E-2"/>
          <c:w val="0.87169598574091944"/>
          <c:h val="0.82590737007974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'Variations in SO4'!$C$2</c:f>
              <c:strCache>
                <c:ptCount val="1"/>
                <c:pt idx="0">
                  <c:v>York Clay and Mining No. 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'Variations in SO4'!$B$3:$B$7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'Variations in SO4'!$C$3:$C$7</c:f>
              <c:numCache>
                <c:formatCode>0.000</c:formatCode>
                <c:ptCount val="5"/>
                <c:pt idx="0">
                  <c:v>502.26807422133862</c:v>
                </c:pt>
                <c:pt idx="1">
                  <c:v>496.75624499900971</c:v>
                </c:pt>
                <c:pt idx="2">
                  <c:v>498.50577506613757</c:v>
                </c:pt>
                <c:pt idx="3">
                  <c:v>495.29925636007829</c:v>
                </c:pt>
                <c:pt idx="4">
                  <c:v>493.56928236614505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78-4AC5-8DEA-D08E4ED6916C}"/>
            </c:ext>
          </c:extLst>
        </c:ser>
        <c:ser>
          <c:idx val="1"/>
          <c:order val="1"/>
          <c:tx>
            <c:strRef>
              <c:f>'Variations in SO4'!$D$2</c:f>
              <c:strCache>
                <c:ptCount val="1"/>
                <c:pt idx="0">
                  <c:v>Sines No.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'Variations in SO4'!$B$3:$B$7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'Variations in SO4'!$D$3:$D$7</c:f>
              <c:numCache>
                <c:formatCode>0.000</c:formatCode>
                <c:ptCount val="5"/>
                <c:pt idx="0">
                  <c:v>762.78304074145581</c:v>
                </c:pt>
                <c:pt idx="1">
                  <c:v>760.59935335296052</c:v>
                </c:pt>
                <c:pt idx="2">
                  <c:v>757.72704062009416</c:v>
                </c:pt>
                <c:pt idx="3">
                  <c:v>758.95882606988607</c:v>
                </c:pt>
                <c:pt idx="4">
                  <c:v>752.68473707909152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78-4AC5-8DEA-D08E4ED6916C}"/>
            </c:ext>
          </c:extLst>
        </c:ser>
        <c:ser>
          <c:idx val="2"/>
          <c:order val="2"/>
          <c:tx>
            <c:strRef>
              <c:f>'Variations in SO4'!$E$2</c:f>
              <c:strCache>
                <c:ptCount val="1"/>
                <c:pt idx="0">
                  <c:v>Esco No. 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'Variations in SO4'!$B$3:$B$7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'Variations in SO4'!$E$3:$E$7</c:f>
              <c:numCache>
                <c:formatCode>0.0</c:formatCode>
                <c:ptCount val="5"/>
                <c:pt idx="0">
                  <c:v>280</c:v>
                </c:pt>
                <c:pt idx="1">
                  <c:v>363.4535020080321</c:v>
                </c:pt>
                <c:pt idx="2">
                  <c:v>389.53770643482</c:v>
                </c:pt>
                <c:pt idx="3">
                  <c:v>372.68581467600887</c:v>
                </c:pt>
                <c:pt idx="4">
                  <c:v>315.04432426116841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78-4AC5-8DEA-D08E4ED6916C}"/>
            </c:ext>
          </c:extLst>
        </c:ser>
        <c:ser>
          <c:idx val="3"/>
          <c:order val="3"/>
          <c:tx>
            <c:strRef>
              <c:f>'Variations in SO4'!$F$2</c:f>
              <c:strCache>
                <c:ptCount val="1"/>
                <c:pt idx="0">
                  <c:v>Sunday Creek No. 9 and 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'Variations in SO4'!$B$3:$B$7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'Variations in SO4'!$F$3:$F$7</c:f>
              <c:numCache>
                <c:formatCode>0.0</c:formatCode>
                <c:ptCount val="5"/>
                <c:pt idx="0">
                  <c:v>518.39910891089119</c:v>
                </c:pt>
                <c:pt idx="1">
                  <c:v>441.03764210404347</c:v>
                </c:pt>
                <c:pt idx="2">
                  <c:v>682.18329727111256</c:v>
                </c:pt>
                <c:pt idx="3">
                  <c:v>682.85401273885338</c:v>
                </c:pt>
                <c:pt idx="4">
                  <c:v>644.66597687892579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78-4AC5-8DEA-D08E4ED69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36960"/>
        <c:axId val="1758020560"/>
      </c:scatterChart>
      <c:valAx>
        <c:axId val="1615236960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Distance from mine opening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020560"/>
        <c:crosses val="autoZero"/>
        <c:crossBetween val="midCat"/>
      </c:valAx>
      <c:valAx>
        <c:axId val="1758020560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SO4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36960"/>
        <c:crosses val="autoZero"/>
        <c:crossBetween val="midCat"/>
        <c:min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678706535395418"/>
          <c:y val="0.66318946068494156"/>
          <c:w val="0.32602768783288794"/>
          <c:h val="0.218601048992878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>
                <a:solidFill>
                  <a:schemeClr val="tx1"/>
                </a:solidFill>
              </a:rPr>
              <a:t>Sines No. 2</a:t>
            </a:r>
          </a:p>
        </c:rich>
      </c:tx>
      <c:layout>
        <c:manualLayout>
          <c:xMode val="edge"/>
          <c:yMode val="edge"/>
          <c:x val="0.45403470245566979"/>
          <c:y val="6.004415845984369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4996316001496"/>
          <c:y val="3.8852102532840035E-2"/>
          <c:w val="0.77716844535263063"/>
          <c:h val="0.8549284184079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'Variations in SO4 (1)'!$D$2</c:f>
              <c:strCache>
                <c:ptCount val="1"/>
                <c:pt idx="0">
                  <c:v>Total SO4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'Variations in SO4 (1)'!$A$3:$A$7</c:f>
              <c:numCache>
                <c:formatCode>General</c:formatCode>
                <c:ptCount val="5"/>
                <c:pt idx="0">
                  <c:v>0</c:v>
                </c:pt>
                <c:pt idx="1">
                  <c:v>7.62</c:v>
                </c:pt>
                <c:pt idx="2">
                  <c:v>15.24</c:v>
                </c:pt>
                <c:pt idx="3">
                  <c:v>22.86</c:v>
                </c:pt>
                <c:pt idx="4">
                  <c:v>30.48</c:v>
                </c:pt>
              </c:numCache>
            </c:numRef>
          </c:cat>
          <c:val>
            <c:numRef>
              <c:f>'Variations in SO4 (1)'!$D$3:$D$7</c:f>
              <c:numCache>
                <c:formatCode>0.000</c:formatCode>
                <c:ptCount val="5"/>
                <c:pt idx="0">
                  <c:v>762.78304074145581</c:v>
                </c:pt>
                <c:pt idx="1">
                  <c:v>760.59935335296052</c:v>
                </c:pt>
                <c:pt idx="2">
                  <c:v>757.72704062009416</c:v>
                </c:pt>
                <c:pt idx="3">
                  <c:v>758.95882606988607</c:v>
                </c:pt>
                <c:pt idx="4">
                  <c:v>752.68473707909152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D8-453E-A723-1D68191EA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5390928"/>
        <c:axId val="1749228080"/>
      </c:barChart>
      <c:lineChart>
        <c:grouping val="standard"/>
        <c:varyColors val="0"/>
        <c:ser>
          <c:idx val="1"/>
          <c:order val="1"/>
          <c:tx>
            <c:strRef>
              <c:f>'Variations in SO4 (1)'!$E$2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'Variations in SO4 (1)'!$E$3:$E$7</c:f>
              <c:numCache>
                <c:formatCode>0.000</c:formatCode>
                <c:ptCount val="5"/>
                <c:pt idx="0">
                  <c:v>3.0479999999999999E-3</c:v>
                </c:pt>
                <c:pt idx="1">
                  <c:v>6.0959999999999999E-3</c:v>
                </c:pt>
                <c:pt idx="2">
                  <c:v>6.0959999999999999E-3</c:v>
                </c:pt>
                <c:pt idx="3">
                  <c:v>6.0959999999999999E-3</c:v>
                </c:pt>
                <c:pt idx="4">
                  <c:v>9.1439999999999994E-3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8-453E-A723-1D68191EA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219104"/>
        <c:axId val="313217440"/>
      </c:lineChart>
      <c:catAx>
        <c:axId val="161539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Distance from mine</a:t>
                </a:r>
                <a:r>
                  <a:rPr lang="en-US" baseline="0">
                    <a:solidFill>
                      <a:schemeClr val="tx1"/>
                    </a:solidFill>
                  </a:rPr>
                  <a:t> opening (m)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228080"/>
        <c:crosses val="autoZero"/>
        <c:auto val="1"/>
        <c:lblAlgn val="ctr"/>
        <c:lblOffset val="100"/>
        <c:noMultiLvlLbl val="1"/>
      </c:catAx>
      <c:valAx>
        <c:axId val="1749228080"/>
        <c:scaling>
          <c:orientation val="minMax"/>
          <c:min val="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SO4</a:t>
                </a:r>
                <a:r>
                  <a:rPr lang="en-US" baseline="0">
                    <a:solidFill>
                      <a:schemeClr val="tx1"/>
                    </a:solidFill>
                  </a:rPr>
                  <a:t> Concentration (mg/L)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390928"/>
        <c:crosses val="autoZero"/>
        <c:crossBetween val="between"/>
      </c:valAx>
      <c:valAx>
        <c:axId val="313217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19104"/>
        <c:crosses val="max"/>
        <c:crossBetween val="between"/>
      </c:valAx>
      <c:catAx>
        <c:axId val="31321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217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884793122089581"/>
          <c:y val="0.4388516019330938"/>
          <c:w val="0.20129908500342325"/>
          <c:h val="9.4923167672825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>
                <a:solidFill>
                  <a:schemeClr val="tx1"/>
                </a:solidFill>
              </a:rPr>
              <a:t>York Clay and Mining No. 4</a:t>
            </a:r>
          </a:p>
        </c:rich>
      </c:tx>
      <c:layout>
        <c:manualLayout>
          <c:xMode val="edge"/>
          <c:yMode val="edge"/>
          <c:x val="0.40406593621336173"/>
          <c:y val="6.004415845984369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66347456371228"/>
          <c:y val="3.8852102532840035E-2"/>
          <c:w val="0.77385493394893323"/>
          <c:h val="0.914972576867786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'Variations in SO4 (1)'!$B$2</c:f>
              <c:strCache>
                <c:ptCount val="1"/>
                <c:pt idx="0">
                  <c:v>Total SO4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'Variations in SO4 (1)'!$A$3:$A$7</c:f>
              <c:numCache>
                <c:formatCode>General</c:formatCode>
                <c:ptCount val="5"/>
                <c:pt idx="0">
                  <c:v>0</c:v>
                </c:pt>
                <c:pt idx="1">
                  <c:v>7.62</c:v>
                </c:pt>
                <c:pt idx="2">
                  <c:v>15.24</c:v>
                </c:pt>
                <c:pt idx="3">
                  <c:v>22.86</c:v>
                </c:pt>
                <c:pt idx="4">
                  <c:v>30.48</c:v>
                </c:pt>
              </c:numCache>
            </c:numRef>
          </c:cat>
          <c:val>
            <c:numRef>
              <c:f>'Variations in SO4 (1)'!$B$3:$B$7</c:f>
              <c:numCache>
                <c:formatCode>0.000</c:formatCode>
                <c:ptCount val="5"/>
                <c:pt idx="0">
                  <c:v>502.26807422133862</c:v>
                </c:pt>
                <c:pt idx="1">
                  <c:v>496.75624499900971</c:v>
                </c:pt>
                <c:pt idx="2">
                  <c:v>498.50577506613757</c:v>
                </c:pt>
                <c:pt idx="3">
                  <c:v>495.29925636007829</c:v>
                </c:pt>
                <c:pt idx="4">
                  <c:v>493.56928236614505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6-42D3-A6CA-BF372721B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5390928"/>
        <c:axId val="1749228080"/>
      </c:barChart>
      <c:lineChart>
        <c:grouping val="standard"/>
        <c:varyColors val="0"/>
        <c:ser>
          <c:idx val="1"/>
          <c:order val="1"/>
          <c:tx>
            <c:strRef>
              <c:f>'Variations in SO4 (1)'!$C$2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'Variations in SO4 (1)'!$C$3:$C$7</c:f>
              <c:numCache>
                <c:formatCode>0.000</c:formatCode>
                <c:ptCount val="5"/>
                <c:pt idx="0">
                  <c:v>3.0479999999999999E-3</c:v>
                </c:pt>
                <c:pt idx="1">
                  <c:v>3.0479999999999999E-3</c:v>
                </c:pt>
                <c:pt idx="2">
                  <c:v>6.0959999999999999E-3</c:v>
                </c:pt>
                <c:pt idx="3">
                  <c:v>9.1439999999999994E-3</c:v>
                </c:pt>
                <c:pt idx="4">
                  <c:v>6.0959999999999999E-3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66-42D3-A6CA-BF372721B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219104"/>
        <c:axId val="313217440"/>
      </c:lineChart>
      <c:catAx>
        <c:axId val="1615390928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228080"/>
        <c:crosses val="autoZero"/>
        <c:auto val="1"/>
        <c:lblAlgn val="ctr"/>
        <c:lblOffset val="100"/>
        <c:noMultiLvlLbl val="1"/>
      </c:catAx>
      <c:valAx>
        <c:axId val="1749228080"/>
        <c:scaling>
          <c:orientation val="minMax"/>
          <c:max val="550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SO4</a:t>
                </a:r>
                <a:r>
                  <a:rPr lang="en-US" baseline="0">
                    <a:solidFill>
                      <a:schemeClr val="tx1"/>
                    </a:solidFill>
                  </a:rPr>
                  <a:t> Concentration (mg/L)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390928"/>
        <c:crosses val="autoZero"/>
        <c:crossBetween val="between"/>
      </c:valAx>
      <c:valAx>
        <c:axId val="313217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19104"/>
        <c:crosses val="max"/>
        <c:crossBetween val="between"/>
      </c:valAx>
      <c:catAx>
        <c:axId val="31321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217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466251234087305"/>
          <c:y val="3.9734548641191518E-2"/>
          <c:w val="0.20129908500342325"/>
          <c:h val="0.1408392888480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chemeClr val="tx1"/>
                </a:solidFill>
              </a:rPr>
              <a:t>Sunday Creek No. 9</a:t>
            </a:r>
            <a:r>
              <a:rPr lang="en-US" b="0" baseline="0">
                <a:solidFill>
                  <a:schemeClr val="tx1"/>
                </a:solidFill>
              </a:rPr>
              <a:t> and 12</a:t>
            </a:r>
            <a:endParaRPr lang="en-US" b="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6922341061617259"/>
          <c:y val="5.2980139817509146E-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214847976262774E-2"/>
          <c:y val="3.8852102532840035E-2"/>
          <c:w val="0.84012515535547161"/>
          <c:h val="0.8549284184079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'Variations in Fe conc'!$H$2</c:f>
              <c:strCache>
                <c:ptCount val="1"/>
                <c:pt idx="0">
                  <c:v>Total Fe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'Variations in Fe conc'!$A$3:$A$7</c:f>
              <c:numCache>
                <c:formatCode>General</c:formatCode>
                <c:ptCount val="5"/>
                <c:pt idx="0">
                  <c:v>0</c:v>
                </c:pt>
                <c:pt idx="1">
                  <c:v>7.62</c:v>
                </c:pt>
                <c:pt idx="2">
                  <c:v>15.24</c:v>
                </c:pt>
                <c:pt idx="3">
                  <c:v>22.86</c:v>
                </c:pt>
                <c:pt idx="4">
                  <c:v>30.48</c:v>
                </c:pt>
              </c:numCache>
            </c:numRef>
          </c:cat>
          <c:val>
            <c:numRef>
              <c:f>'Variations in Fe conc'!$H$3:$H$7</c:f>
              <c:numCache>
                <c:formatCode>0.0</c:formatCode>
                <c:ptCount val="5"/>
                <c:pt idx="0">
                  <c:v>59.4</c:v>
                </c:pt>
                <c:pt idx="1">
                  <c:v>30.6</c:v>
                </c:pt>
                <c:pt idx="2">
                  <c:v>34.624000000000002</c:v>
                </c:pt>
                <c:pt idx="3">
                  <c:v>18.064</c:v>
                </c:pt>
                <c:pt idx="4">
                  <c:v>35.555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C-45FE-BA4A-16566C4F7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5390928"/>
        <c:axId val="1749228080"/>
      </c:barChart>
      <c:lineChart>
        <c:grouping val="standard"/>
        <c:varyColors val="0"/>
        <c:ser>
          <c:idx val="1"/>
          <c:order val="1"/>
          <c:tx>
            <c:strRef>
              <c:f>'Variations in Fe conc'!$I$2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'Variations in Fe conc'!$A$3:$A$7</c:f>
              <c:numCache>
                <c:formatCode>General</c:formatCode>
                <c:ptCount val="5"/>
                <c:pt idx="0">
                  <c:v>0</c:v>
                </c:pt>
                <c:pt idx="1">
                  <c:v>7.62</c:v>
                </c:pt>
                <c:pt idx="2">
                  <c:v>15.24</c:v>
                </c:pt>
                <c:pt idx="3">
                  <c:v>22.86</c:v>
                </c:pt>
                <c:pt idx="4">
                  <c:v>30.48</c:v>
                </c:pt>
              </c:numCache>
            </c:numRef>
          </c:cat>
          <c:val>
            <c:numRef>
              <c:f>'Variations in Fe conc'!$I$3:$I$7</c:f>
              <c:numCache>
                <c:formatCode>0.000000</c:formatCode>
                <c:ptCount val="5"/>
                <c:pt idx="0">
                  <c:v>3.3528000000000002E-2</c:v>
                </c:pt>
                <c:pt idx="1">
                  <c:v>3.6575999999999997E-2</c:v>
                </c:pt>
                <c:pt idx="2">
                  <c:v>5.7911999999999998E-2</c:v>
                </c:pt>
                <c:pt idx="3">
                  <c:v>7.0104E-2</c:v>
                </c:pt>
                <c:pt idx="4">
                  <c:v>5.4864000000000003E-2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D-4864-AE64-71BAE0266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219104"/>
        <c:axId val="313217440"/>
      </c:lineChart>
      <c:catAx>
        <c:axId val="161539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Distance from mine</a:t>
                </a:r>
                <a:r>
                  <a:rPr lang="en-US" baseline="0">
                    <a:solidFill>
                      <a:schemeClr val="tx1"/>
                    </a:solidFill>
                  </a:rPr>
                  <a:t> opening (m)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228080"/>
        <c:crosses val="autoZero"/>
        <c:auto val="1"/>
        <c:lblAlgn val="ctr"/>
        <c:lblOffset val="100"/>
        <c:noMultiLvlLbl val="1"/>
      </c:catAx>
      <c:valAx>
        <c:axId val="1749228080"/>
        <c:scaling>
          <c:orientation val="minMax"/>
          <c:max val="6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Iron</a:t>
                </a:r>
                <a:r>
                  <a:rPr lang="en-US" baseline="0">
                    <a:solidFill>
                      <a:schemeClr val="tx1"/>
                    </a:solidFill>
                  </a:rPr>
                  <a:t> Concentration (mg/L)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390928"/>
        <c:crosses val="autoZero"/>
        <c:crossBetween val="between"/>
      </c:valAx>
      <c:valAx>
        <c:axId val="313217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19104"/>
        <c:crosses val="max"/>
        <c:crossBetween val="between"/>
      </c:valAx>
      <c:catAx>
        <c:axId val="31321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21744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3093031316522375"/>
          <c:y val="0.15982286556087891"/>
          <c:w val="0.20129908500342325"/>
          <c:h val="0.1408392888480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chemeClr val="tx1"/>
                </a:solidFill>
              </a:rPr>
              <a:t>Esco No. 40</a:t>
            </a:r>
          </a:p>
        </c:rich>
      </c:tx>
      <c:layout>
        <c:manualLayout>
          <c:xMode val="edge"/>
          <c:yMode val="edge"/>
          <c:x val="0.44570657474861836"/>
          <c:y val="6.7108177102178243E-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214847976262774E-2"/>
          <c:y val="3.8852102532840035E-2"/>
          <c:w val="0.84012515535547161"/>
          <c:h val="0.8549284184079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'Variations in Fe conc'!$F$2</c:f>
              <c:strCache>
                <c:ptCount val="1"/>
                <c:pt idx="0">
                  <c:v>Total Fe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'Variations in Fe conc'!$A$3:$A$7</c:f>
              <c:numCache>
                <c:formatCode>General</c:formatCode>
                <c:ptCount val="5"/>
                <c:pt idx="0">
                  <c:v>0</c:v>
                </c:pt>
                <c:pt idx="1">
                  <c:v>7.62</c:v>
                </c:pt>
                <c:pt idx="2">
                  <c:v>15.24</c:v>
                </c:pt>
                <c:pt idx="3">
                  <c:v>22.86</c:v>
                </c:pt>
                <c:pt idx="4">
                  <c:v>30.48</c:v>
                </c:pt>
              </c:numCache>
            </c:numRef>
          </c:cat>
          <c:val>
            <c:numRef>
              <c:f>'Variations in Fe conc'!$F$3:$F$7</c:f>
              <c:numCache>
                <c:formatCode>0.0</c:formatCode>
                <c:ptCount val="5"/>
                <c:pt idx="0">
                  <c:v>7.8</c:v>
                </c:pt>
                <c:pt idx="1">
                  <c:v>21.6</c:v>
                </c:pt>
                <c:pt idx="2">
                  <c:v>22</c:v>
                </c:pt>
                <c:pt idx="3">
                  <c:v>34.4</c:v>
                </c:pt>
                <c:pt idx="4">
                  <c:v>29.4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F-46BB-A496-E84C926E8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5390928"/>
        <c:axId val="1749228080"/>
      </c:barChart>
      <c:lineChart>
        <c:grouping val="standard"/>
        <c:varyColors val="0"/>
        <c:ser>
          <c:idx val="1"/>
          <c:order val="1"/>
          <c:tx>
            <c:strRef>
              <c:f>'Variations in Fe conc'!$G$2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'Variations in Fe conc'!$G$3:$G$7</c:f>
              <c:numCache>
                <c:formatCode>0.000000</c:formatCode>
                <c:ptCount val="5"/>
                <c:pt idx="0">
                  <c:v>0.36575999999999997</c:v>
                </c:pt>
                <c:pt idx="1">
                  <c:v>0.24384</c:v>
                </c:pt>
                <c:pt idx="2">
                  <c:v>0.21335999999999999</c:v>
                </c:pt>
                <c:pt idx="3">
                  <c:v>3.048E-2</c:v>
                </c:pt>
                <c:pt idx="4">
                  <c:v>0.24384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EF-46BB-A496-E84C926E8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219104"/>
        <c:axId val="313217440"/>
      </c:lineChart>
      <c:catAx>
        <c:axId val="161539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Distance from mine</a:t>
                </a:r>
                <a:r>
                  <a:rPr lang="en-US" baseline="0">
                    <a:solidFill>
                      <a:schemeClr val="tx1"/>
                    </a:solidFill>
                  </a:rPr>
                  <a:t> opening (m)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228080"/>
        <c:crosses val="autoZero"/>
        <c:auto val="1"/>
        <c:lblAlgn val="ctr"/>
        <c:lblOffset val="100"/>
        <c:noMultiLvlLbl val="1"/>
      </c:catAx>
      <c:valAx>
        <c:axId val="1749228080"/>
        <c:scaling>
          <c:orientation val="minMax"/>
          <c:max val="4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Iron</a:t>
                </a:r>
                <a:r>
                  <a:rPr lang="en-US" baseline="0">
                    <a:solidFill>
                      <a:schemeClr val="tx1"/>
                    </a:solidFill>
                  </a:rPr>
                  <a:t> Concentration (mg/L)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390928"/>
        <c:crosses val="autoZero"/>
        <c:crossBetween val="between"/>
      </c:valAx>
      <c:valAx>
        <c:axId val="313217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19104"/>
        <c:crosses val="max"/>
        <c:crossBetween val="between"/>
      </c:valAx>
      <c:catAx>
        <c:axId val="31321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21744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3093031316522375"/>
          <c:y val="0.15982286556087891"/>
          <c:w val="0.20129908500342325"/>
          <c:h val="0.1408392888480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chart" Target="../charts/chart4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4" Type="http://schemas.openxmlformats.org/officeDocument/2006/relationships/chart" Target="../charts/chart5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152399</xdr:colOff>
      <xdr:row>10</xdr:row>
      <xdr:rowOff>71436</xdr:rowOff>
    </xdr:from>
    <xdr:to>
      <xdr:col>16</xdr:col>
      <xdr:colOff>257174</xdr:colOff>
      <xdr:row>19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1C4477-1F65-49BF-B1A2-CBE5819F8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10</xdr:row>
      <xdr:rowOff>104775</xdr:rowOff>
    </xdr:from>
    <xdr:to>
      <xdr:col>16</xdr:col>
      <xdr:colOff>561975</xdr:colOff>
      <xdr:row>19</xdr:row>
      <xdr:rowOff>157163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258CE3-2D95-4721-8B30-DF9E35E3E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209550</xdr:colOff>
      <xdr:row>10</xdr:row>
      <xdr:rowOff>171450</xdr:rowOff>
    </xdr:from>
    <xdr:to>
      <xdr:col>17</xdr:col>
      <xdr:colOff>314325</xdr:colOff>
      <xdr:row>20</xdr:row>
      <xdr:rowOff>23813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2BFA2C-898E-47D5-9A56-E9068BA8E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</xdr:row>
      <xdr:rowOff>1</xdr:rowOff>
    </xdr:from>
    <xdr:to>
      <xdr:col>6</xdr:col>
      <xdr:colOff>519113</xdr:colOff>
      <xdr:row>24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</xdr:row>
      <xdr:rowOff>0</xdr:rowOff>
    </xdr:from>
    <xdr:to>
      <xdr:col>6</xdr:col>
      <xdr:colOff>519113</xdr:colOff>
      <xdr:row>30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</xdr:row>
      <xdr:rowOff>0</xdr:rowOff>
    </xdr:from>
    <xdr:to>
      <xdr:col>6</xdr:col>
      <xdr:colOff>519113</xdr:colOff>
      <xdr:row>30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</xdr:row>
      <xdr:rowOff>0</xdr:rowOff>
    </xdr:from>
    <xdr:to>
      <xdr:col>6</xdr:col>
      <xdr:colOff>519113</xdr:colOff>
      <xdr:row>30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9</xdr:row>
      <xdr:rowOff>152399</xdr:rowOff>
    </xdr:from>
    <xdr:to>
      <xdr:col>5</xdr:col>
      <xdr:colOff>233363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9</xdr:row>
      <xdr:rowOff>152399</xdr:rowOff>
    </xdr:from>
    <xdr:to>
      <xdr:col>5</xdr:col>
      <xdr:colOff>233363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10</xdr:row>
      <xdr:rowOff>28575</xdr:rowOff>
    </xdr:from>
    <xdr:to>
      <xdr:col>10</xdr:col>
      <xdr:colOff>414338</xdr:colOff>
      <xdr:row>29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8</xdr:col>
      <xdr:colOff>109538</xdr:colOff>
      <xdr:row>27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0</xdr:rowOff>
    </xdr:from>
    <xdr:to>
      <xdr:col>9</xdr:col>
      <xdr:colOff>176213</xdr:colOff>
      <xdr:row>28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0</xdr:row>
      <xdr:rowOff>0</xdr:rowOff>
    </xdr:from>
    <xdr:to>
      <xdr:col>13</xdr:col>
      <xdr:colOff>28575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76200</xdr:colOff>
      <xdr:row>0</xdr:row>
      <xdr:rowOff>0</xdr:rowOff>
    </xdr:from>
    <xdr:to>
      <xdr:col>20</xdr:col>
      <xdr:colOff>381000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590550</xdr:colOff>
      <xdr:row>15</xdr:row>
      <xdr:rowOff>57150</xdr:rowOff>
    </xdr:from>
    <xdr:to>
      <xdr:col>12</xdr:col>
      <xdr:colOff>285750</xdr:colOff>
      <xdr:row>29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15</xdr:row>
      <xdr:rowOff>0</xdr:rowOff>
    </xdr:from>
    <xdr:to>
      <xdr:col>20</xdr:col>
      <xdr:colOff>304800</xdr:colOff>
      <xdr:row>29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81643</xdr:colOff>
      <xdr:row>11</xdr:row>
      <xdr:rowOff>122464</xdr:rowOff>
    </xdr:from>
    <xdr:to>
      <xdr:col>12</xdr:col>
      <xdr:colOff>571500</xdr:colOff>
      <xdr:row>23</xdr:row>
      <xdr:rowOff>122464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81643</xdr:colOff>
      <xdr:row>23</xdr:row>
      <xdr:rowOff>122464</xdr:rowOff>
    </xdr:from>
    <xdr:to>
      <xdr:col>12</xdr:col>
      <xdr:colOff>571500</xdr:colOff>
      <xdr:row>35</xdr:row>
      <xdr:rowOff>40821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95249</xdr:colOff>
      <xdr:row>35</xdr:row>
      <xdr:rowOff>54430</xdr:rowOff>
    </xdr:from>
    <xdr:to>
      <xdr:col>12</xdr:col>
      <xdr:colOff>598713</xdr:colOff>
      <xdr:row>47</xdr:row>
      <xdr:rowOff>149680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108857</xdr:colOff>
      <xdr:row>47</xdr:row>
      <xdr:rowOff>136072</xdr:rowOff>
    </xdr:from>
    <xdr:to>
      <xdr:col>13</xdr:col>
      <xdr:colOff>0</xdr:colOff>
      <xdr:row>60</xdr:row>
      <xdr:rowOff>54430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42861</xdr:colOff>
      <xdr:row>10</xdr:row>
      <xdr:rowOff>47625</xdr:rowOff>
    </xdr:from>
    <xdr:to>
      <xdr:col>13</xdr:col>
      <xdr:colOff>142874</xdr:colOff>
      <xdr:row>29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31</xdr:row>
      <xdr:rowOff>0</xdr:rowOff>
    </xdr:from>
    <xdr:to>
      <xdr:col>13</xdr:col>
      <xdr:colOff>100013</xdr:colOff>
      <xdr:row>49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51</xdr:row>
      <xdr:rowOff>0</xdr:rowOff>
    </xdr:from>
    <xdr:to>
      <xdr:col>13</xdr:col>
      <xdr:colOff>100013</xdr:colOff>
      <xdr:row>69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72</xdr:row>
      <xdr:rowOff>0</xdr:rowOff>
    </xdr:from>
    <xdr:to>
      <xdr:col>13</xdr:col>
      <xdr:colOff>100013</xdr:colOff>
      <xdr:row>90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747711</xdr:colOff>
      <xdr:row>7</xdr:row>
      <xdr:rowOff>38100</xdr:rowOff>
    </xdr:from>
    <xdr:to>
      <xdr:col>14</xdr:col>
      <xdr:colOff>285749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598714</xdr:colOff>
      <xdr:row>10</xdr:row>
      <xdr:rowOff>47625</xdr:rowOff>
    </xdr:from>
    <xdr:to>
      <xdr:col>12</xdr:col>
      <xdr:colOff>571500</xdr:colOff>
      <xdr:row>22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598714</xdr:colOff>
      <xdr:row>22</xdr:row>
      <xdr:rowOff>68036</xdr:rowOff>
    </xdr:from>
    <xdr:to>
      <xdr:col>12</xdr:col>
      <xdr:colOff>571500</xdr:colOff>
      <xdr:row>35</xdr:row>
      <xdr:rowOff>40821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95249</xdr:colOff>
      <xdr:row>35</xdr:row>
      <xdr:rowOff>54430</xdr:rowOff>
    </xdr:from>
    <xdr:to>
      <xdr:col>12</xdr:col>
      <xdr:colOff>598713</xdr:colOff>
      <xdr:row>47</xdr:row>
      <xdr:rowOff>149680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108857</xdr:colOff>
      <xdr:row>47</xdr:row>
      <xdr:rowOff>136072</xdr:rowOff>
    </xdr:from>
    <xdr:to>
      <xdr:col>13</xdr:col>
      <xdr:colOff>0</xdr:colOff>
      <xdr:row>60</xdr:row>
      <xdr:rowOff>54430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576263</xdr:colOff>
      <xdr:row>20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17</xdr:col>
      <xdr:colOff>576263</xdr:colOff>
      <xdr:row>21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42861</xdr:colOff>
      <xdr:row>10</xdr:row>
      <xdr:rowOff>47625</xdr:rowOff>
    </xdr:from>
    <xdr:to>
      <xdr:col>13</xdr:col>
      <xdr:colOff>142874</xdr:colOff>
      <xdr:row>29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31</xdr:row>
      <xdr:rowOff>0</xdr:rowOff>
    </xdr:from>
    <xdr:to>
      <xdr:col>13</xdr:col>
      <xdr:colOff>100013</xdr:colOff>
      <xdr:row>49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51</xdr:row>
      <xdr:rowOff>0</xdr:rowOff>
    </xdr:from>
    <xdr:to>
      <xdr:col>13</xdr:col>
      <xdr:colOff>100013</xdr:colOff>
      <xdr:row>69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72</xdr:row>
      <xdr:rowOff>0</xdr:rowOff>
    </xdr:from>
    <xdr:to>
      <xdr:col>13</xdr:col>
      <xdr:colOff>100013</xdr:colOff>
      <xdr:row>90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</xdr:row>
      <xdr:rowOff>1</xdr:rowOff>
    </xdr:from>
    <xdr:to>
      <xdr:col>6</xdr:col>
      <xdr:colOff>519113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81643</xdr:colOff>
      <xdr:row>11</xdr:row>
      <xdr:rowOff>122464</xdr:rowOff>
    </xdr:from>
    <xdr:to>
      <xdr:col>12</xdr:col>
      <xdr:colOff>571500</xdr:colOff>
      <xdr:row>23</xdr:row>
      <xdr:rowOff>122464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81643</xdr:colOff>
      <xdr:row>23</xdr:row>
      <xdr:rowOff>122464</xdr:rowOff>
    </xdr:from>
    <xdr:to>
      <xdr:col>12</xdr:col>
      <xdr:colOff>571500</xdr:colOff>
      <xdr:row>35</xdr:row>
      <xdr:rowOff>40821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95249</xdr:colOff>
      <xdr:row>35</xdr:row>
      <xdr:rowOff>54430</xdr:rowOff>
    </xdr:from>
    <xdr:to>
      <xdr:col>12</xdr:col>
      <xdr:colOff>598713</xdr:colOff>
      <xdr:row>47</xdr:row>
      <xdr:rowOff>149680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108857</xdr:colOff>
      <xdr:row>47</xdr:row>
      <xdr:rowOff>136072</xdr:rowOff>
    </xdr:from>
    <xdr:to>
      <xdr:col>13</xdr:col>
      <xdr:colOff>0</xdr:colOff>
      <xdr:row>60</xdr:row>
      <xdr:rowOff>54430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</xdr:row>
      <xdr:rowOff>1</xdr:rowOff>
    </xdr:from>
    <xdr:to>
      <xdr:col>6</xdr:col>
      <xdr:colOff>519113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81643</xdr:colOff>
      <xdr:row>11</xdr:row>
      <xdr:rowOff>122464</xdr:rowOff>
    </xdr:from>
    <xdr:to>
      <xdr:col>12</xdr:col>
      <xdr:colOff>571500</xdr:colOff>
      <xdr:row>23</xdr:row>
      <xdr:rowOff>122464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81643</xdr:colOff>
      <xdr:row>23</xdr:row>
      <xdr:rowOff>122464</xdr:rowOff>
    </xdr:from>
    <xdr:to>
      <xdr:col>12</xdr:col>
      <xdr:colOff>571500</xdr:colOff>
      <xdr:row>35</xdr:row>
      <xdr:rowOff>40821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95249</xdr:colOff>
      <xdr:row>35</xdr:row>
      <xdr:rowOff>54430</xdr:rowOff>
    </xdr:from>
    <xdr:to>
      <xdr:col>12</xdr:col>
      <xdr:colOff>598713</xdr:colOff>
      <xdr:row>47</xdr:row>
      <xdr:rowOff>149680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108857</xdr:colOff>
      <xdr:row>47</xdr:row>
      <xdr:rowOff>136072</xdr:rowOff>
    </xdr:from>
    <xdr:to>
      <xdr:col>13</xdr:col>
      <xdr:colOff>0</xdr:colOff>
      <xdr:row>60</xdr:row>
      <xdr:rowOff>54430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24</xdr:row>
      <xdr:rowOff>133350</xdr:rowOff>
    </xdr:from>
    <xdr:to>
      <xdr:col>14</xdr:col>
      <xdr:colOff>361950</xdr:colOff>
      <xdr:row>39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485775</xdr:colOff>
      <xdr:row>1</xdr:row>
      <xdr:rowOff>19050</xdr:rowOff>
    </xdr:from>
    <xdr:to>
      <xdr:col>29</xdr:col>
      <xdr:colOff>180975</xdr:colOff>
      <xdr:row>15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19050</xdr:colOff>
      <xdr:row>2</xdr:row>
      <xdr:rowOff>114300</xdr:rowOff>
    </xdr:from>
    <xdr:to>
      <xdr:col>29</xdr:col>
      <xdr:colOff>323850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38100</xdr:colOff>
      <xdr:row>4</xdr:row>
      <xdr:rowOff>95250</xdr:rowOff>
    </xdr:from>
    <xdr:to>
      <xdr:col>29</xdr:col>
      <xdr:colOff>342900</xdr:colOff>
      <xdr:row>18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504825</xdr:colOff>
      <xdr:row>7</xdr:row>
      <xdr:rowOff>47625</xdr:rowOff>
    </xdr:from>
    <xdr:to>
      <xdr:col>29</xdr:col>
      <xdr:colOff>200025</xdr:colOff>
      <xdr:row>21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523875</xdr:colOff>
      <xdr:row>8</xdr:row>
      <xdr:rowOff>123825</xdr:rowOff>
    </xdr:from>
    <xdr:to>
      <xdr:col>29</xdr:col>
      <xdr:colOff>219075</xdr:colOff>
      <xdr:row>22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571500</xdr:colOff>
      <xdr:row>9</xdr:row>
      <xdr:rowOff>104775</xdr:rowOff>
    </xdr:from>
    <xdr:to>
      <xdr:col>29</xdr:col>
      <xdr:colOff>266700</xdr:colOff>
      <xdr:row>23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438150</xdr:colOff>
      <xdr:row>25</xdr:row>
      <xdr:rowOff>142875</xdr:rowOff>
    </xdr:from>
    <xdr:to>
      <xdr:col>29</xdr:col>
      <xdr:colOff>133350</xdr:colOff>
      <xdr:row>40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447675</xdr:colOff>
      <xdr:row>27</xdr:row>
      <xdr:rowOff>19050</xdr:rowOff>
    </xdr:from>
    <xdr:to>
      <xdr:col>29</xdr:col>
      <xdr:colOff>142875</xdr:colOff>
      <xdr:row>41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457200</xdr:colOff>
      <xdr:row>27</xdr:row>
      <xdr:rowOff>161925</xdr:rowOff>
    </xdr:from>
    <xdr:to>
      <xdr:col>29</xdr:col>
      <xdr:colOff>152400</xdr:colOff>
      <xdr:row>42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0</xdr:colOff>
      <xdr:row>36</xdr:row>
      <xdr:rowOff>0</xdr:rowOff>
    </xdr:from>
    <xdr:to>
      <xdr:col>27</xdr:col>
      <xdr:colOff>304800</xdr:colOff>
      <xdr:row>50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95250</xdr:colOff>
      <xdr:row>37</xdr:row>
      <xdr:rowOff>114300</xdr:rowOff>
    </xdr:from>
    <xdr:to>
      <xdr:col>27</xdr:col>
      <xdr:colOff>400050</xdr:colOff>
      <xdr:row>52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</xdr:row>
      <xdr:rowOff>1</xdr:rowOff>
    </xdr:from>
    <xdr:to>
      <xdr:col>6</xdr:col>
      <xdr:colOff>519113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2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47"/>
  <sheetViews>
    <sheetView workbookViewId="0">
      <selection activeCell="AP4" sqref="AP4"/>
    </sheetView>
  </sheetViews>
  <sheetFormatPr defaultRowHeight="15" x14ac:dyDescent="0.25"/>
  <cols>
    <col min="1" max="1" width="8.85546875" style="510" bestFit="1" customWidth="1"/>
    <col min="2" max="2" width="6.85546875" style="510" bestFit="1" customWidth="1"/>
    <col min="3" max="3" width="8.140625" style="510" bestFit="1" customWidth="1"/>
    <col min="4" max="5" width="6.85546875" style="510" bestFit="1" customWidth="1"/>
    <col min="6" max="7" width="6.85546875" style="510" customWidth="1"/>
    <col min="8" max="8" width="7.28515625" style="510" bestFit="1" customWidth="1"/>
    <col min="9" max="9" width="5.7109375" style="510" bestFit="1" customWidth="1"/>
    <col min="10" max="10" width="8.140625" style="510" bestFit="1" customWidth="1"/>
    <col min="11" max="11" width="6" style="510" bestFit="1" customWidth="1"/>
    <col min="12" max="12" width="7.7109375" style="510" bestFit="1" customWidth="1"/>
    <col min="13" max="13" width="5.7109375" style="510" bestFit="1" customWidth="1"/>
    <col min="14" max="14" width="6.85546875" style="59" bestFit="1" customWidth="1"/>
    <col min="15" max="15" width="7.42578125" style="59" bestFit="1" customWidth="1"/>
    <col min="16" max="16" width="8.140625" style="59" bestFit="1" customWidth="1"/>
    <col min="17" max="17" width="6.42578125" style="59" customWidth="1"/>
    <col min="18" max="18" width="7.42578125" style="59" bestFit="1" customWidth="1"/>
    <col min="19" max="20" width="17.42578125" style="59" bestFit="1" customWidth="1"/>
    <col min="21" max="21" width="8.140625" style="59" bestFit="1" customWidth="1"/>
    <col min="22" max="22" width="7.7109375" style="59" bestFit="1" customWidth="1"/>
    <col min="23" max="23" width="7.7109375" style="59" customWidth="1"/>
    <col min="24" max="26" width="7.28515625" style="59" bestFit="1" customWidth="1"/>
    <col min="27" max="27" width="10.28515625" style="59" bestFit="1" customWidth="1"/>
    <col min="28" max="28" width="7.28515625" style="59" bestFit="1" customWidth="1"/>
    <col min="29" max="29" width="10.28515625" style="59" bestFit="1" customWidth="1"/>
    <col min="30" max="30" width="8.28515625" style="59" bestFit="1" customWidth="1"/>
    <col min="31" max="32" width="7.28515625" style="59" bestFit="1" customWidth="1"/>
    <col min="33" max="33" width="11.5703125" style="59" bestFit="1" customWidth="1"/>
    <col min="34" max="34" width="10.5703125" style="59" customWidth="1"/>
    <col min="35" max="35" width="14.28515625" style="59" customWidth="1"/>
    <col min="36" max="36" width="8.140625" style="1" bestFit="1" customWidth="1"/>
    <col min="37" max="37" width="6" style="1" bestFit="1" customWidth="1"/>
    <col min="38" max="38" width="6.7109375" style="275" bestFit="1" customWidth="1"/>
    <col min="39" max="39" width="5" style="1" bestFit="1" customWidth="1"/>
    <col min="40" max="40" width="9.5703125" style="1" bestFit="1" customWidth="1"/>
    <col min="41" max="41" width="10.140625" style="1" bestFit="1" customWidth="1"/>
    <col min="42" max="42" width="11.140625" style="1" bestFit="1" customWidth="1"/>
    <col min="43" max="43" width="8.28515625" style="1" bestFit="1" customWidth="1"/>
    <col min="44" max="44" width="9.7109375" style="1" bestFit="1" customWidth="1"/>
    <col min="45" max="45" width="6.7109375" style="275" bestFit="1" customWidth="1"/>
    <col min="46" max="46" width="6" style="1" bestFit="1" customWidth="1"/>
    <col min="47" max="47" width="6.85546875" style="1" bestFit="1" customWidth="1"/>
    <col min="48" max="48" width="5.7109375" style="1" bestFit="1" customWidth="1"/>
    <col min="49" max="49" width="7.140625" style="1" bestFit="1" customWidth="1"/>
    <col min="50" max="50" width="5.7109375" style="1" bestFit="1" customWidth="1"/>
    <col min="51" max="51" width="7.85546875" style="275" bestFit="1" customWidth="1"/>
    <col min="52" max="52" width="8.140625" style="1" bestFit="1" customWidth="1"/>
    <col min="53" max="53" width="12.140625" style="1" bestFit="1" customWidth="1"/>
    <col min="54" max="54" width="10" style="1" bestFit="1" customWidth="1"/>
    <col min="55" max="55" width="9.7109375" style="1" bestFit="1" customWidth="1"/>
    <col min="56" max="56" width="11.7109375" style="1" bestFit="1" customWidth="1"/>
    <col min="57" max="57" width="8.140625" style="1" bestFit="1" customWidth="1"/>
    <col min="58" max="58" width="5" style="1" bestFit="1" customWidth="1"/>
    <col min="59" max="59" width="6.85546875" style="1" bestFit="1" customWidth="1"/>
    <col min="60" max="60" width="5.7109375" style="1" bestFit="1" customWidth="1"/>
    <col min="61" max="61" width="7.7109375" style="1" bestFit="1" customWidth="1"/>
    <col min="62" max="62" width="5.7109375" style="1" bestFit="1" customWidth="1"/>
    <col min="63" max="63" width="7.42578125" style="1" bestFit="1" customWidth="1"/>
    <col min="64" max="64" width="5.7109375" style="1" bestFit="1" customWidth="1"/>
    <col min="65" max="65" width="7.42578125" style="1" bestFit="1" customWidth="1"/>
    <col min="66" max="66" width="5.7109375" style="1" bestFit="1" customWidth="1"/>
    <col min="67" max="67" width="8.140625" style="1" bestFit="1" customWidth="1"/>
    <col min="68" max="68" width="6.85546875" style="1" bestFit="1" customWidth="1"/>
    <col min="69" max="69" width="8.140625" style="275" bestFit="1" customWidth="1"/>
    <col min="70" max="70" width="6.85546875" style="1" bestFit="1" customWidth="1"/>
    <col min="71" max="71" width="7.7109375" style="275" bestFit="1" customWidth="1"/>
    <col min="72" max="72" width="5.7109375" style="1" bestFit="1" customWidth="1"/>
    <col min="73" max="73" width="7.140625" style="1" bestFit="1" customWidth="1"/>
    <col min="74" max="74" width="6.42578125" style="1" bestFit="1" customWidth="1"/>
    <col min="75" max="75" width="6.85546875" style="1" bestFit="1" customWidth="1"/>
    <col min="76" max="76" width="5.7109375" style="1" bestFit="1" customWidth="1"/>
    <col min="77" max="77" width="8.140625" style="275" bestFit="1" customWidth="1"/>
    <col min="78" max="78" width="5.7109375" style="1" bestFit="1" customWidth="1"/>
    <col min="79" max="79" width="7.85546875" style="1" bestFit="1" customWidth="1"/>
    <col min="80" max="80" width="5.7109375" style="1" bestFit="1" customWidth="1"/>
    <col min="81" max="81" width="8.7109375" style="1" bestFit="1" customWidth="1"/>
    <col min="82" max="82" width="5.7109375" style="1" bestFit="1" customWidth="1"/>
    <col min="83" max="83" width="8.140625" style="275" bestFit="1" customWidth="1"/>
    <col min="84" max="84" width="5.7109375" style="1" bestFit="1" customWidth="1"/>
    <col min="85" max="85" width="8.140625" style="1" bestFit="1" customWidth="1"/>
    <col min="86" max="86" width="5.7109375" style="1" bestFit="1" customWidth="1"/>
    <col min="87" max="87" width="8.5703125" style="1" bestFit="1" customWidth="1"/>
    <col min="88" max="88" width="5.7109375" style="1" bestFit="1" customWidth="1"/>
    <col min="89" max="89" width="8.7109375" style="1" bestFit="1" customWidth="1"/>
    <col min="90" max="90" width="5.7109375" style="1" bestFit="1" customWidth="1"/>
    <col min="91" max="91" width="8.140625" style="1" bestFit="1" customWidth="1"/>
    <col min="92" max="92" width="5" style="1" bestFit="1" customWidth="1"/>
    <col min="93" max="93" width="7.7109375" style="1" bestFit="1" customWidth="1"/>
    <col min="94" max="94" width="5.7109375" style="1" bestFit="1" customWidth="1"/>
    <col min="95" max="95" width="8.7109375" style="1" bestFit="1" customWidth="1"/>
    <col min="96" max="96" width="5" style="1" bestFit="1" customWidth="1"/>
    <col min="97" max="97" width="8.140625" style="1" bestFit="1" customWidth="1"/>
    <col min="98" max="98" width="5.7109375" style="1" bestFit="1" customWidth="1"/>
    <col min="99" max="99" width="9.140625" style="275" bestFit="1" customWidth="1"/>
    <col min="100" max="100" width="5.7109375" style="1" bestFit="1" customWidth="1"/>
    <col min="101" max="101" width="8.28515625" style="1" bestFit="1" customWidth="1"/>
    <col min="102" max="102" width="5.7109375" style="1" bestFit="1" customWidth="1"/>
    <col min="103" max="103" width="7.7109375" style="1" bestFit="1" customWidth="1"/>
    <col min="104" max="104" width="5.7109375" style="1" bestFit="1" customWidth="1"/>
  </cols>
  <sheetData>
    <row r="1" spans="1:104" ht="15.75" thickBot="1" x14ac:dyDescent="0.3">
      <c r="B1" s="710" t="s">
        <v>67</v>
      </c>
      <c r="C1" s="710"/>
      <c r="D1" s="710"/>
      <c r="E1" s="710"/>
      <c r="F1" s="710"/>
      <c r="G1" s="710"/>
      <c r="H1" s="710"/>
      <c r="I1" s="710"/>
      <c r="J1" s="710"/>
      <c r="K1" s="710"/>
      <c r="L1" s="710"/>
      <c r="M1" s="511"/>
      <c r="N1" s="710" t="s">
        <v>68</v>
      </c>
      <c r="O1" s="710"/>
      <c r="P1" s="710"/>
      <c r="Q1" s="710" t="s">
        <v>133</v>
      </c>
      <c r="R1" s="710"/>
      <c r="S1" s="710"/>
      <c r="T1" s="710"/>
      <c r="AJ1" s="288"/>
      <c r="AK1" s="278"/>
      <c r="AL1" s="288"/>
      <c r="AM1" s="278"/>
      <c r="AN1" s="288"/>
      <c r="AO1" s="278"/>
      <c r="AP1" s="303"/>
      <c r="AQ1" s="288"/>
      <c r="AR1" s="278"/>
      <c r="AS1" s="288"/>
      <c r="AT1" s="278"/>
      <c r="AU1" s="288"/>
      <c r="AV1" s="278"/>
      <c r="AW1" s="288"/>
      <c r="AX1" s="278"/>
      <c r="AY1" s="288"/>
      <c r="AZ1" s="278"/>
      <c r="BA1" s="303"/>
      <c r="BB1" s="288"/>
      <c r="BC1" s="278"/>
      <c r="BD1" s="303"/>
      <c r="BE1" s="288"/>
      <c r="BF1" s="278"/>
      <c r="BG1" s="288"/>
      <c r="BH1" s="278"/>
      <c r="BI1" s="288"/>
      <c r="BJ1" s="278"/>
      <c r="BK1" s="288"/>
      <c r="BL1" s="278"/>
      <c r="BM1" s="288"/>
      <c r="BN1" s="278"/>
      <c r="BO1" s="288"/>
      <c r="BP1" s="278"/>
      <c r="BQ1" s="288"/>
      <c r="BR1" s="278"/>
      <c r="BS1" s="288"/>
      <c r="BT1" s="278"/>
      <c r="BU1" s="288"/>
      <c r="BV1" s="278"/>
      <c r="BW1" s="288"/>
      <c r="BX1" s="278"/>
      <c r="BY1" s="288"/>
      <c r="BZ1" s="278"/>
      <c r="CA1" s="288"/>
      <c r="CB1" s="278"/>
      <c r="CC1" s="278"/>
      <c r="CD1" s="278"/>
      <c r="CE1" s="278"/>
      <c r="CF1" s="278"/>
      <c r="CG1" s="278"/>
      <c r="CH1" s="278"/>
      <c r="CI1" s="278"/>
      <c r="CJ1" s="278"/>
      <c r="CK1" s="278"/>
      <c r="CL1" s="278"/>
      <c r="CM1" s="288"/>
      <c r="CN1" s="278"/>
      <c r="CO1" s="288"/>
      <c r="CP1" s="278"/>
      <c r="CQ1" s="288"/>
      <c r="CR1" s="278"/>
      <c r="CS1" s="288"/>
      <c r="CT1" s="278"/>
      <c r="CU1" s="288"/>
      <c r="CV1" s="278"/>
      <c r="CW1" s="288"/>
      <c r="CX1" s="278"/>
      <c r="CY1" s="288"/>
      <c r="CZ1" s="278"/>
    </row>
    <row r="2" spans="1:104" ht="18" x14ac:dyDescent="0.25">
      <c r="A2" s="711" t="s">
        <v>1</v>
      </c>
      <c r="B2" s="512" t="s">
        <v>23</v>
      </c>
      <c r="C2" s="513" t="s">
        <v>71</v>
      </c>
      <c r="D2" s="512" t="s">
        <v>24</v>
      </c>
      <c r="E2" s="513" t="s">
        <v>71</v>
      </c>
      <c r="F2" s="512" t="s">
        <v>129</v>
      </c>
      <c r="G2" s="513" t="s">
        <v>71</v>
      </c>
      <c r="H2" s="512" t="s">
        <v>20</v>
      </c>
      <c r="I2" s="513" t="s">
        <v>71</v>
      </c>
      <c r="J2" s="512" t="s">
        <v>21</v>
      </c>
      <c r="K2" s="513" t="s">
        <v>71</v>
      </c>
      <c r="L2" s="512" t="s">
        <v>22</v>
      </c>
      <c r="M2" s="513" t="s">
        <v>71</v>
      </c>
      <c r="N2" s="514" t="s">
        <v>7</v>
      </c>
      <c r="O2" s="514" t="s">
        <v>12</v>
      </c>
      <c r="P2" s="515" t="s">
        <v>71</v>
      </c>
      <c r="Q2" s="516" t="s">
        <v>76</v>
      </c>
      <c r="R2" s="516" t="s">
        <v>78</v>
      </c>
      <c r="S2" s="516" t="s">
        <v>63</v>
      </c>
      <c r="T2" s="516" t="s">
        <v>64</v>
      </c>
      <c r="U2" s="517" t="s">
        <v>134</v>
      </c>
      <c r="V2" s="517" t="s">
        <v>135</v>
      </c>
      <c r="W2" s="517" t="s">
        <v>136</v>
      </c>
      <c r="X2" s="517" t="s">
        <v>137</v>
      </c>
      <c r="Y2" s="517" t="s">
        <v>138</v>
      </c>
      <c r="Z2" s="517" t="s">
        <v>139</v>
      </c>
      <c r="AA2" s="514" t="s">
        <v>140</v>
      </c>
      <c r="AB2" s="514" t="s">
        <v>141</v>
      </c>
      <c r="AC2" s="514" t="s">
        <v>142</v>
      </c>
      <c r="AD2" s="514" t="s">
        <v>143</v>
      </c>
      <c r="AE2" s="514" t="s">
        <v>144</v>
      </c>
      <c r="AF2" s="514" t="s">
        <v>145</v>
      </c>
      <c r="AG2" s="518" t="s">
        <v>13</v>
      </c>
      <c r="AH2" s="504" t="s">
        <v>131</v>
      </c>
      <c r="AI2" s="504" t="s">
        <v>132</v>
      </c>
      <c r="AJ2" s="289" t="s">
        <v>81</v>
      </c>
      <c r="AK2" s="290" t="s">
        <v>71</v>
      </c>
      <c r="AL2" s="289" t="s">
        <v>82</v>
      </c>
      <c r="AM2" s="290" t="s">
        <v>71</v>
      </c>
      <c r="AN2" s="289" t="s">
        <v>83</v>
      </c>
      <c r="AO2" s="290" t="s">
        <v>71</v>
      </c>
      <c r="AP2" s="240" t="s">
        <v>126</v>
      </c>
      <c r="AQ2" s="289" t="s">
        <v>84</v>
      </c>
      <c r="AR2" s="290" t="s">
        <v>71</v>
      </c>
      <c r="AS2" s="289" t="s">
        <v>85</v>
      </c>
      <c r="AT2" s="290" t="s">
        <v>71</v>
      </c>
      <c r="AU2" s="289" t="s">
        <v>86</v>
      </c>
      <c r="AV2" s="290" t="s">
        <v>71</v>
      </c>
      <c r="AW2" s="289" t="s">
        <v>87</v>
      </c>
      <c r="AX2" s="290" t="s">
        <v>71</v>
      </c>
      <c r="AY2" s="289" t="s">
        <v>88</v>
      </c>
      <c r="AZ2" s="290" t="s">
        <v>71</v>
      </c>
      <c r="BA2" s="240" t="s">
        <v>127</v>
      </c>
      <c r="BB2" s="289" t="s">
        <v>89</v>
      </c>
      <c r="BC2" s="290" t="s">
        <v>71</v>
      </c>
      <c r="BD2" s="240" t="s">
        <v>125</v>
      </c>
      <c r="BE2" s="289" t="s">
        <v>90</v>
      </c>
      <c r="BF2" s="290" t="s">
        <v>71</v>
      </c>
      <c r="BG2" s="289" t="s">
        <v>91</v>
      </c>
      <c r="BH2" s="290" t="s">
        <v>71</v>
      </c>
      <c r="BI2" s="289" t="s">
        <v>92</v>
      </c>
      <c r="BJ2" s="290" t="s">
        <v>71</v>
      </c>
      <c r="BK2" s="289" t="s">
        <v>93</v>
      </c>
      <c r="BL2" s="290" t="s">
        <v>71</v>
      </c>
      <c r="BM2" s="289" t="s">
        <v>94</v>
      </c>
      <c r="BN2" s="290" t="s">
        <v>71</v>
      </c>
      <c r="BO2" s="289" t="s">
        <v>95</v>
      </c>
      <c r="BP2" s="290" t="s">
        <v>71</v>
      </c>
      <c r="BQ2" s="289" t="s">
        <v>96</v>
      </c>
      <c r="BR2" s="290" t="s">
        <v>71</v>
      </c>
      <c r="BS2" s="289" t="s">
        <v>97</v>
      </c>
      <c r="BT2" s="290" t="s">
        <v>71</v>
      </c>
      <c r="BU2" s="289" t="s">
        <v>98</v>
      </c>
      <c r="BV2" s="290" t="s">
        <v>71</v>
      </c>
      <c r="BW2" s="289" t="s">
        <v>99</v>
      </c>
      <c r="BX2" s="290" t="s">
        <v>71</v>
      </c>
      <c r="BY2" s="289" t="s">
        <v>100</v>
      </c>
      <c r="BZ2" s="290" t="s">
        <v>71</v>
      </c>
      <c r="CA2" s="289" t="s">
        <v>101</v>
      </c>
      <c r="CB2" s="290" t="s">
        <v>71</v>
      </c>
      <c r="CC2" s="289" t="s">
        <v>102</v>
      </c>
      <c r="CD2" s="290" t="s">
        <v>71</v>
      </c>
      <c r="CE2" s="289" t="s">
        <v>103</v>
      </c>
      <c r="CF2" s="290" t="s">
        <v>71</v>
      </c>
      <c r="CG2" s="289" t="s">
        <v>104</v>
      </c>
      <c r="CH2" s="290" t="s">
        <v>71</v>
      </c>
      <c r="CI2" s="289" t="s">
        <v>105</v>
      </c>
      <c r="CJ2" s="290" t="s">
        <v>71</v>
      </c>
      <c r="CK2" s="289" t="s">
        <v>106</v>
      </c>
      <c r="CL2" s="290" t="s">
        <v>71</v>
      </c>
      <c r="CM2" s="289" t="s">
        <v>107</v>
      </c>
      <c r="CN2" s="290" t="s">
        <v>71</v>
      </c>
      <c r="CO2" s="289" t="s">
        <v>108</v>
      </c>
      <c r="CP2" s="290" t="s">
        <v>71</v>
      </c>
      <c r="CQ2" s="289" t="s">
        <v>109</v>
      </c>
      <c r="CR2" s="290" t="s">
        <v>71</v>
      </c>
      <c r="CS2" s="289" t="s">
        <v>110</v>
      </c>
      <c r="CT2" s="290" t="s">
        <v>71</v>
      </c>
      <c r="CU2" s="289" t="s">
        <v>111</v>
      </c>
      <c r="CV2" s="290" t="s">
        <v>71</v>
      </c>
      <c r="CW2" s="289" t="s">
        <v>112</v>
      </c>
      <c r="CX2" s="290" t="s">
        <v>71</v>
      </c>
      <c r="CY2" s="289" t="s">
        <v>113</v>
      </c>
      <c r="CZ2" s="290" t="s">
        <v>71</v>
      </c>
    </row>
    <row r="3" spans="1:104" ht="18.75" thickBot="1" x14ac:dyDescent="0.3">
      <c r="A3" s="711"/>
      <c r="B3" s="512" t="s">
        <v>15</v>
      </c>
      <c r="C3" s="513"/>
      <c r="D3" s="512" t="s">
        <v>15</v>
      </c>
      <c r="E3" s="513"/>
      <c r="F3" s="512" t="s">
        <v>15</v>
      </c>
      <c r="G3" s="513"/>
      <c r="H3" s="512" t="s">
        <v>15</v>
      </c>
      <c r="I3" s="513"/>
      <c r="J3" s="512" t="s">
        <v>15</v>
      </c>
      <c r="K3" s="513"/>
      <c r="L3" s="512" t="s">
        <v>15</v>
      </c>
      <c r="M3" s="513"/>
      <c r="N3" s="514" t="s">
        <v>15</v>
      </c>
      <c r="O3" s="514" t="s">
        <v>15</v>
      </c>
      <c r="P3" s="515"/>
      <c r="Q3" s="516" t="s">
        <v>15</v>
      </c>
      <c r="R3" s="516" t="s">
        <v>15</v>
      </c>
      <c r="S3" s="516" t="s">
        <v>77</v>
      </c>
      <c r="T3" s="516" t="s">
        <v>77</v>
      </c>
      <c r="U3" s="517" t="s">
        <v>16</v>
      </c>
      <c r="V3" s="517" t="s">
        <v>16</v>
      </c>
      <c r="W3" s="517" t="s">
        <v>16</v>
      </c>
      <c r="X3" s="517" t="s">
        <v>16</v>
      </c>
      <c r="Y3" s="517" t="s">
        <v>16</v>
      </c>
      <c r="Z3" s="517" t="s">
        <v>16</v>
      </c>
      <c r="AA3" s="514" t="s">
        <v>16</v>
      </c>
      <c r="AB3" s="514" t="s">
        <v>16</v>
      </c>
      <c r="AC3" s="514" t="s">
        <v>16</v>
      </c>
      <c r="AD3" s="514" t="s">
        <v>16</v>
      </c>
      <c r="AE3" s="514" t="s">
        <v>16</v>
      </c>
      <c r="AF3" s="514" t="s">
        <v>16</v>
      </c>
      <c r="AG3" s="518" t="s">
        <v>17</v>
      </c>
      <c r="AH3" s="504"/>
      <c r="AI3" s="504"/>
      <c r="AJ3" s="291" t="s">
        <v>122</v>
      </c>
      <c r="AK3" s="292"/>
      <c r="AL3" s="291" t="s">
        <v>122</v>
      </c>
      <c r="AM3" s="292"/>
      <c r="AN3" s="291" t="s">
        <v>122</v>
      </c>
      <c r="AO3" s="292"/>
      <c r="AP3" s="235" t="s">
        <v>122</v>
      </c>
      <c r="AQ3" s="291" t="s">
        <v>122</v>
      </c>
      <c r="AR3" s="292"/>
      <c r="AS3" s="291" t="s">
        <v>122</v>
      </c>
      <c r="AT3" s="292"/>
      <c r="AU3" s="291" t="s">
        <v>122</v>
      </c>
      <c r="AV3" s="292"/>
      <c r="AW3" s="291" t="s">
        <v>122</v>
      </c>
      <c r="AX3" s="292"/>
      <c r="AY3" s="291" t="s">
        <v>122</v>
      </c>
      <c r="AZ3" s="292"/>
      <c r="BA3" s="235" t="s">
        <v>122</v>
      </c>
      <c r="BB3" s="291" t="s">
        <v>122</v>
      </c>
      <c r="BC3" s="292"/>
      <c r="BD3" s="235" t="s">
        <v>122</v>
      </c>
      <c r="BE3" s="291" t="s">
        <v>122</v>
      </c>
      <c r="BF3" s="292"/>
      <c r="BG3" s="291" t="s">
        <v>122</v>
      </c>
      <c r="BH3" s="292"/>
      <c r="BI3" s="291" t="s">
        <v>122</v>
      </c>
      <c r="BJ3" s="292"/>
      <c r="BK3" s="291" t="s">
        <v>122</v>
      </c>
      <c r="BL3" s="292"/>
      <c r="BM3" s="291" t="s">
        <v>122</v>
      </c>
      <c r="BN3" s="292"/>
      <c r="BO3" s="291" t="s">
        <v>122</v>
      </c>
      <c r="BP3" s="292"/>
      <c r="BQ3" s="291" t="s">
        <v>122</v>
      </c>
      <c r="BR3" s="292"/>
      <c r="BS3" s="291" t="s">
        <v>122</v>
      </c>
      <c r="BT3" s="292"/>
      <c r="BU3" s="291" t="s">
        <v>122</v>
      </c>
      <c r="BV3" s="292"/>
      <c r="BW3" s="291" t="s">
        <v>122</v>
      </c>
      <c r="BX3" s="292"/>
      <c r="BY3" s="291" t="s">
        <v>122</v>
      </c>
      <c r="BZ3" s="292"/>
      <c r="CA3" s="291" t="s">
        <v>122</v>
      </c>
      <c r="CB3" s="292"/>
      <c r="CC3" s="291"/>
      <c r="CD3" s="292"/>
      <c r="CE3" s="291"/>
      <c r="CF3" s="292"/>
      <c r="CG3" s="291"/>
      <c r="CH3" s="292"/>
      <c r="CI3" s="291"/>
      <c r="CJ3" s="292"/>
      <c r="CK3" s="291"/>
      <c r="CL3" s="292"/>
      <c r="CM3" s="291" t="s">
        <v>122</v>
      </c>
      <c r="CN3" s="292"/>
      <c r="CO3" s="291" t="s">
        <v>122</v>
      </c>
      <c r="CP3" s="292"/>
      <c r="CQ3" s="291" t="s">
        <v>122</v>
      </c>
      <c r="CR3" s="292"/>
      <c r="CS3" s="291" t="s">
        <v>122</v>
      </c>
      <c r="CT3" s="292"/>
      <c r="CU3" s="291" t="s">
        <v>122</v>
      </c>
      <c r="CV3" s="292"/>
      <c r="CW3" s="291" t="s">
        <v>122</v>
      </c>
      <c r="CX3" s="292"/>
      <c r="CY3" s="291" t="s">
        <v>122</v>
      </c>
      <c r="CZ3" s="292"/>
    </row>
    <row r="4" spans="1:104" x14ac:dyDescent="0.25">
      <c r="A4" s="511" t="s">
        <v>25</v>
      </c>
      <c r="B4" s="519">
        <v>5.0037699768232198E-2</v>
      </c>
      <c r="C4" s="520">
        <v>1.2285267150169126</v>
      </c>
      <c r="D4" s="26">
        <v>39.51039130434782</v>
      </c>
      <c r="E4" s="210"/>
      <c r="F4" s="22">
        <v>1.2396559450308704</v>
      </c>
      <c r="G4" s="210"/>
      <c r="H4" s="7">
        <v>9.6494818761202943</v>
      </c>
      <c r="I4" s="7"/>
      <c r="J4" s="7">
        <v>29.087287094204342</v>
      </c>
      <c r="K4" s="7"/>
      <c r="L4" s="7">
        <v>81.648699163513257</v>
      </c>
      <c r="M4" s="7"/>
      <c r="N4" s="521">
        <v>0.11766666666666666</v>
      </c>
      <c r="O4" s="8">
        <v>502.26807422133862</v>
      </c>
      <c r="P4" s="8">
        <v>0.76224229290816636</v>
      </c>
      <c r="Q4" s="522">
        <v>9.4</v>
      </c>
      <c r="R4" s="354">
        <v>0.28999999999999998</v>
      </c>
      <c r="S4" s="523">
        <v>40.299999999999997</v>
      </c>
      <c r="T4" s="523">
        <v>29.9</v>
      </c>
      <c r="U4" s="8">
        <v>7.1482428240331715E-3</v>
      </c>
      <c r="V4" s="354">
        <v>1.7178431001890357</v>
      </c>
      <c r="W4" s="359">
        <v>6.8869774723937238E-2</v>
      </c>
      <c r="X4" s="354">
        <v>0.24742261220821268</v>
      </c>
      <c r="Y4" s="8">
        <v>2.394015398699946</v>
      </c>
      <c r="Z4" s="8">
        <v>4.0753031776148365</v>
      </c>
      <c r="AA4" s="50">
        <v>6.19298245614035E-3</v>
      </c>
      <c r="AB4" s="8">
        <f>Q4/35.5</f>
        <v>0.26478873239436623</v>
      </c>
      <c r="AC4" s="50"/>
      <c r="AD4" s="50">
        <f>R4/62</f>
        <v>4.6774193548387091E-3</v>
      </c>
      <c r="AE4" s="8"/>
      <c r="AF4" s="8">
        <v>10.463918212944554</v>
      </c>
      <c r="AG4" s="22">
        <v>9.230420975916271</v>
      </c>
      <c r="AH4" s="505">
        <v>10.733384364693759</v>
      </c>
      <c r="AI4" s="505">
        <v>-7.5284414125206158</v>
      </c>
      <c r="AJ4" s="364">
        <v>2.9187512445546564</v>
      </c>
      <c r="AK4" s="111">
        <v>0.2033873747281339</v>
      </c>
      <c r="AL4" s="369">
        <v>1470.0908917300906</v>
      </c>
      <c r="AM4" s="202">
        <v>106.64145746579507</v>
      </c>
      <c r="AN4" s="369">
        <v>3989.5641160177856</v>
      </c>
      <c r="AO4" s="202">
        <v>80.929640403131856</v>
      </c>
      <c r="AP4" s="336">
        <f>N4*1000</f>
        <v>117.66666666666666</v>
      </c>
      <c r="AQ4" s="369">
        <v>12770.362587386984</v>
      </c>
      <c r="AR4" s="202">
        <v>399.83290261606459</v>
      </c>
      <c r="AS4" s="369">
        <v>168.53724886314123</v>
      </c>
      <c r="AT4" s="202">
        <v>2.039116499787923</v>
      </c>
      <c r="AU4" s="372" t="s">
        <v>115</v>
      </c>
      <c r="AV4" s="111"/>
      <c r="AW4" s="372" t="s">
        <v>119</v>
      </c>
      <c r="AX4" s="377"/>
      <c r="AY4" s="369">
        <v>1606.1031305246606</v>
      </c>
      <c r="AZ4" s="111">
        <v>37.951726894661626</v>
      </c>
      <c r="BA4" s="336">
        <f>'-ITER'!BZ4</f>
        <v>1606.1031305246606</v>
      </c>
      <c r="BB4" s="369">
        <v>6216.7055037551609</v>
      </c>
      <c r="BC4" s="202">
        <v>129.42011955741791</v>
      </c>
      <c r="BD4" s="575">
        <f>N4*1000</f>
        <v>117.66666666666666</v>
      </c>
      <c r="BE4" s="369">
        <v>13.719702236254092</v>
      </c>
      <c r="BF4" s="111">
        <v>0.17186006248596822</v>
      </c>
      <c r="BG4" s="369">
        <v>30.582901034413599</v>
      </c>
      <c r="BH4" s="111">
        <v>0.37467620328966794</v>
      </c>
      <c r="BI4" s="369">
        <v>10.459602704860261</v>
      </c>
      <c r="BJ4" s="111">
        <v>0.12892953822260544</v>
      </c>
      <c r="BK4" s="256">
        <v>84.044265531339093</v>
      </c>
      <c r="BL4" s="111">
        <v>1.2499083554249906</v>
      </c>
      <c r="BM4" s="372" t="s">
        <v>116</v>
      </c>
      <c r="BN4" s="111"/>
      <c r="BO4" s="364">
        <v>1.4953537895872107</v>
      </c>
      <c r="BP4" s="111">
        <v>4.3975619207287542E-2</v>
      </c>
      <c r="BQ4" s="386" t="s">
        <v>115</v>
      </c>
      <c r="BR4" s="111"/>
      <c r="BS4" s="387">
        <v>16.986294786873589</v>
      </c>
      <c r="BT4" s="111">
        <v>0.19181236979645749</v>
      </c>
      <c r="BU4" s="369">
        <v>398.75654736858814</v>
      </c>
      <c r="BV4" s="111">
        <v>11.200467470112203</v>
      </c>
      <c r="BW4" s="252" t="s">
        <v>116</v>
      </c>
      <c r="BX4" s="111"/>
      <c r="BY4" s="388" t="s">
        <v>117</v>
      </c>
      <c r="BZ4" s="111"/>
      <c r="CA4" s="388" t="s">
        <v>116</v>
      </c>
      <c r="CB4" s="111"/>
      <c r="CC4" s="388" t="s">
        <v>116</v>
      </c>
      <c r="CD4" s="111"/>
      <c r="CE4" s="387">
        <v>7.6320620784106854</v>
      </c>
      <c r="CF4" s="111">
        <v>0.14844073705426827</v>
      </c>
      <c r="CG4" s="388" t="s">
        <v>118</v>
      </c>
      <c r="CH4" s="111"/>
      <c r="CI4" s="386" t="s">
        <v>121</v>
      </c>
      <c r="CJ4" s="111"/>
      <c r="CK4" s="387">
        <v>29.080305342429945</v>
      </c>
      <c r="CL4" s="111">
        <v>0.37026883913787423</v>
      </c>
      <c r="CM4" s="388" t="s">
        <v>119</v>
      </c>
      <c r="CN4" s="111"/>
      <c r="CO4" s="386" t="s">
        <v>115</v>
      </c>
      <c r="CP4" s="111"/>
      <c r="CQ4" s="388" t="s">
        <v>117</v>
      </c>
      <c r="CR4" s="111"/>
      <c r="CS4" s="388" t="s">
        <v>120</v>
      </c>
      <c r="CT4" s="111"/>
      <c r="CU4" s="364">
        <v>1.7786966615149542</v>
      </c>
      <c r="CV4" s="395">
        <v>1.041772570242528E-2</v>
      </c>
      <c r="CW4" s="388" t="s">
        <v>118</v>
      </c>
      <c r="CX4" s="111"/>
      <c r="CY4" s="388" t="s">
        <v>120</v>
      </c>
      <c r="CZ4" s="111"/>
    </row>
    <row r="5" spans="1:104" x14ac:dyDescent="0.25">
      <c r="A5" s="511" t="s">
        <v>26</v>
      </c>
      <c r="B5" s="519">
        <v>5.301604378056371E-2</v>
      </c>
      <c r="C5" s="520">
        <v>0.9719469837945014</v>
      </c>
      <c r="D5" s="26">
        <v>41.998863636363637</v>
      </c>
      <c r="E5" s="210"/>
      <c r="F5" s="22">
        <v>1.6254367897727273</v>
      </c>
      <c r="G5" s="210"/>
      <c r="H5" s="7">
        <v>8.7531285511363635</v>
      </c>
      <c r="I5" s="7"/>
      <c r="J5" s="7">
        <v>30.156395596590908</v>
      </c>
      <c r="K5" s="7"/>
      <c r="L5" s="7">
        <v>90.711487926136357</v>
      </c>
      <c r="M5" s="7"/>
      <c r="N5" s="521">
        <v>0.13900000000000001</v>
      </c>
      <c r="O5" s="8">
        <v>496.75624499900971</v>
      </c>
      <c r="P5" s="8">
        <v>1.7134184652734736</v>
      </c>
      <c r="Q5" s="522">
        <v>9.4</v>
      </c>
      <c r="R5" s="354">
        <v>0.15</v>
      </c>
      <c r="S5" s="523">
        <v>54.9</v>
      </c>
      <c r="T5" s="523">
        <v>25.9</v>
      </c>
      <c r="U5" s="8">
        <v>7.5737205400805297E-3</v>
      </c>
      <c r="V5" s="354">
        <v>1.8260375494071146</v>
      </c>
      <c r="W5" s="359">
        <v>9.030204387626263E-2</v>
      </c>
      <c r="X5" s="354">
        <v>0.22443919361888112</v>
      </c>
      <c r="Y5" s="8">
        <v>2.4820078680321735</v>
      </c>
      <c r="Z5" s="8">
        <v>4.52765100704449</v>
      </c>
      <c r="AA5" s="50">
        <v>7.3157894736842113E-3</v>
      </c>
      <c r="AB5" s="8">
        <f t="shared" ref="AB5:AB23" si="0">Q5/35.5</f>
        <v>0.26478873239436623</v>
      </c>
      <c r="AC5" s="50"/>
      <c r="AD5" s="50">
        <f t="shared" ref="AD5:AD23" si="1">R5/62</f>
        <v>2.4193548387096775E-3</v>
      </c>
      <c r="AE5" s="8"/>
      <c r="AF5" s="8">
        <v>10.349088437479368</v>
      </c>
      <c r="AG5" s="22">
        <v>10.570072839893943</v>
      </c>
      <c r="AH5" s="505">
        <v>10.616296524712444</v>
      </c>
      <c r="AI5" s="505">
        <v>-0.21817652672346199</v>
      </c>
      <c r="AJ5" s="365">
        <v>3.8438925318391655</v>
      </c>
      <c r="AK5" s="111">
        <v>0.22548152927389595</v>
      </c>
      <c r="AL5" s="370">
        <v>1354.6385421796647</v>
      </c>
      <c r="AM5" s="202">
        <v>22.853094974406368</v>
      </c>
      <c r="AN5" s="370">
        <v>10351.635919697532</v>
      </c>
      <c r="AO5" s="202">
        <v>318.37456386471945</v>
      </c>
      <c r="AP5" s="337">
        <f t="shared" ref="AP5:AP43" si="2">N5*1000</f>
        <v>139</v>
      </c>
      <c r="AQ5" s="370">
        <v>13528.881321069015</v>
      </c>
      <c r="AR5" s="202">
        <v>665.7613193589234</v>
      </c>
      <c r="AS5" s="370">
        <v>192.5416030405151</v>
      </c>
      <c r="AT5" s="202">
        <v>7.5431272221845029</v>
      </c>
      <c r="AU5" s="373" t="s">
        <v>115</v>
      </c>
      <c r="AV5" s="111"/>
      <c r="AW5" s="375" t="s">
        <v>119</v>
      </c>
      <c r="AX5" s="378"/>
      <c r="AY5" s="370">
        <v>1804.7292186576269</v>
      </c>
      <c r="AZ5" s="111">
        <v>41.91880928624014</v>
      </c>
      <c r="BA5" s="336">
        <f>'-ITER'!BZ5</f>
        <v>1804.7292186576269</v>
      </c>
      <c r="BB5" s="370">
        <v>5593.2153871105202</v>
      </c>
      <c r="BC5" s="202">
        <v>215.36338855160832</v>
      </c>
      <c r="BD5" s="575">
        <f t="shared" ref="BD5:BD23" si="3">N5*1000</f>
        <v>139</v>
      </c>
      <c r="BE5" s="370">
        <v>16.957211964377418</v>
      </c>
      <c r="BF5" s="111">
        <v>0.21294629525465034</v>
      </c>
      <c r="BG5" s="376">
        <v>35.586658655880548</v>
      </c>
      <c r="BH5" s="111">
        <v>0.3671908715821911</v>
      </c>
      <c r="BI5" s="370">
        <v>7.378191394889356</v>
      </c>
      <c r="BJ5" s="111">
        <v>6.897103210435368E-2</v>
      </c>
      <c r="BK5" s="37">
        <v>100.07005120649215</v>
      </c>
      <c r="BL5" s="111">
        <v>0.52472427320044912</v>
      </c>
      <c r="BM5" s="370">
        <v>1.4039118118669691</v>
      </c>
      <c r="BN5" s="111">
        <v>6.2571328410076593E-2</v>
      </c>
      <c r="BO5" s="365">
        <v>2.5146385187529661</v>
      </c>
      <c r="BP5" s="111">
        <v>6.2642999332332541E-2</v>
      </c>
      <c r="BQ5" s="368" t="s">
        <v>115</v>
      </c>
      <c r="BR5" s="111"/>
      <c r="BS5" s="384">
        <v>17.699399994254318</v>
      </c>
      <c r="BT5" s="111">
        <v>0.27849565998283693</v>
      </c>
      <c r="BU5" s="370">
        <v>417.08422940452027</v>
      </c>
      <c r="BV5" s="111">
        <v>2.7201803810064451</v>
      </c>
      <c r="BW5" s="255" t="s">
        <v>116</v>
      </c>
      <c r="BX5" s="111"/>
      <c r="BY5" s="389" t="s">
        <v>117</v>
      </c>
      <c r="BZ5" s="111"/>
      <c r="CA5" s="389" t="s">
        <v>116</v>
      </c>
      <c r="CB5" s="111"/>
      <c r="CC5" s="389" t="s">
        <v>116</v>
      </c>
      <c r="CD5" s="111"/>
      <c r="CE5" s="391">
        <v>4.5970784145775996</v>
      </c>
      <c r="CF5" s="111">
        <v>5.9493613035632623E-2</v>
      </c>
      <c r="CG5" s="389" t="s">
        <v>118</v>
      </c>
      <c r="CH5" s="111"/>
      <c r="CI5" s="368" t="s">
        <v>121</v>
      </c>
      <c r="CJ5" s="111"/>
      <c r="CK5" s="384">
        <v>32.721997057827359</v>
      </c>
      <c r="CL5" s="111">
        <v>0.53026492785449397</v>
      </c>
      <c r="CM5" s="389" t="s">
        <v>119</v>
      </c>
      <c r="CN5" s="111"/>
      <c r="CO5" s="368" t="s">
        <v>115</v>
      </c>
      <c r="CP5" s="111"/>
      <c r="CQ5" s="389" t="s">
        <v>117</v>
      </c>
      <c r="CR5" s="111"/>
      <c r="CS5" s="389" t="s">
        <v>120</v>
      </c>
      <c r="CT5" s="111"/>
      <c r="CU5" s="383">
        <v>3.7178652088339037</v>
      </c>
      <c r="CV5" s="396">
        <v>4.9698892862621094E-2</v>
      </c>
      <c r="CW5" s="389" t="s">
        <v>118</v>
      </c>
      <c r="CX5" s="111"/>
      <c r="CY5" s="389" t="s">
        <v>120</v>
      </c>
      <c r="CZ5" s="111"/>
    </row>
    <row r="6" spans="1:104" x14ac:dyDescent="0.25">
      <c r="A6" s="511" t="s">
        <v>27</v>
      </c>
      <c r="B6" s="519">
        <v>5.8911714998831841E-2</v>
      </c>
      <c r="C6" s="520">
        <v>0.45395256810807505</v>
      </c>
      <c r="D6" s="26">
        <v>42.091742475583011</v>
      </c>
      <c r="E6" s="210"/>
      <c r="F6" s="22">
        <v>1.4504046242774564</v>
      </c>
      <c r="G6" s="210"/>
      <c r="H6" s="22">
        <v>9.6226844727925034</v>
      </c>
      <c r="I6" s="7"/>
      <c r="J6" s="7">
        <v>29.828321307554312</v>
      </c>
      <c r="K6" s="7"/>
      <c r="L6" s="7">
        <v>85.353811441100248</v>
      </c>
      <c r="M6" s="7"/>
      <c r="N6" s="521">
        <v>0.14633333333333332</v>
      </c>
      <c r="O6" s="8">
        <v>498.50577506613757</v>
      </c>
      <c r="P6" s="8">
        <v>0.60389791168216211</v>
      </c>
      <c r="Q6" s="522">
        <v>10.1</v>
      </c>
      <c r="R6" s="354">
        <v>0.17</v>
      </c>
      <c r="S6" s="523">
        <v>57.7</v>
      </c>
      <c r="T6" s="523">
        <v>26.7</v>
      </c>
      <c r="U6" s="8">
        <v>8.4159592855474058E-3</v>
      </c>
      <c r="V6" s="354">
        <v>1.8300757598079571</v>
      </c>
      <c r="W6" s="359">
        <v>8.0578034682080912E-2</v>
      </c>
      <c r="X6" s="354">
        <v>0.24673549930237187</v>
      </c>
      <c r="Y6" s="8">
        <v>2.4550058689345113</v>
      </c>
      <c r="Z6" s="8">
        <v>4.2602351605240951</v>
      </c>
      <c r="AA6" s="50">
        <v>7.701754385964911E-3</v>
      </c>
      <c r="AB6" s="8">
        <f t="shared" si="0"/>
        <v>0.28450704225352114</v>
      </c>
      <c r="AC6" s="50">
        <v>7.9682937004589061E-4</v>
      </c>
      <c r="AD6" s="50">
        <f t="shared" si="1"/>
        <v>2.7419354838709681E-3</v>
      </c>
      <c r="AE6" s="8"/>
      <c r="AF6" s="8">
        <v>10.385536980544533</v>
      </c>
      <c r="AG6" s="22">
        <v>9.8324209275318193</v>
      </c>
      <c r="AH6" s="505">
        <v>10.672785958281924</v>
      </c>
      <c r="AI6" s="505">
        <v>-4.0983006678732927</v>
      </c>
      <c r="AJ6" s="365">
        <v>5.0788626369727252</v>
      </c>
      <c r="AK6" s="111">
        <v>0.41866897075303217</v>
      </c>
      <c r="AL6" s="370">
        <v>1439.9586481267847</v>
      </c>
      <c r="AM6" s="202">
        <v>69.845149133256029</v>
      </c>
      <c r="AN6" s="370">
        <v>7185.5290919649606</v>
      </c>
      <c r="AO6" s="202">
        <v>111.00142728002699</v>
      </c>
      <c r="AP6" s="337">
        <f t="shared" si="2"/>
        <v>146.33333333333331</v>
      </c>
      <c r="AQ6" s="370">
        <v>13645.818390147697</v>
      </c>
      <c r="AR6" s="202">
        <v>884.40028253101718</v>
      </c>
      <c r="AS6" s="370">
        <v>182.20695816049709</v>
      </c>
      <c r="AT6" s="202">
        <v>1.084464311515889</v>
      </c>
      <c r="AU6" s="373" t="s">
        <v>115</v>
      </c>
      <c r="AV6" s="111"/>
      <c r="AW6" s="375" t="s">
        <v>119</v>
      </c>
      <c r="AX6" s="378"/>
      <c r="AY6" s="370">
        <v>1965.2325911490441</v>
      </c>
      <c r="AZ6" s="111">
        <v>29.204169161367375</v>
      </c>
      <c r="BA6" s="336">
        <f>'-ITER'!BZ6</f>
        <v>1965.2325911490441</v>
      </c>
      <c r="BB6" s="370">
        <v>2323.3063300121867</v>
      </c>
      <c r="BC6" s="202">
        <v>14.455653540638936</v>
      </c>
      <c r="BD6" s="575">
        <f t="shared" si="3"/>
        <v>146.33333333333331</v>
      </c>
      <c r="BE6" s="370">
        <v>22.045297563419968</v>
      </c>
      <c r="BF6" s="111">
        <v>0.16304249084770192</v>
      </c>
      <c r="BG6" s="376">
        <v>42.832652080268481</v>
      </c>
      <c r="BH6" s="111">
        <v>0.54066128026630667</v>
      </c>
      <c r="BI6" s="376">
        <v>18.456044766856309</v>
      </c>
      <c r="BJ6" s="111">
        <v>0.23887984876044249</v>
      </c>
      <c r="BK6" s="37">
        <v>132.26804111839402</v>
      </c>
      <c r="BL6" s="111">
        <v>1.8323324519707671</v>
      </c>
      <c r="BM6" s="370">
        <v>2.2606602787905077</v>
      </c>
      <c r="BN6" s="111">
        <v>0.1093621841460545</v>
      </c>
      <c r="BO6" s="365">
        <v>4.1803542108098668</v>
      </c>
      <c r="BP6" s="111">
        <v>0.23479862142682695</v>
      </c>
      <c r="BQ6" s="365">
        <v>1.1205333568767273</v>
      </c>
      <c r="BR6" s="111">
        <v>8.2370075658120309E-2</v>
      </c>
      <c r="BS6" s="384">
        <v>18.281793067369868</v>
      </c>
      <c r="BT6" s="111">
        <v>0.16415506656654799</v>
      </c>
      <c r="BU6" s="370">
        <v>416.85326507373719</v>
      </c>
      <c r="BV6" s="111">
        <v>4.5969899936785081</v>
      </c>
      <c r="BW6" s="255" t="s">
        <v>116</v>
      </c>
      <c r="BX6" s="111"/>
      <c r="BY6" s="389" t="s">
        <v>117</v>
      </c>
      <c r="BZ6" s="111"/>
      <c r="CA6" s="389" t="s">
        <v>116</v>
      </c>
      <c r="CB6" s="111"/>
      <c r="CC6" s="389" t="s">
        <v>116</v>
      </c>
      <c r="CD6" s="111"/>
      <c r="CE6" s="391">
        <v>3.0353817791037909</v>
      </c>
      <c r="CF6" s="111">
        <v>1.6722388215961323E-2</v>
      </c>
      <c r="CG6" s="389" t="s">
        <v>118</v>
      </c>
      <c r="CH6" s="111"/>
      <c r="CI6" s="365">
        <v>1.0121614032303401</v>
      </c>
      <c r="CJ6" s="111">
        <v>1.3397611561365309E-2</v>
      </c>
      <c r="CK6" s="384">
        <v>43.554000423755234</v>
      </c>
      <c r="CL6" s="111">
        <v>0.65294166386769559</v>
      </c>
      <c r="CM6" s="389" t="s">
        <v>119</v>
      </c>
      <c r="CN6" s="111"/>
      <c r="CO6" s="368" t="s">
        <v>115</v>
      </c>
      <c r="CP6" s="111"/>
      <c r="CQ6" s="389" t="s">
        <v>117</v>
      </c>
      <c r="CR6" s="111"/>
      <c r="CS6" s="389" t="s">
        <v>120</v>
      </c>
      <c r="CT6" s="111"/>
      <c r="CU6" s="383">
        <v>5.6441402670922791</v>
      </c>
      <c r="CV6" s="396">
        <v>6.3817761493594818E-2</v>
      </c>
      <c r="CW6" s="389" t="s">
        <v>118</v>
      </c>
      <c r="CX6" s="111"/>
      <c r="CY6" s="389" t="s">
        <v>120</v>
      </c>
      <c r="CZ6" s="111"/>
    </row>
    <row r="7" spans="1:104" x14ac:dyDescent="0.25">
      <c r="A7" s="511" t="s">
        <v>28</v>
      </c>
      <c r="B7" s="519">
        <v>6.3866327891569E-2</v>
      </c>
      <c r="C7" s="520">
        <v>0.9432938189877017</v>
      </c>
      <c r="D7" s="26">
        <v>64.509983564013851</v>
      </c>
      <c r="E7" s="210"/>
      <c r="F7" s="22">
        <v>1.7510294117647061</v>
      </c>
      <c r="G7" s="210"/>
      <c r="H7" s="22">
        <v>12.174804498269896</v>
      </c>
      <c r="I7" s="7"/>
      <c r="J7" s="7">
        <v>31.559730103806231</v>
      </c>
      <c r="K7" s="7"/>
      <c r="L7" s="7">
        <v>95.286900519031136</v>
      </c>
      <c r="M7" s="7"/>
      <c r="N7" s="521">
        <v>0.16466666666666666</v>
      </c>
      <c r="O7" s="8">
        <v>495.29925636007829</v>
      </c>
      <c r="P7" s="8">
        <v>0.29468415924832819</v>
      </c>
      <c r="Q7" s="522">
        <v>7.8</v>
      </c>
      <c r="R7" s="354">
        <v>0.18</v>
      </c>
      <c r="S7" s="523">
        <v>45.3</v>
      </c>
      <c r="T7" s="523">
        <v>34.700000000000003</v>
      </c>
      <c r="U7" s="8">
        <v>9.123761127367E-3</v>
      </c>
      <c r="V7" s="354">
        <v>2.8047818940875588</v>
      </c>
      <c r="W7" s="359">
        <v>9.7279411764705892E-2</v>
      </c>
      <c r="X7" s="354">
        <v>0.3121744743146127</v>
      </c>
      <c r="Y7" s="8">
        <v>2.5975086505190315</v>
      </c>
      <c r="Z7" s="8">
        <v>4.7560219874734786</v>
      </c>
      <c r="AA7" s="50">
        <v>8.6666666666666663E-3</v>
      </c>
      <c r="AB7" s="8">
        <f t="shared" si="0"/>
        <v>0.21971830985915491</v>
      </c>
      <c r="AC7" s="50"/>
      <c r="AD7" s="50">
        <f t="shared" si="1"/>
        <v>2.9032258064516127E-3</v>
      </c>
      <c r="AE7" s="8"/>
      <c r="AF7" s="8">
        <v>10.318734507501631</v>
      </c>
      <c r="AG7" s="38">
        <v>11.633139296563371</v>
      </c>
      <c r="AH7" s="505">
        <v>10.541356043167237</v>
      </c>
      <c r="AI7" s="505">
        <v>4.923599101892334</v>
      </c>
      <c r="AJ7" s="365">
        <v>5.9136755742276677</v>
      </c>
      <c r="AK7" s="111">
        <v>0.34890303966255304</v>
      </c>
      <c r="AL7" s="370">
        <v>1419.9843675594918</v>
      </c>
      <c r="AM7" s="202">
        <v>50.187276340574051</v>
      </c>
      <c r="AN7" s="370">
        <v>8379.8176244601291</v>
      </c>
      <c r="AO7" s="202">
        <v>186.23012511182594</v>
      </c>
      <c r="AP7" s="337">
        <f t="shared" si="2"/>
        <v>164.66666666666666</v>
      </c>
      <c r="AQ7" s="370">
        <v>16427.535517603399</v>
      </c>
      <c r="AR7" s="202">
        <v>1023.7846890335881</v>
      </c>
      <c r="AS7" s="370">
        <v>188.10368280600355</v>
      </c>
      <c r="AT7" s="202">
        <v>4.6774767571320455</v>
      </c>
      <c r="AU7" s="373" t="s">
        <v>115</v>
      </c>
      <c r="AV7" s="111"/>
      <c r="AW7" s="375" t="s">
        <v>119</v>
      </c>
      <c r="AX7" s="379"/>
      <c r="AY7" s="370">
        <v>2277.3568913924682</v>
      </c>
      <c r="AZ7" s="111">
        <v>27.930203139223373</v>
      </c>
      <c r="BA7" s="336">
        <f>'-ITER'!BZ7</f>
        <v>2277.3568913924682</v>
      </c>
      <c r="BB7" s="370">
        <v>1206.8408289985234</v>
      </c>
      <c r="BC7" s="202">
        <v>31.726109772876526</v>
      </c>
      <c r="BD7" s="575">
        <f t="shared" si="3"/>
        <v>164.66666666666666</v>
      </c>
      <c r="BE7" s="370">
        <v>31.673614481235976</v>
      </c>
      <c r="BF7" s="111">
        <v>0.44977550968057456</v>
      </c>
      <c r="BG7" s="376">
        <v>53.373537347022356</v>
      </c>
      <c r="BH7" s="111">
        <v>0.83121050131539642</v>
      </c>
      <c r="BI7" s="376">
        <v>17.980732365177452</v>
      </c>
      <c r="BJ7" s="111">
        <v>0.39957202961658056</v>
      </c>
      <c r="BK7" s="37">
        <v>178.28612701636393</v>
      </c>
      <c r="BL7" s="111">
        <v>2.4939751841653233</v>
      </c>
      <c r="BM7" s="384">
        <v>2.8621808736759768</v>
      </c>
      <c r="BN7" s="111">
        <v>7.1034425060552214E-2</v>
      </c>
      <c r="BO7" s="365">
        <v>5.2075357043988015</v>
      </c>
      <c r="BP7" s="111">
        <v>0.31511469852626983</v>
      </c>
      <c r="BQ7" s="365">
        <v>1.1995430151085926</v>
      </c>
      <c r="BR7" s="111">
        <v>8.3717795158073163E-2</v>
      </c>
      <c r="BS7" s="384">
        <v>18.764728415583345</v>
      </c>
      <c r="BT7" s="111">
        <v>0.15690944618063254</v>
      </c>
      <c r="BU7" s="370">
        <v>418.46058247629327</v>
      </c>
      <c r="BV7" s="111">
        <v>5.1449626256752028</v>
      </c>
      <c r="BW7" s="255" t="s">
        <v>116</v>
      </c>
      <c r="BX7" s="111"/>
      <c r="BY7" s="389" t="s">
        <v>117</v>
      </c>
      <c r="BZ7" s="111"/>
      <c r="CA7" s="389" t="s">
        <v>116</v>
      </c>
      <c r="CB7" s="111"/>
      <c r="CC7" s="389" t="s">
        <v>116</v>
      </c>
      <c r="CD7" s="111"/>
      <c r="CE7" s="391">
        <v>277.7786680935406</v>
      </c>
      <c r="CF7" s="111">
        <v>1.8983374597922016</v>
      </c>
      <c r="CG7" s="389" t="s">
        <v>118</v>
      </c>
      <c r="CH7" s="111"/>
      <c r="CI7" s="365">
        <v>1.7953866175770132</v>
      </c>
      <c r="CJ7" s="111">
        <v>1.3827614388302996E-2</v>
      </c>
      <c r="CK7" s="384">
        <v>50.056573714725282</v>
      </c>
      <c r="CL7" s="111">
        <v>0.53536024471840793</v>
      </c>
      <c r="CM7" s="389" t="s">
        <v>119</v>
      </c>
      <c r="CN7" s="111"/>
      <c r="CO7" s="368" t="s">
        <v>115</v>
      </c>
      <c r="CP7" s="111"/>
      <c r="CQ7" s="389" t="s">
        <v>117</v>
      </c>
      <c r="CR7" s="111"/>
      <c r="CS7" s="389" t="s">
        <v>120</v>
      </c>
      <c r="CT7" s="111"/>
      <c r="CU7" s="383">
        <v>6.2535807796192984</v>
      </c>
      <c r="CV7" s="396">
        <v>8.901944585338803E-2</v>
      </c>
      <c r="CW7" s="389" t="s">
        <v>118</v>
      </c>
      <c r="CX7" s="111"/>
      <c r="CY7" s="389" t="s">
        <v>120</v>
      </c>
      <c r="CZ7" s="111"/>
    </row>
    <row r="8" spans="1:104" s="509" customFormat="1" ht="15.75" thickBot="1" x14ac:dyDescent="0.3">
      <c r="A8" s="542" t="s">
        <v>29</v>
      </c>
      <c r="B8" s="543">
        <v>6.010249246175705E-2</v>
      </c>
      <c r="C8" s="544">
        <v>1.9731098450471793</v>
      </c>
      <c r="D8" s="27">
        <v>39.71884417910448</v>
      </c>
      <c r="E8" s="211"/>
      <c r="F8" s="23">
        <v>1.7203450746268658</v>
      </c>
      <c r="G8" s="211"/>
      <c r="H8" s="23">
        <v>13.571611144278608</v>
      </c>
      <c r="I8" s="11"/>
      <c r="J8" s="11">
        <v>29.527560199004977</v>
      </c>
      <c r="K8" s="11"/>
      <c r="L8" s="11">
        <v>87.234573930348247</v>
      </c>
      <c r="M8" s="11"/>
      <c r="N8" s="211">
        <v>0.14599999999999999</v>
      </c>
      <c r="O8" s="11">
        <v>493.56928236614505</v>
      </c>
      <c r="P8" s="11">
        <v>0.31235382219945917</v>
      </c>
      <c r="Q8" s="545">
        <v>9.5</v>
      </c>
      <c r="R8" s="546">
        <v>0.15</v>
      </c>
      <c r="S8" s="547">
        <v>42.5</v>
      </c>
      <c r="T8" s="547">
        <v>30.3</v>
      </c>
      <c r="U8" s="356">
        <v>8.586070351679579E-3</v>
      </c>
      <c r="V8" s="355">
        <v>1.7269062686567165</v>
      </c>
      <c r="W8" s="360">
        <v>9.557472636815921E-2</v>
      </c>
      <c r="X8" s="355">
        <v>0.34799002934047712</v>
      </c>
      <c r="Y8" s="356">
        <v>2.430251868230862</v>
      </c>
      <c r="Z8" s="356">
        <v>4.3541090057573371</v>
      </c>
      <c r="AA8" s="54">
        <v>7.684210526315789E-3</v>
      </c>
      <c r="AB8" s="356">
        <f t="shared" si="0"/>
        <v>0.26760563380281688</v>
      </c>
      <c r="AC8" s="54"/>
      <c r="AD8" s="548">
        <f t="shared" si="1"/>
        <v>2.4193548387096775E-3</v>
      </c>
      <c r="AE8" s="53"/>
      <c r="AF8" s="11">
        <v>10.282693382628022</v>
      </c>
      <c r="AG8" s="23">
        <v>9.8998746824415456</v>
      </c>
      <c r="AH8" s="508">
        <v>10.552718371269549</v>
      </c>
      <c r="AI8" s="326">
        <v>-3.1919849337125781</v>
      </c>
      <c r="AJ8" s="366">
        <v>5.1522471632498084</v>
      </c>
      <c r="AK8" s="199">
        <v>0.3514924061389087</v>
      </c>
      <c r="AL8" s="371">
        <v>1328.5455672097626</v>
      </c>
      <c r="AM8" s="203">
        <v>29.426888318797463</v>
      </c>
      <c r="AN8" s="371">
        <v>7161.5385833197788</v>
      </c>
      <c r="AO8" s="274">
        <v>163.46756648291179</v>
      </c>
      <c r="AP8" s="338">
        <f t="shared" si="2"/>
        <v>146</v>
      </c>
      <c r="AQ8" s="371">
        <v>13979.331232171484</v>
      </c>
      <c r="AR8" s="203">
        <v>1129.1249967643819</v>
      </c>
      <c r="AS8" s="371">
        <v>191.73970867789035</v>
      </c>
      <c r="AT8" s="203">
        <v>7.2447245840085692</v>
      </c>
      <c r="AU8" s="374" t="s">
        <v>115</v>
      </c>
      <c r="AV8" s="199"/>
      <c r="AW8" s="374" t="s">
        <v>119</v>
      </c>
      <c r="AX8" s="380"/>
      <c r="AY8" s="371">
        <v>2089.4864285335361</v>
      </c>
      <c r="AZ8" s="199">
        <v>53.00608577937718</v>
      </c>
      <c r="BA8" s="336">
        <f>'-ITER'!BZ8</f>
        <v>2089.4864285335361</v>
      </c>
      <c r="BB8" s="371">
        <v>1845.343074431526</v>
      </c>
      <c r="BC8" s="203">
        <v>26.707592124738632</v>
      </c>
      <c r="BD8" s="575">
        <f t="shared" si="3"/>
        <v>146</v>
      </c>
      <c r="BE8" s="381">
        <v>23.63905713653984</v>
      </c>
      <c r="BF8" s="199">
        <v>0.20975292070655321</v>
      </c>
      <c r="BG8" s="382">
        <v>35.8271803357718</v>
      </c>
      <c r="BH8" s="199">
        <v>0.24159505391310079</v>
      </c>
      <c r="BI8" s="382">
        <v>2.2738243825783604</v>
      </c>
      <c r="BJ8" s="199">
        <v>3.1700100369557255E-2</v>
      </c>
      <c r="BK8" s="261">
        <v>160.87110356404702</v>
      </c>
      <c r="BL8" s="199">
        <v>0.72553272993089646</v>
      </c>
      <c r="BM8" s="371">
        <v>2.1636501640925792</v>
      </c>
      <c r="BN8" s="199">
        <v>0.10340527008178915</v>
      </c>
      <c r="BO8" s="366">
        <v>3.9606908372859047</v>
      </c>
      <c r="BP8" s="199">
        <v>0.22434582543107884</v>
      </c>
      <c r="BQ8" s="366">
        <v>1.0575334045682887</v>
      </c>
      <c r="BR8" s="199">
        <v>5.8182232192031093E-2</v>
      </c>
      <c r="BS8" s="381">
        <v>18.099217677689225</v>
      </c>
      <c r="BT8" s="199">
        <v>0.31918171063164152</v>
      </c>
      <c r="BU8" s="371">
        <v>424.15101714010501</v>
      </c>
      <c r="BV8" s="199">
        <v>7.9530600408741519</v>
      </c>
      <c r="BW8" s="265" t="s">
        <v>116</v>
      </c>
      <c r="BX8" s="199"/>
      <c r="BY8" s="390" t="s">
        <v>117</v>
      </c>
      <c r="BZ8" s="199"/>
      <c r="CA8" s="390" t="s">
        <v>116</v>
      </c>
      <c r="CB8" s="199"/>
      <c r="CC8" s="390" t="s">
        <v>116</v>
      </c>
      <c r="CD8" s="199"/>
      <c r="CE8" s="392">
        <v>2.4183897605698483</v>
      </c>
      <c r="CF8" s="199">
        <v>7.4967889798212173E-2</v>
      </c>
      <c r="CG8" s="390" t="s">
        <v>118</v>
      </c>
      <c r="CH8" s="199"/>
      <c r="CI8" s="367" t="s">
        <v>121</v>
      </c>
      <c r="CJ8" s="199"/>
      <c r="CK8" s="381">
        <v>48.696042140059362</v>
      </c>
      <c r="CL8" s="199">
        <v>0.75825091707956971</v>
      </c>
      <c r="CM8" s="390" t="s">
        <v>119</v>
      </c>
      <c r="CN8" s="199"/>
      <c r="CO8" s="367" t="s">
        <v>115</v>
      </c>
      <c r="CP8" s="199"/>
      <c r="CQ8" s="390" t="s">
        <v>117</v>
      </c>
      <c r="CR8" s="199"/>
      <c r="CS8" s="390" t="s">
        <v>120</v>
      </c>
      <c r="CT8" s="199"/>
      <c r="CU8" s="393">
        <v>4.8688940118100934</v>
      </c>
      <c r="CV8" s="397">
        <v>4.6503344243108556E-2</v>
      </c>
      <c r="CW8" s="390" t="s">
        <v>118</v>
      </c>
      <c r="CX8" s="199"/>
      <c r="CY8" s="390" t="s">
        <v>120</v>
      </c>
      <c r="CZ8" s="199"/>
    </row>
    <row r="9" spans="1:104" x14ac:dyDescent="0.25">
      <c r="A9" s="536" t="s">
        <v>0</v>
      </c>
      <c r="B9" s="537">
        <v>0.2166183757191735</v>
      </c>
      <c r="C9" s="538">
        <v>1.6706728565976832</v>
      </c>
      <c r="D9" s="506">
        <v>59.872330816610372</v>
      </c>
      <c r="E9" s="209"/>
      <c r="F9" s="117">
        <v>1.1753343930061593</v>
      </c>
      <c r="G9" s="209"/>
      <c r="H9" s="106">
        <v>7.2711364991059009</v>
      </c>
      <c r="I9" s="106"/>
      <c r="J9" s="106">
        <v>70.450340353665808</v>
      </c>
      <c r="K9" s="106"/>
      <c r="L9" s="106">
        <v>61.137309358235647</v>
      </c>
      <c r="M9" s="106"/>
      <c r="N9" s="539">
        <v>0.8653333333333334</v>
      </c>
      <c r="O9" s="119">
        <v>762.78304074145581</v>
      </c>
      <c r="P9" s="119">
        <v>0.28835101832135129</v>
      </c>
      <c r="Q9" s="540">
        <v>14.6</v>
      </c>
      <c r="R9" s="353">
        <v>0.76</v>
      </c>
      <c r="S9" s="541">
        <v>153.4</v>
      </c>
      <c r="T9" s="541">
        <v>0</v>
      </c>
      <c r="U9" s="119">
        <v>3.0945482245596213E-2</v>
      </c>
      <c r="V9" s="119">
        <v>2.6031448181134946</v>
      </c>
      <c r="W9" s="507">
        <v>6.5296355167008852E-2</v>
      </c>
      <c r="X9" s="119">
        <v>0.18643939741297183</v>
      </c>
      <c r="Y9" s="119">
        <v>5.7983819221124122</v>
      </c>
      <c r="Z9" s="119">
        <v>3.0515252986391639</v>
      </c>
      <c r="AA9" s="126">
        <v>4.554385964912281E-2</v>
      </c>
      <c r="AB9" s="119">
        <f t="shared" si="0"/>
        <v>0.41126760563380282</v>
      </c>
      <c r="AC9" s="126"/>
      <c r="AD9" s="126">
        <f t="shared" si="1"/>
        <v>1.2258064516129033E-2</v>
      </c>
      <c r="AE9" s="119"/>
      <c r="AF9" s="119">
        <v>15.891313348780329</v>
      </c>
      <c r="AG9" s="117">
        <v>17.872631629895704</v>
      </c>
      <c r="AH9" s="503">
        <v>16.314839018930261</v>
      </c>
      <c r="AI9" s="503">
        <v>4.5566184961944209</v>
      </c>
      <c r="AJ9" s="364">
        <v>21.679902804605035</v>
      </c>
      <c r="AK9" s="6">
        <v>0.61566779966580987</v>
      </c>
      <c r="AL9" s="369">
        <v>1240.0391554428686</v>
      </c>
      <c r="AM9" s="201">
        <v>46.895252305436173</v>
      </c>
      <c r="AN9" s="369">
        <v>50804.320171406813</v>
      </c>
      <c r="AO9" s="201">
        <v>958.80022870039056</v>
      </c>
      <c r="AP9" s="339">
        <f t="shared" si="2"/>
        <v>865.33333333333337</v>
      </c>
      <c r="AQ9" s="369">
        <v>71830.779142184489</v>
      </c>
      <c r="AR9" s="201">
        <v>6457.8531463764657</v>
      </c>
      <c r="AS9" s="369">
        <v>132.32898878746025</v>
      </c>
      <c r="AT9" s="201">
        <v>0.84846273006793171</v>
      </c>
      <c r="AU9" s="372" t="s">
        <v>115</v>
      </c>
      <c r="AV9" s="6"/>
      <c r="AW9" s="369">
        <v>9.3921166464609485</v>
      </c>
      <c r="AX9" s="377">
        <v>0.1897336153950599</v>
      </c>
      <c r="AY9" s="369">
        <v>8612.8048577020236</v>
      </c>
      <c r="AZ9" s="6">
        <v>71.036514342841514</v>
      </c>
      <c r="BA9" s="336">
        <f>'-ITER'!BZ9</f>
        <v>8612.8048577020236</v>
      </c>
      <c r="BB9" s="369">
        <v>5095.2581807707438</v>
      </c>
      <c r="BC9" s="201">
        <v>133.68660936329894</v>
      </c>
      <c r="BD9" s="575">
        <f t="shared" si="3"/>
        <v>865.33333333333337</v>
      </c>
      <c r="BE9" s="369">
        <v>248.09587618445013</v>
      </c>
      <c r="BF9" s="201">
        <v>4.587140873018611</v>
      </c>
      <c r="BG9" s="369">
        <v>387.83442480601093</v>
      </c>
      <c r="BH9" s="6">
        <v>6.546683688080055</v>
      </c>
      <c r="BI9" s="369">
        <v>37.638164416215581</v>
      </c>
      <c r="BJ9" s="6">
        <v>0.66018643545534272</v>
      </c>
      <c r="BK9" s="248">
        <v>701.6453365382223</v>
      </c>
      <c r="BL9" s="6">
        <v>6.9296902727235796</v>
      </c>
      <c r="BM9" s="369">
        <v>6.9688225668893677</v>
      </c>
      <c r="BN9" s="6">
        <v>0.12520136124200351</v>
      </c>
      <c r="BO9" s="364">
        <v>12.482974494042894</v>
      </c>
      <c r="BP9" s="6">
        <v>0.38216622638547371</v>
      </c>
      <c r="BQ9" s="364">
        <v>3.146587836760113</v>
      </c>
      <c r="BR9" s="6">
        <v>0.22436870743953069</v>
      </c>
      <c r="BS9" s="387">
        <v>10.796754991482004</v>
      </c>
      <c r="BT9" s="6">
        <v>0.29020908185706601</v>
      </c>
      <c r="BU9" s="369">
        <v>225.50636309027507</v>
      </c>
      <c r="BV9" s="6">
        <v>4.7746836361243359</v>
      </c>
      <c r="BW9" s="246" t="s">
        <v>116</v>
      </c>
      <c r="BX9" s="6"/>
      <c r="BY9" s="388" t="s">
        <v>117</v>
      </c>
      <c r="BZ9" s="6"/>
      <c r="CA9" s="388" t="s">
        <v>116</v>
      </c>
      <c r="CB9" s="6"/>
      <c r="CC9" s="388" t="s">
        <v>116</v>
      </c>
      <c r="CD9" s="6"/>
      <c r="CE9" s="387">
        <v>12.260466448197828</v>
      </c>
      <c r="CF9" s="6">
        <v>0.15021977695723898</v>
      </c>
      <c r="CG9" s="388" t="s">
        <v>118</v>
      </c>
      <c r="CH9" s="6"/>
      <c r="CI9" s="364">
        <v>1.0341279172891666</v>
      </c>
      <c r="CJ9" s="6">
        <v>2.622102531535183E-2</v>
      </c>
      <c r="CK9" s="387">
        <v>25.081467268050183</v>
      </c>
      <c r="CL9" s="6">
        <v>0.23501626647670698</v>
      </c>
      <c r="CM9" s="388" t="s">
        <v>119</v>
      </c>
      <c r="CN9" s="6"/>
      <c r="CO9" s="386" t="s">
        <v>115</v>
      </c>
      <c r="CP9" s="6"/>
      <c r="CQ9" s="388" t="s">
        <v>117</v>
      </c>
      <c r="CR9" s="6"/>
      <c r="CS9" s="388" t="s">
        <v>120</v>
      </c>
      <c r="CT9" s="6"/>
      <c r="CU9" s="364">
        <v>5.2767000898386298</v>
      </c>
      <c r="CV9" s="395">
        <v>6.1196499734416772E-2</v>
      </c>
      <c r="CW9" s="388" t="s">
        <v>118</v>
      </c>
      <c r="CX9" s="6"/>
      <c r="CY9" s="387">
        <v>1.3439587247043392</v>
      </c>
      <c r="CZ9" s="6">
        <v>3.3439359231158795E-2</v>
      </c>
    </row>
    <row r="10" spans="1:104" x14ac:dyDescent="0.25">
      <c r="A10" s="511" t="s">
        <v>30</v>
      </c>
      <c r="B10" s="519">
        <v>0.22096848945665928</v>
      </c>
      <c r="C10" s="520">
        <v>5.0893266760182341</v>
      </c>
      <c r="D10" s="348">
        <v>54.852515923566884</v>
      </c>
      <c r="E10" s="210"/>
      <c r="F10" s="22">
        <v>0.98842356687898103</v>
      </c>
      <c r="G10" s="210"/>
      <c r="H10" s="7">
        <v>5.9804617834394911</v>
      </c>
      <c r="I10" s="7"/>
      <c r="J10" s="7">
        <v>66.444028662420394</v>
      </c>
      <c r="K10" s="7"/>
      <c r="L10" s="7">
        <v>62.620127388535039</v>
      </c>
      <c r="M10" s="7"/>
      <c r="N10" s="521">
        <v>0.87966666666666671</v>
      </c>
      <c r="O10" s="8">
        <v>760.59935335296052</v>
      </c>
      <c r="P10" s="8">
        <v>1.0558744652475252</v>
      </c>
      <c r="Q10" s="522">
        <v>18.2</v>
      </c>
      <c r="R10" s="354">
        <v>0.36</v>
      </c>
      <c r="S10" s="523">
        <v>150.19999999999999</v>
      </c>
      <c r="T10" s="523">
        <v>0</v>
      </c>
      <c r="U10" s="8">
        <v>3.156692706523704E-2</v>
      </c>
      <c r="V10" s="8">
        <v>2.3848919966768212</v>
      </c>
      <c r="W10" s="362">
        <v>5.4912420382165615E-2</v>
      </c>
      <c r="X10" s="8">
        <v>0.15334517393434594</v>
      </c>
      <c r="Y10" s="8">
        <v>5.4686443343555879</v>
      </c>
      <c r="Z10" s="8">
        <v>3.1255366802363382</v>
      </c>
      <c r="AA10" s="50">
        <v>4.6298245614035088E-2</v>
      </c>
      <c r="AB10" s="8">
        <f t="shared" si="0"/>
        <v>0.51267605633802815</v>
      </c>
      <c r="AC10" s="50"/>
      <c r="AD10" s="50">
        <f t="shared" si="1"/>
        <v>5.8064516129032254E-3</v>
      </c>
      <c r="AE10" s="8"/>
      <c r="AF10" s="8">
        <v>15.845819861520011</v>
      </c>
      <c r="AG10" s="22">
        <v>17.272110435697741</v>
      </c>
      <c r="AH10" s="505">
        <v>16.364302369470941</v>
      </c>
      <c r="AI10" s="505">
        <v>2.6988849003758886</v>
      </c>
      <c r="AJ10" s="365">
        <v>21.010986197526869</v>
      </c>
      <c r="AK10" s="111">
        <v>0.37218133153586919</v>
      </c>
      <c r="AL10" s="370">
        <v>1270.4030471248172</v>
      </c>
      <c r="AM10" s="202">
        <v>19.772677635304234</v>
      </c>
      <c r="AN10" s="370">
        <v>50414.718984087202</v>
      </c>
      <c r="AO10" s="202">
        <v>464.30106008992811</v>
      </c>
      <c r="AP10" s="337">
        <f t="shared" si="2"/>
        <v>879.66666666666674</v>
      </c>
      <c r="AQ10" s="370">
        <v>70566.425862316959</v>
      </c>
      <c r="AR10" s="202">
        <v>5754.5318940001016</v>
      </c>
      <c r="AS10" s="370">
        <v>132.81841197181666</v>
      </c>
      <c r="AT10" s="202">
        <v>2.7027725793411204</v>
      </c>
      <c r="AU10" s="373" t="s">
        <v>115</v>
      </c>
      <c r="AV10" s="111"/>
      <c r="AW10" s="376">
        <v>9.0663105210902639</v>
      </c>
      <c r="AX10" s="378">
        <v>0.21792923674196418</v>
      </c>
      <c r="AY10" s="370">
        <v>8711.67127777723</v>
      </c>
      <c r="AZ10" s="111">
        <v>119.28466923666579</v>
      </c>
      <c r="BA10" s="336">
        <f>'-ITER'!BZ10</f>
        <v>8711.67127777723</v>
      </c>
      <c r="BB10" s="370">
        <v>3841.4982963284233</v>
      </c>
      <c r="BC10" s="202">
        <v>52.990609442529646</v>
      </c>
      <c r="BD10" s="575">
        <f t="shared" si="3"/>
        <v>879.66666666666674</v>
      </c>
      <c r="BE10" s="370">
        <v>249.51183067385983</v>
      </c>
      <c r="BF10" s="147">
        <v>3.7617105251544785</v>
      </c>
      <c r="BG10" s="376">
        <v>389.4668643657447</v>
      </c>
      <c r="BH10" s="111">
        <v>6.9971497928271722</v>
      </c>
      <c r="BI10" s="370">
        <v>24.356543087070353</v>
      </c>
      <c r="BJ10" s="111">
        <v>0.44986729862252495</v>
      </c>
      <c r="BK10" s="253">
        <v>619.39229494963513</v>
      </c>
      <c r="BL10" s="111">
        <v>15.434846512595664</v>
      </c>
      <c r="BM10" s="370">
        <v>7.1957930467346518</v>
      </c>
      <c r="BN10" s="111">
        <v>3.321840770107088E-2</v>
      </c>
      <c r="BO10" s="365">
        <v>13.342722244131595</v>
      </c>
      <c r="BP10" s="111">
        <v>0.13535979137475265</v>
      </c>
      <c r="BQ10" s="365">
        <v>3.1945918814280247</v>
      </c>
      <c r="BR10" s="111">
        <v>0.15743045523585492</v>
      </c>
      <c r="BS10" s="384">
        <v>10.832508014839153</v>
      </c>
      <c r="BT10" s="111">
        <v>0.24745449282073495</v>
      </c>
      <c r="BU10" s="370">
        <v>227.41133823955039</v>
      </c>
      <c r="BV10" s="111">
        <v>2.6576842677226931</v>
      </c>
      <c r="BW10" s="255" t="s">
        <v>116</v>
      </c>
      <c r="BX10" s="111"/>
      <c r="BY10" s="389" t="s">
        <v>117</v>
      </c>
      <c r="BZ10" s="111"/>
      <c r="CA10" s="389" t="s">
        <v>116</v>
      </c>
      <c r="CB10" s="111"/>
      <c r="CC10" s="389" t="s">
        <v>116</v>
      </c>
      <c r="CD10" s="111"/>
      <c r="CE10" s="391">
        <v>18.366729434558767</v>
      </c>
      <c r="CF10" s="111">
        <v>0.48495619406049917</v>
      </c>
      <c r="CG10" s="389" t="s">
        <v>118</v>
      </c>
      <c r="CH10" s="111"/>
      <c r="CI10" s="368" t="s">
        <v>121</v>
      </c>
      <c r="CJ10" s="111"/>
      <c r="CK10" s="384">
        <v>26.225543863978913</v>
      </c>
      <c r="CL10" s="111">
        <v>0.74764844794450402</v>
      </c>
      <c r="CM10" s="389" t="s">
        <v>119</v>
      </c>
      <c r="CN10" s="111"/>
      <c r="CO10" s="368" t="s">
        <v>115</v>
      </c>
      <c r="CP10" s="111"/>
      <c r="CQ10" s="389" t="s">
        <v>117</v>
      </c>
      <c r="CR10" s="111"/>
      <c r="CS10" s="389" t="s">
        <v>120</v>
      </c>
      <c r="CT10" s="111"/>
      <c r="CU10" s="383">
        <v>4.8135833595323128</v>
      </c>
      <c r="CV10" s="396">
        <v>0.11052477095367857</v>
      </c>
      <c r="CW10" s="389" t="s">
        <v>118</v>
      </c>
      <c r="CX10" s="111"/>
      <c r="CY10" s="391">
        <v>1.4779008339739077</v>
      </c>
      <c r="CZ10" s="111">
        <v>2.6864516038478049E-2</v>
      </c>
    </row>
    <row r="11" spans="1:104" x14ac:dyDescent="0.25">
      <c r="A11" s="511" t="s">
        <v>31</v>
      </c>
      <c r="B11" s="519">
        <v>0.22376743612598465</v>
      </c>
      <c r="C11" s="520">
        <v>2.9435347632899997</v>
      </c>
      <c r="D11" s="348">
        <v>57.142071628651458</v>
      </c>
      <c r="E11" s="210"/>
      <c r="F11" s="22">
        <v>0.63134873949579828</v>
      </c>
      <c r="G11" s="210"/>
      <c r="H11" s="7">
        <v>5.2111324529811922</v>
      </c>
      <c r="I11" s="7"/>
      <c r="J11" s="7">
        <v>67.754743297318925</v>
      </c>
      <c r="K11" s="7"/>
      <c r="L11" s="7">
        <v>61.701812525009998</v>
      </c>
      <c r="M11" s="7"/>
      <c r="N11" s="521">
        <v>0.86166666666666669</v>
      </c>
      <c r="O11" s="8">
        <v>757.72704062009416</v>
      </c>
      <c r="P11" s="8">
        <v>0.52802081484861008</v>
      </c>
      <c r="Q11" s="522">
        <v>21.2</v>
      </c>
      <c r="R11" s="354">
        <v>0.6</v>
      </c>
      <c r="S11" s="523">
        <v>159</v>
      </c>
      <c r="T11" s="523">
        <v>0</v>
      </c>
      <c r="U11" s="8">
        <v>3.1966776589426378E-2</v>
      </c>
      <c r="V11" s="8">
        <v>2.4844378968978895</v>
      </c>
      <c r="W11" s="362">
        <v>3.5074929971988793E-2</v>
      </c>
      <c r="X11" s="8">
        <v>0.13361878084567161</v>
      </c>
      <c r="Y11" s="8">
        <v>5.5765220820838621</v>
      </c>
      <c r="Z11" s="8">
        <v>3.0797011492393311</v>
      </c>
      <c r="AA11" s="50">
        <v>4.5350877192982454E-2</v>
      </c>
      <c r="AB11" s="8">
        <f t="shared" si="0"/>
        <v>0.59718309859154928</v>
      </c>
      <c r="AC11" s="50"/>
      <c r="AD11" s="50">
        <f t="shared" si="1"/>
        <v>9.6774193548387101E-3</v>
      </c>
      <c r="AE11" s="8"/>
      <c r="AF11" s="8">
        <v>15.785980012918628</v>
      </c>
      <c r="AG11" s="22">
        <v>17.20916346984809</v>
      </c>
      <c r="AH11" s="505">
        <v>16.392840530865016</v>
      </c>
      <c r="AI11" s="505">
        <v>2.4293876608244847</v>
      </c>
      <c r="AJ11" s="365">
        <v>20.37779679316278</v>
      </c>
      <c r="AK11" s="111">
        <v>1.207372844298398</v>
      </c>
      <c r="AL11" s="370">
        <v>1282.9321931145232</v>
      </c>
      <c r="AM11" s="202">
        <v>44.639284151902501</v>
      </c>
      <c r="AN11" s="370">
        <v>48917.825766074515</v>
      </c>
      <c r="AO11" s="202">
        <v>245.71342992029332</v>
      </c>
      <c r="AP11" s="337">
        <f t="shared" si="2"/>
        <v>861.66666666666674</v>
      </c>
      <c r="AQ11" s="370">
        <v>72625.444319196744</v>
      </c>
      <c r="AR11" s="202">
        <v>2886.5216939332299</v>
      </c>
      <c r="AS11" s="370">
        <v>132.98741386058609</v>
      </c>
      <c r="AT11" s="202">
        <v>2.0667683400281938</v>
      </c>
      <c r="AU11" s="373" t="s">
        <v>115</v>
      </c>
      <c r="AV11" s="111"/>
      <c r="AW11" s="376">
        <v>8.9376566073183543</v>
      </c>
      <c r="AX11" s="378">
        <v>0.11685228652196489</v>
      </c>
      <c r="AY11" s="370">
        <v>8473.205057488145</v>
      </c>
      <c r="AZ11" s="111">
        <v>80.124165933709705</v>
      </c>
      <c r="BA11" s="336">
        <f>'-ITER'!BZ11</f>
        <v>8473.205057488145</v>
      </c>
      <c r="BB11" s="370">
        <v>3545.7229809986238</v>
      </c>
      <c r="BC11" s="202">
        <v>83.283972325772737</v>
      </c>
      <c r="BD11" s="575">
        <f t="shared" si="3"/>
        <v>861.66666666666674</v>
      </c>
      <c r="BE11" s="370">
        <v>249.43557638470708</v>
      </c>
      <c r="BF11" s="147">
        <v>4.0689581742028267</v>
      </c>
      <c r="BG11" s="376">
        <v>385.44562368604591</v>
      </c>
      <c r="BH11" s="111">
        <v>5.4277552351506291</v>
      </c>
      <c r="BI11" s="376">
        <v>27.636701660350315</v>
      </c>
      <c r="BJ11" s="111">
        <v>0.45054065759900169</v>
      </c>
      <c r="BK11" s="253">
        <v>605.85664272618601</v>
      </c>
      <c r="BL11" s="111">
        <v>11.62848979301574</v>
      </c>
      <c r="BM11" s="370">
        <v>7.210139802379179</v>
      </c>
      <c r="BN11" s="111">
        <v>0.14991070267078618</v>
      </c>
      <c r="BO11" s="365">
        <v>13.311150724634215</v>
      </c>
      <c r="BP11" s="111">
        <v>0.43042436553638053</v>
      </c>
      <c r="BQ11" s="365">
        <v>3.2247531454951175</v>
      </c>
      <c r="BR11" s="111">
        <v>8.5005641267468859E-2</v>
      </c>
      <c r="BS11" s="384">
        <v>10.517287195129715</v>
      </c>
      <c r="BT11" s="111">
        <v>6.5732465476414592E-2</v>
      </c>
      <c r="BU11" s="370">
        <v>224.78363445264645</v>
      </c>
      <c r="BV11" s="111">
        <v>6.9418028634063482</v>
      </c>
      <c r="BW11" s="255" t="s">
        <v>116</v>
      </c>
      <c r="BX11" s="111"/>
      <c r="BY11" s="389" t="s">
        <v>117</v>
      </c>
      <c r="BZ11" s="111"/>
      <c r="CA11" s="389" t="s">
        <v>116</v>
      </c>
      <c r="CB11" s="111"/>
      <c r="CC11" s="389" t="s">
        <v>116</v>
      </c>
      <c r="CD11" s="111"/>
      <c r="CE11" s="391">
        <v>90.572257108341347</v>
      </c>
      <c r="CF11" s="111">
        <v>0.78574958521697913</v>
      </c>
      <c r="CG11" s="389" t="s">
        <v>118</v>
      </c>
      <c r="CH11" s="111"/>
      <c r="CI11" s="365">
        <v>1.7764598775811533</v>
      </c>
      <c r="CJ11" s="111">
        <v>2.2313517338038186E-2</v>
      </c>
      <c r="CK11" s="384">
        <v>26.948596459270355</v>
      </c>
      <c r="CL11" s="111">
        <v>0.30042271964506123</v>
      </c>
      <c r="CM11" s="389" t="s">
        <v>119</v>
      </c>
      <c r="CN11" s="111"/>
      <c r="CO11" s="368" t="s">
        <v>115</v>
      </c>
      <c r="CP11" s="111"/>
      <c r="CQ11" s="389" t="s">
        <v>117</v>
      </c>
      <c r="CR11" s="111"/>
      <c r="CS11" s="389" t="s">
        <v>120</v>
      </c>
      <c r="CT11" s="111"/>
      <c r="CU11" s="383">
        <v>4.9379529598392349</v>
      </c>
      <c r="CV11" s="396">
        <v>4.3706583878598569E-2</v>
      </c>
      <c r="CW11" s="389" t="s">
        <v>118</v>
      </c>
      <c r="CX11" s="111"/>
      <c r="CY11" s="391">
        <v>1.5097138521537647</v>
      </c>
      <c r="CZ11" s="111">
        <v>2.2875602362577348E-2</v>
      </c>
    </row>
    <row r="12" spans="1:104" x14ac:dyDescent="0.25">
      <c r="A12" s="511" t="s">
        <v>32</v>
      </c>
      <c r="B12" s="519">
        <v>0.22336001570435943</v>
      </c>
      <c r="C12" s="520">
        <v>5.1322567957631922</v>
      </c>
      <c r="D12" s="348">
        <v>54.056934197407777</v>
      </c>
      <c r="E12" s="210"/>
      <c r="F12" s="22">
        <v>0.55027417746759733</v>
      </c>
      <c r="G12" s="210"/>
      <c r="H12" s="7">
        <v>6.9534646061814565</v>
      </c>
      <c r="I12" s="7"/>
      <c r="J12" s="7">
        <v>66.162966101694934</v>
      </c>
      <c r="K12" s="7"/>
      <c r="L12" s="7">
        <v>61.480633100697908</v>
      </c>
      <c r="M12" s="7"/>
      <c r="N12" s="521">
        <v>0.89166666666666661</v>
      </c>
      <c r="O12" s="8">
        <v>758.95882606988607</v>
      </c>
      <c r="P12" s="8">
        <v>1.0125259795960158</v>
      </c>
      <c r="Q12" s="522">
        <v>14</v>
      </c>
      <c r="R12" s="354">
        <v>0.7</v>
      </c>
      <c r="S12" s="523">
        <v>158.1</v>
      </c>
      <c r="T12" s="523">
        <v>0</v>
      </c>
      <c r="U12" s="8">
        <v>3.1908573672051348E-2</v>
      </c>
      <c r="V12" s="8">
        <v>2.3503014868438163</v>
      </c>
      <c r="W12" s="362">
        <v>3.0570787637088741E-2</v>
      </c>
      <c r="X12" s="8">
        <v>0.17829396426106298</v>
      </c>
      <c r="Y12" s="8">
        <v>5.4455116133082253</v>
      </c>
      <c r="Z12" s="8">
        <v>3.06866149741442</v>
      </c>
      <c r="AA12" s="50">
        <v>4.6929824561403509E-2</v>
      </c>
      <c r="AB12" s="8">
        <f t="shared" si="0"/>
        <v>0.39436619718309857</v>
      </c>
      <c r="AC12" s="50"/>
      <c r="AD12" s="50">
        <f t="shared" si="1"/>
        <v>1.1290322580645161E-2</v>
      </c>
      <c r="AE12" s="8"/>
      <c r="AF12" s="8">
        <v>15.811642209789293</v>
      </c>
      <c r="AG12" s="38">
        <v>16.951420824035687</v>
      </c>
      <c r="AH12" s="505">
        <v>16.217298729553036</v>
      </c>
      <c r="AI12" s="505">
        <v>2.2132964563090023</v>
      </c>
      <c r="AJ12" s="365">
        <v>22.002496204348617</v>
      </c>
      <c r="AK12" s="111">
        <v>0.92797000329383206</v>
      </c>
      <c r="AL12" s="370">
        <v>1252.6863579829042</v>
      </c>
      <c r="AM12" s="202">
        <v>84.08574430286626</v>
      </c>
      <c r="AN12" s="370">
        <v>48775.438885627031</v>
      </c>
      <c r="AO12" s="202">
        <v>708.17689600109702</v>
      </c>
      <c r="AP12" s="337">
        <f t="shared" si="2"/>
        <v>891.66666666666663</v>
      </c>
      <c r="AQ12" s="370">
        <v>81851.006361582637</v>
      </c>
      <c r="AR12" s="202">
        <v>4705.686771974908</v>
      </c>
      <c r="AS12" s="370">
        <v>132.90359491196784</v>
      </c>
      <c r="AT12" s="202">
        <v>3.1274354263739825</v>
      </c>
      <c r="AU12" s="373" t="s">
        <v>115</v>
      </c>
      <c r="AV12" s="111"/>
      <c r="AW12" s="376">
        <v>8.7857221438580506</v>
      </c>
      <c r="AX12" s="379">
        <v>9.5739001958175557E-2</v>
      </c>
      <c r="AY12" s="370">
        <v>8448.256670626306</v>
      </c>
      <c r="AZ12" s="111">
        <v>89.386725574472834</v>
      </c>
      <c r="BA12" s="336">
        <f>'-ITER'!BZ12</f>
        <v>8448.256670626306</v>
      </c>
      <c r="BB12" s="370">
        <v>3404.9052003662623</v>
      </c>
      <c r="BC12" s="202">
        <v>51.888760097880407</v>
      </c>
      <c r="BD12" s="575">
        <f t="shared" si="3"/>
        <v>891.66666666666663</v>
      </c>
      <c r="BE12" s="370">
        <v>249.18073958948398</v>
      </c>
      <c r="BF12" s="202">
        <v>4.0037793572638298</v>
      </c>
      <c r="BG12" s="376">
        <v>385.7598708493332</v>
      </c>
      <c r="BH12" s="111">
        <v>4.4208132794978496</v>
      </c>
      <c r="BI12" s="376">
        <v>27.580958942960265</v>
      </c>
      <c r="BJ12" s="111">
        <v>0.16087122415852004</v>
      </c>
      <c r="BK12" s="37">
        <v>636.91418819082469</v>
      </c>
      <c r="BL12" s="111">
        <v>6.0393666001211708</v>
      </c>
      <c r="BM12" s="384">
        <v>7.2856351217477489</v>
      </c>
      <c r="BN12" s="111">
        <v>0.22185605681768855</v>
      </c>
      <c r="BO12" s="365">
        <v>13.331255375027823</v>
      </c>
      <c r="BP12" s="111">
        <v>0.26117631047891043</v>
      </c>
      <c r="BQ12" s="365">
        <v>3.2566893080389887</v>
      </c>
      <c r="BR12" s="111">
        <v>0.10047448180502153</v>
      </c>
      <c r="BS12" s="384">
        <v>10.511974893227288</v>
      </c>
      <c r="BT12" s="111">
        <v>0.22813255199420868</v>
      </c>
      <c r="BU12" s="370">
        <v>226.54223617513657</v>
      </c>
      <c r="BV12" s="111">
        <v>1.8483526125446974</v>
      </c>
      <c r="BW12" s="255" t="s">
        <v>116</v>
      </c>
      <c r="BX12" s="111"/>
      <c r="BY12" s="389" t="s">
        <v>117</v>
      </c>
      <c r="BZ12" s="111"/>
      <c r="CA12" s="389" t="s">
        <v>116</v>
      </c>
      <c r="CB12" s="111"/>
      <c r="CC12" s="389" t="s">
        <v>116</v>
      </c>
      <c r="CD12" s="111"/>
      <c r="CE12" s="391">
        <v>11.665887125273807</v>
      </c>
      <c r="CF12" s="111">
        <v>5.2525848989714616E-2</v>
      </c>
      <c r="CG12" s="389" t="s">
        <v>118</v>
      </c>
      <c r="CH12" s="111"/>
      <c r="CI12" s="368" t="s">
        <v>121</v>
      </c>
      <c r="CJ12" s="111"/>
      <c r="CK12" s="384">
        <v>29.965739150917841</v>
      </c>
      <c r="CL12" s="111">
        <v>0.11329827031487022</v>
      </c>
      <c r="CM12" s="389" t="s">
        <v>119</v>
      </c>
      <c r="CN12" s="111"/>
      <c r="CO12" s="368" t="s">
        <v>115</v>
      </c>
      <c r="CP12" s="111"/>
      <c r="CQ12" s="389" t="s">
        <v>117</v>
      </c>
      <c r="CR12" s="111"/>
      <c r="CS12" s="389" t="s">
        <v>120</v>
      </c>
      <c r="CT12" s="111"/>
      <c r="CU12" s="383">
        <v>4.3048644451858227</v>
      </c>
      <c r="CV12" s="396">
        <v>7.082392875140496E-2</v>
      </c>
      <c r="CW12" s="389" t="s">
        <v>118</v>
      </c>
      <c r="CX12" s="111"/>
      <c r="CY12" s="391">
        <v>1.5300941578098257</v>
      </c>
      <c r="CZ12" s="111">
        <v>6.2018146624791435E-3</v>
      </c>
    </row>
    <row r="13" spans="1:104" ht="15.75" thickBot="1" x14ac:dyDescent="0.3">
      <c r="A13" s="542" t="s">
        <v>33</v>
      </c>
      <c r="B13" s="543">
        <v>0.23434218477570223</v>
      </c>
      <c r="C13" s="544">
        <v>5.8635039775154425</v>
      </c>
      <c r="D13" s="349">
        <v>59.649437175493247</v>
      </c>
      <c r="E13" s="211"/>
      <c r="F13" s="23">
        <v>1.0093538367844095</v>
      </c>
      <c r="G13" s="211"/>
      <c r="H13" s="11">
        <v>5.4749799025578572</v>
      </c>
      <c r="I13" s="11"/>
      <c r="J13" s="11">
        <v>68.381173568818525</v>
      </c>
      <c r="K13" s="11"/>
      <c r="L13" s="11">
        <v>66.331879415347146</v>
      </c>
      <c r="M13" s="11"/>
      <c r="N13" s="211">
        <v>0.86900000000000011</v>
      </c>
      <c r="O13" s="11">
        <v>752.68473707909152</v>
      </c>
      <c r="P13" s="11">
        <v>1.3884426433622918</v>
      </c>
      <c r="Q13" s="545">
        <v>17.399999999999999</v>
      </c>
      <c r="R13" s="546">
        <v>0.72</v>
      </c>
      <c r="S13" s="547">
        <v>159.9</v>
      </c>
      <c r="T13" s="547">
        <v>0</v>
      </c>
      <c r="U13" s="356">
        <v>3.3477454967957461E-2</v>
      </c>
      <c r="V13" s="356">
        <v>2.5934537902388368</v>
      </c>
      <c r="W13" s="363">
        <v>5.6075213154689413E-2</v>
      </c>
      <c r="X13" s="356">
        <v>0.14038410006558608</v>
      </c>
      <c r="Y13" s="356">
        <v>5.6280801291208657</v>
      </c>
      <c r="Z13" s="356">
        <v>3.3108000706437308</v>
      </c>
      <c r="AA13" s="54">
        <v>4.5736842105263166E-2</v>
      </c>
      <c r="AB13" s="356">
        <f t="shared" si="0"/>
        <v>0.49014084507042249</v>
      </c>
      <c r="AC13" s="54"/>
      <c r="AD13" s="548">
        <f t="shared" si="1"/>
        <v>1.1612903225806451E-2</v>
      </c>
      <c r="AE13" s="53"/>
      <c r="AF13" s="11">
        <v>15.680932022481073</v>
      </c>
      <c r="AG13" s="23">
        <v>17.519452957004237</v>
      </c>
      <c r="AH13" s="508">
        <v>16.182685770777301</v>
      </c>
      <c r="AI13" s="508">
        <v>3.966416484794197</v>
      </c>
      <c r="AJ13" s="366">
        <v>21.511650987787196</v>
      </c>
      <c r="AK13" s="31">
        <v>0.94647693783295095</v>
      </c>
      <c r="AL13" s="371">
        <v>1071.6780065443422</v>
      </c>
      <c r="AM13" s="562">
        <v>64.087593105059383</v>
      </c>
      <c r="AN13" s="371">
        <v>48124.751574430818</v>
      </c>
      <c r="AO13" s="562">
        <v>773.03976049326991</v>
      </c>
      <c r="AP13" s="338">
        <f t="shared" si="2"/>
        <v>869.00000000000011</v>
      </c>
      <c r="AQ13" s="371">
        <v>81003.763199104549</v>
      </c>
      <c r="AR13" s="562">
        <v>3861.2087158709619</v>
      </c>
      <c r="AS13" s="371">
        <v>145.55992799278201</v>
      </c>
      <c r="AT13" s="562">
        <v>2.0575652009001741</v>
      </c>
      <c r="AU13" s="374" t="s">
        <v>115</v>
      </c>
      <c r="AV13" s="31"/>
      <c r="AW13" s="374" t="s">
        <v>119</v>
      </c>
      <c r="AX13" s="563"/>
      <c r="AY13" s="371">
        <v>8222.2475621452795</v>
      </c>
      <c r="AZ13" s="31">
        <v>45.556662512266172</v>
      </c>
      <c r="BA13" s="336">
        <f>'-ITER'!BZ13</f>
        <v>8222.2475621452795</v>
      </c>
      <c r="BB13" s="371">
        <v>3163.4076312071047</v>
      </c>
      <c r="BC13" s="562">
        <v>80.48974167239318</v>
      </c>
      <c r="BD13" s="575">
        <f t="shared" si="3"/>
        <v>869.00000000000011</v>
      </c>
      <c r="BE13" s="371">
        <v>253.5970847838922</v>
      </c>
      <c r="BF13" s="268">
        <v>4.5385668989036425</v>
      </c>
      <c r="BG13" s="382">
        <v>396.50953717277025</v>
      </c>
      <c r="BH13" s="199">
        <v>6.3548517308189094</v>
      </c>
      <c r="BI13" s="382">
        <v>29.416875986456574</v>
      </c>
      <c r="BJ13" s="199">
        <v>0.53534026317084626</v>
      </c>
      <c r="BK13" s="259">
        <v>198.1666475245805</v>
      </c>
      <c r="BL13" s="199">
        <v>6.0137468437667065</v>
      </c>
      <c r="BM13" s="371">
        <v>7.4279878820608811</v>
      </c>
      <c r="BN13" s="199">
        <v>6.1929730780096552E-2</v>
      </c>
      <c r="BO13" s="366">
        <v>13.491901802274485</v>
      </c>
      <c r="BP13" s="199">
        <v>0.73859861324624676</v>
      </c>
      <c r="BQ13" s="366">
        <v>3.3118255663596545</v>
      </c>
      <c r="BR13" s="199">
        <v>0.17270191384212363</v>
      </c>
      <c r="BS13" s="381">
        <v>10.674545691473259</v>
      </c>
      <c r="BT13" s="199">
        <v>5.9611105290089277E-2</v>
      </c>
      <c r="BU13" s="371">
        <v>237.08192075340935</v>
      </c>
      <c r="BV13" s="199">
        <v>9.0439676960014523</v>
      </c>
      <c r="BW13" s="265" t="s">
        <v>116</v>
      </c>
      <c r="BX13" s="199"/>
      <c r="BY13" s="390" t="s">
        <v>117</v>
      </c>
      <c r="BZ13" s="199"/>
      <c r="CA13" s="390" t="s">
        <v>116</v>
      </c>
      <c r="CB13" s="199"/>
      <c r="CC13" s="390" t="s">
        <v>116</v>
      </c>
      <c r="CD13" s="199"/>
      <c r="CE13" s="392">
        <v>6.3700766919195484</v>
      </c>
      <c r="CF13" s="199">
        <v>0.12427840535620374</v>
      </c>
      <c r="CG13" s="390" t="s">
        <v>118</v>
      </c>
      <c r="CH13" s="199"/>
      <c r="CI13" s="366">
        <v>1.5490840487833866</v>
      </c>
      <c r="CJ13" s="199">
        <v>5.0175924497607459E-2</v>
      </c>
      <c r="CK13" s="381">
        <v>27.818762541378977</v>
      </c>
      <c r="CL13" s="199">
        <v>0.43615613213383503</v>
      </c>
      <c r="CM13" s="390" t="s">
        <v>119</v>
      </c>
      <c r="CN13" s="199"/>
      <c r="CO13" s="367" t="s">
        <v>115</v>
      </c>
      <c r="CP13" s="199"/>
      <c r="CQ13" s="390" t="s">
        <v>117</v>
      </c>
      <c r="CR13" s="199"/>
      <c r="CS13" s="390" t="s">
        <v>120</v>
      </c>
      <c r="CT13" s="199"/>
      <c r="CU13" s="393">
        <v>5.2457165295251995</v>
      </c>
      <c r="CV13" s="397">
        <v>9.8776019193804285E-2</v>
      </c>
      <c r="CW13" s="390" t="s">
        <v>118</v>
      </c>
      <c r="CX13" s="199"/>
      <c r="CY13" s="392">
        <v>1.6017708250960783</v>
      </c>
      <c r="CZ13" s="199">
        <v>3.8276915839197241E-2</v>
      </c>
    </row>
    <row r="14" spans="1:104" ht="15.75" thickBot="1" x14ac:dyDescent="0.3">
      <c r="A14" s="549" t="s">
        <v>34</v>
      </c>
      <c r="B14" s="550"/>
      <c r="C14" s="550"/>
      <c r="D14" s="551"/>
      <c r="E14" s="552"/>
      <c r="F14" s="553"/>
      <c r="G14" s="552"/>
      <c r="H14" s="486"/>
      <c r="I14" s="486"/>
      <c r="J14" s="486"/>
      <c r="K14" s="486"/>
      <c r="L14" s="486"/>
      <c r="M14" s="486"/>
      <c r="N14" s="554"/>
      <c r="O14" s="554"/>
      <c r="P14" s="554"/>
      <c r="Q14" s="555">
        <v>10.4</v>
      </c>
      <c r="R14" s="556">
        <v>0.03</v>
      </c>
      <c r="S14" s="557">
        <v>120.1</v>
      </c>
      <c r="T14" s="557">
        <v>3.1</v>
      </c>
      <c r="U14" s="558"/>
      <c r="V14" s="558"/>
      <c r="W14" s="559"/>
      <c r="X14" s="558"/>
      <c r="Y14" s="558"/>
      <c r="Z14" s="558"/>
      <c r="AA14" s="560"/>
      <c r="AB14" s="119">
        <f t="shared" si="0"/>
        <v>0.29295774647887324</v>
      </c>
      <c r="AC14" s="560"/>
      <c r="AD14" s="126">
        <f t="shared" si="1"/>
        <v>4.8387096774193548E-4</v>
      </c>
      <c r="AE14" s="554"/>
      <c r="AF14" s="486"/>
      <c r="AG14" s="553"/>
      <c r="AH14" s="503"/>
      <c r="AI14" s="503"/>
      <c r="AJ14" s="479"/>
      <c r="AK14" s="465"/>
      <c r="AL14" s="473"/>
      <c r="AM14" s="467"/>
      <c r="AN14" s="473"/>
      <c r="AO14" s="467"/>
      <c r="AP14" s="561">
        <f t="shared" si="2"/>
        <v>0</v>
      </c>
      <c r="AQ14" s="473"/>
      <c r="AR14" s="467"/>
      <c r="AS14" s="473"/>
      <c r="AT14" s="467">
        <v>0</v>
      </c>
      <c r="AU14" s="473"/>
      <c r="AV14" s="465"/>
      <c r="AW14" s="473"/>
      <c r="AX14" s="471"/>
      <c r="AY14" s="473"/>
      <c r="AZ14" s="465">
        <v>0</v>
      </c>
      <c r="BA14" s="336">
        <f>'-ITER'!BZ14</f>
        <v>0</v>
      </c>
      <c r="BB14" s="473"/>
      <c r="BC14" s="465">
        <v>0</v>
      </c>
      <c r="BD14" s="575">
        <f t="shared" si="3"/>
        <v>0</v>
      </c>
      <c r="BE14" s="450"/>
      <c r="BF14" s="448">
        <v>0</v>
      </c>
      <c r="BG14" s="450"/>
      <c r="BH14" s="422">
        <v>0</v>
      </c>
      <c r="BI14" s="450"/>
      <c r="BJ14" s="422">
        <v>0</v>
      </c>
      <c r="BK14" s="453"/>
      <c r="BL14" s="422"/>
      <c r="BM14" s="450"/>
      <c r="BN14" s="422"/>
      <c r="BO14" s="449"/>
      <c r="BP14" s="422"/>
      <c r="BQ14" s="449"/>
      <c r="BR14" s="422"/>
      <c r="BS14" s="454"/>
      <c r="BT14" s="422"/>
      <c r="BU14" s="450"/>
      <c r="BV14" s="422"/>
      <c r="BW14" s="455"/>
      <c r="BX14" s="422"/>
      <c r="BY14" s="454"/>
      <c r="BZ14" s="422"/>
      <c r="CA14" s="454"/>
      <c r="CB14" s="422"/>
      <c r="CC14" s="456"/>
      <c r="CD14" s="422"/>
      <c r="CE14" s="454"/>
      <c r="CF14" s="422">
        <v>0</v>
      </c>
      <c r="CG14" s="454"/>
      <c r="CH14" s="422"/>
      <c r="CI14" s="449"/>
      <c r="CJ14" s="422"/>
      <c r="CK14" s="454"/>
      <c r="CL14" s="422"/>
      <c r="CM14" s="456"/>
      <c r="CN14" s="422"/>
      <c r="CO14" s="457"/>
      <c r="CP14" s="422"/>
      <c r="CQ14" s="456"/>
      <c r="CR14" s="422"/>
      <c r="CS14" s="456"/>
      <c r="CT14" s="422"/>
      <c r="CU14" s="450"/>
      <c r="CV14" s="458"/>
      <c r="CW14" s="454"/>
      <c r="CX14" s="422"/>
      <c r="CY14" s="454"/>
      <c r="CZ14" s="422"/>
    </row>
    <row r="15" spans="1:104" x14ac:dyDescent="0.25">
      <c r="A15" s="511" t="s">
        <v>35</v>
      </c>
      <c r="B15" s="529">
        <v>8.0534430511147642E-2</v>
      </c>
      <c r="C15" s="520">
        <v>1.9572004190134731</v>
      </c>
      <c r="D15" s="348">
        <v>28.996673366834166</v>
      </c>
      <c r="E15" s="210"/>
      <c r="F15" s="22">
        <v>0.48729936558287085</v>
      </c>
      <c r="G15" s="210"/>
      <c r="H15" s="7">
        <v>5.99676566217288</v>
      </c>
      <c r="I15" s="7"/>
      <c r="J15" s="7">
        <v>40.02816217287868</v>
      </c>
      <c r="K15" s="7"/>
      <c r="L15" s="7">
        <v>69.345683187946094</v>
      </c>
      <c r="M15" s="7"/>
      <c r="N15" s="210">
        <v>0.18099999999999997</v>
      </c>
      <c r="O15" s="7">
        <v>363.4535020080321</v>
      </c>
      <c r="P15" s="7">
        <v>0.95373791920120921</v>
      </c>
      <c r="Q15" s="524">
        <v>13.2</v>
      </c>
      <c r="R15" s="525">
        <v>0.04</v>
      </c>
      <c r="S15" s="526">
        <v>107.2</v>
      </c>
      <c r="T15" s="526">
        <v>2.8</v>
      </c>
      <c r="U15" s="8">
        <v>1.1504918644449663E-2</v>
      </c>
      <c r="V15" s="8">
        <v>1.2607249289927898</v>
      </c>
      <c r="W15" s="362">
        <v>2.707218697682616E-2</v>
      </c>
      <c r="X15" s="8">
        <v>0.15376322210699692</v>
      </c>
      <c r="Y15" s="8">
        <v>3.2944989442698502</v>
      </c>
      <c r="Z15" s="8">
        <v>3.4612270121260842</v>
      </c>
      <c r="AA15" s="60">
        <v>9.5263157894736831E-3</v>
      </c>
      <c r="AB15" s="8">
        <f t="shared" si="0"/>
        <v>0.37183098591549296</v>
      </c>
      <c r="AC15" s="60"/>
      <c r="AD15" s="50">
        <f t="shared" si="1"/>
        <v>6.4516129032258064E-4</v>
      </c>
      <c r="AF15" s="7">
        <v>7.5719479585006688</v>
      </c>
      <c r="AG15" s="22">
        <v>8.3165138895487836</v>
      </c>
      <c r="AH15" s="505">
        <v>7.9444241057064842</v>
      </c>
      <c r="AI15" s="505">
        <v>2.2882430518514392</v>
      </c>
      <c r="AJ15" s="365">
        <v>1.7633737018103406</v>
      </c>
      <c r="AK15" s="111">
        <v>0.14636351502794162</v>
      </c>
      <c r="AL15" s="370">
        <v>1210.6615698496041</v>
      </c>
      <c r="AM15" s="202">
        <v>66.673429248417435</v>
      </c>
      <c r="AN15" s="370">
        <v>411.8821872052423</v>
      </c>
      <c r="AO15" s="202">
        <v>18.355348669828885</v>
      </c>
      <c r="AP15" s="340">
        <f>N15*1000</f>
        <v>180.99999999999997</v>
      </c>
      <c r="AQ15" s="370">
        <v>9751.2445626554781</v>
      </c>
      <c r="AR15" s="202">
        <v>413.91612201035491</v>
      </c>
      <c r="AS15" s="370">
        <v>148.30148003328321</v>
      </c>
      <c r="AT15" s="202">
        <v>4.1747101603532863</v>
      </c>
      <c r="AU15" s="373" t="s">
        <v>115</v>
      </c>
      <c r="AV15" s="111"/>
      <c r="AW15" s="375" t="s">
        <v>119</v>
      </c>
      <c r="AX15" s="378"/>
      <c r="AY15" s="370">
        <v>1636.5802475261019</v>
      </c>
      <c r="AZ15" s="111">
        <v>35.381345188129607</v>
      </c>
      <c r="BA15" s="336">
        <f>'-ITER'!BZ15</f>
        <v>1636.5802475261019</v>
      </c>
      <c r="BB15" s="370">
        <v>69.7104289622538</v>
      </c>
      <c r="BC15" s="111">
        <v>3.900152752531572</v>
      </c>
      <c r="BD15" s="575">
        <f t="shared" si="3"/>
        <v>180.99999999999997</v>
      </c>
      <c r="BE15" s="370">
        <v>25.605222446689567</v>
      </c>
      <c r="BF15" s="147">
        <v>0.2319275149816957</v>
      </c>
      <c r="BG15" s="376">
        <v>52.923296579161352</v>
      </c>
      <c r="BH15" s="111">
        <v>0.7777497923122797</v>
      </c>
      <c r="BI15" s="365">
        <v>7.421699872092967</v>
      </c>
      <c r="BJ15" s="111">
        <v>0.41081625130671429</v>
      </c>
      <c r="BK15" s="253">
        <v>158.33660035510513</v>
      </c>
      <c r="BL15" s="111">
        <v>1.1935753829692741</v>
      </c>
      <c r="BM15" s="373" t="s">
        <v>116</v>
      </c>
      <c r="BN15" s="111"/>
      <c r="BO15" s="368" t="s">
        <v>73</v>
      </c>
      <c r="BP15" s="111"/>
      <c r="BQ15" s="368" t="s">
        <v>115</v>
      </c>
      <c r="BR15" s="111"/>
      <c r="BS15" s="384">
        <v>7.9778648947490503</v>
      </c>
      <c r="BT15" s="111">
        <v>0.15233702200471722</v>
      </c>
      <c r="BU15" s="370">
        <v>501.73489679096497</v>
      </c>
      <c r="BV15" s="111">
        <v>7.5520374215212049</v>
      </c>
      <c r="BW15" s="255" t="s">
        <v>116</v>
      </c>
      <c r="BX15" s="111"/>
      <c r="BY15" s="389" t="s">
        <v>117</v>
      </c>
      <c r="BZ15" s="111"/>
      <c r="CA15" s="389" t="s">
        <v>116</v>
      </c>
      <c r="CB15" s="111"/>
      <c r="CC15" s="389" t="s">
        <v>116</v>
      </c>
      <c r="CD15" s="111"/>
      <c r="CE15" s="391">
        <v>5.3984143530686621</v>
      </c>
      <c r="CF15" s="111">
        <v>0.15150385402653663</v>
      </c>
      <c r="CG15" s="389" t="s">
        <v>118</v>
      </c>
      <c r="CH15" s="111"/>
      <c r="CI15" s="368" t="s">
        <v>121</v>
      </c>
      <c r="CJ15" s="111"/>
      <c r="CK15" s="384">
        <v>14.492156326756582</v>
      </c>
      <c r="CL15" s="111">
        <v>0.29376126912001616</v>
      </c>
      <c r="CM15" s="389" t="s">
        <v>119</v>
      </c>
      <c r="CN15" s="111"/>
      <c r="CO15" s="368" t="s">
        <v>115</v>
      </c>
      <c r="CP15" s="111"/>
      <c r="CQ15" s="389" t="s">
        <v>117</v>
      </c>
      <c r="CR15" s="111"/>
      <c r="CS15" s="389" t="s">
        <v>120</v>
      </c>
      <c r="CT15" s="111"/>
      <c r="CU15" s="375" t="s">
        <v>119</v>
      </c>
      <c r="CV15" s="379"/>
      <c r="CW15" s="389" t="s">
        <v>118</v>
      </c>
      <c r="CX15" s="111"/>
      <c r="CY15" s="389" t="s">
        <v>120</v>
      </c>
      <c r="CZ15" s="111"/>
    </row>
    <row r="16" spans="1:104" x14ac:dyDescent="0.25">
      <c r="A16" s="511" t="s">
        <v>36</v>
      </c>
      <c r="B16" s="529">
        <v>7.9292579048101955E-2</v>
      </c>
      <c r="C16" s="520">
        <v>1.014172576007252</v>
      </c>
      <c r="D16" s="348">
        <v>29.100211180124226</v>
      </c>
      <c r="E16" s="210"/>
      <c r="F16" s="22">
        <v>0.83811902632886248</v>
      </c>
      <c r="G16" s="210"/>
      <c r="H16" s="7">
        <v>6.5005329359165431</v>
      </c>
      <c r="I16" s="7"/>
      <c r="J16" s="7">
        <v>41.006506507699946</v>
      </c>
      <c r="K16" s="7"/>
      <c r="L16" s="7">
        <v>70.473544957774465</v>
      </c>
      <c r="M16" s="7"/>
      <c r="N16" s="210">
        <v>0.17099999999999996</v>
      </c>
      <c r="O16" s="7">
        <v>389.53770643482</v>
      </c>
      <c r="P16" s="7">
        <v>0.21450733025076377</v>
      </c>
      <c r="Q16" s="524">
        <v>16.399999999999999</v>
      </c>
      <c r="R16" s="525">
        <v>0.08</v>
      </c>
      <c r="S16" s="526">
        <v>108.8</v>
      </c>
      <c r="T16" s="526">
        <v>5.2</v>
      </c>
      <c r="U16" s="8">
        <v>1.1327511292585994E-2</v>
      </c>
      <c r="V16" s="8">
        <v>1.2652265730488794</v>
      </c>
      <c r="W16" s="362">
        <v>4.656216812938125E-2</v>
      </c>
      <c r="X16" s="8">
        <v>0.16668033169016777</v>
      </c>
      <c r="Y16" s="8">
        <v>3.3750211117448514</v>
      </c>
      <c r="Z16" s="8">
        <v>3.5175215851147725</v>
      </c>
      <c r="AA16" s="60">
        <v>8.9999999999999976E-3</v>
      </c>
      <c r="AB16" s="8">
        <f t="shared" si="0"/>
        <v>0.46197183098591543</v>
      </c>
      <c r="AC16" s="60"/>
      <c r="AD16" s="50">
        <f t="shared" si="1"/>
        <v>1.2903225806451613E-3</v>
      </c>
      <c r="AF16" s="7">
        <v>8.1153688840587499</v>
      </c>
      <c r="AG16" s="22">
        <v>8.4465912402181313</v>
      </c>
      <c r="AH16" s="505">
        <v>8.5786310376253105</v>
      </c>
      <c r="AI16" s="505">
        <v>-0.77555402950019214</v>
      </c>
      <c r="AJ16" s="365">
        <v>3.3738032323803244</v>
      </c>
      <c r="AK16" s="111">
        <v>0.14611644965471521</v>
      </c>
      <c r="AL16" s="370">
        <v>1528.947283917254</v>
      </c>
      <c r="AM16" s="202">
        <v>55.450290086546872</v>
      </c>
      <c r="AN16" s="370"/>
      <c r="AO16" s="202">
        <v>176.20052533587685</v>
      </c>
      <c r="AP16" s="340">
        <f t="shared" si="2"/>
        <v>170.99999999999997</v>
      </c>
      <c r="AQ16" s="370">
        <v>12373.726754426254</v>
      </c>
      <c r="AR16" s="202">
        <v>763.88576540777956</v>
      </c>
      <c r="AS16" s="370">
        <v>223.92240611835055</v>
      </c>
      <c r="AT16" s="202">
        <v>3.4264661423793168</v>
      </c>
      <c r="AU16" s="370">
        <v>8.6765153151616463</v>
      </c>
      <c r="AV16" s="111">
        <v>0.16890687425169137</v>
      </c>
      <c r="AW16" s="376">
        <v>1.7629520450230765</v>
      </c>
      <c r="AX16" s="378">
        <v>3.7796831764201295E-2</v>
      </c>
      <c r="AY16" s="370">
        <v>1728.3323867030144</v>
      </c>
      <c r="AZ16" s="111">
        <v>32.49982931006862</v>
      </c>
      <c r="BA16" s="336">
        <f>'-ITER'!BZ16</f>
        <v>1728.3323867030144</v>
      </c>
      <c r="BB16" s="370">
        <v>40</v>
      </c>
      <c r="BC16" s="111">
        <v>2.5</v>
      </c>
      <c r="BD16" s="575">
        <f t="shared" si="3"/>
        <v>170.99999999999997</v>
      </c>
      <c r="BE16" s="370">
        <v>26.102175389789927</v>
      </c>
      <c r="BF16" s="147">
        <v>0.41602510496648298</v>
      </c>
      <c r="BG16" s="376">
        <v>50.776766163853772</v>
      </c>
      <c r="BH16" s="111">
        <v>0.49895049382546985</v>
      </c>
      <c r="BI16" s="383">
        <v>6.5746335669400811</v>
      </c>
      <c r="BJ16" s="111">
        <v>0.10722909748769918</v>
      </c>
      <c r="BK16" s="253">
        <v>143.20374573944639</v>
      </c>
      <c r="BL16" s="111">
        <v>1.2097759103560251</v>
      </c>
      <c r="BM16" s="384">
        <v>1.7271796314208698</v>
      </c>
      <c r="BN16" s="111">
        <v>4.4892098664262241E-2</v>
      </c>
      <c r="BO16" s="365">
        <v>2.1763690874712287</v>
      </c>
      <c r="BP16" s="111">
        <v>0.14144028309116519</v>
      </c>
      <c r="BQ16" s="365">
        <v>4.0060884962213796</v>
      </c>
      <c r="BR16" s="111">
        <v>0.18589990164264239</v>
      </c>
      <c r="BS16" s="384">
        <v>8.6502650971035351</v>
      </c>
      <c r="BT16" s="111">
        <v>0.15708224134605464</v>
      </c>
      <c r="BU16" s="370">
        <v>508.60519633928504</v>
      </c>
      <c r="BV16" s="111">
        <v>6.9366311242592031</v>
      </c>
      <c r="BW16" s="255" t="s">
        <v>116</v>
      </c>
      <c r="BX16" s="111"/>
      <c r="BY16" s="389" t="s">
        <v>117</v>
      </c>
      <c r="BZ16" s="111"/>
      <c r="CA16" s="389" t="s">
        <v>116</v>
      </c>
      <c r="CB16" s="111"/>
      <c r="CC16" s="389" t="s">
        <v>116</v>
      </c>
      <c r="CD16" s="111"/>
      <c r="CE16" s="391">
        <v>4.6129459406644049</v>
      </c>
      <c r="CF16" s="111">
        <v>9.6661530026394035E-2</v>
      </c>
      <c r="CG16" s="389" t="s">
        <v>118</v>
      </c>
      <c r="CH16" s="111"/>
      <c r="CI16" s="368" t="s">
        <v>121</v>
      </c>
      <c r="CJ16" s="111"/>
      <c r="CK16" s="384">
        <v>26.237504840157911</v>
      </c>
      <c r="CL16" s="111">
        <v>0.2731154041205065</v>
      </c>
      <c r="CM16" s="389" t="s">
        <v>119</v>
      </c>
      <c r="CN16" s="111"/>
      <c r="CO16" s="368" t="s">
        <v>115</v>
      </c>
      <c r="CP16" s="111"/>
      <c r="CQ16" s="389" t="s">
        <v>117</v>
      </c>
      <c r="CR16" s="111"/>
      <c r="CS16" s="389" t="s">
        <v>120</v>
      </c>
      <c r="CT16" s="111"/>
      <c r="CU16" s="375" t="s">
        <v>119</v>
      </c>
      <c r="CV16" s="379"/>
      <c r="CW16" s="389" t="s">
        <v>118</v>
      </c>
      <c r="CX16" s="111"/>
      <c r="CY16" s="389" t="s">
        <v>120</v>
      </c>
      <c r="CZ16" s="111"/>
    </row>
    <row r="17" spans="1:104" x14ac:dyDescent="0.25">
      <c r="A17" s="511" t="s">
        <v>37</v>
      </c>
      <c r="B17" s="529">
        <v>7.732055441325511E-2</v>
      </c>
      <c r="C17" s="520">
        <v>3.1603853519141625</v>
      </c>
      <c r="D17" s="348">
        <v>29.669516773162936</v>
      </c>
      <c r="E17" s="210"/>
      <c r="F17" s="22">
        <v>0.76599440894568682</v>
      </c>
      <c r="G17" s="210"/>
      <c r="H17" s="7">
        <v>5.4640934504792336</v>
      </c>
      <c r="I17" s="7"/>
      <c r="J17" s="7">
        <v>39.126994408945684</v>
      </c>
      <c r="K17" s="7"/>
      <c r="L17" s="7">
        <v>67.305375399361012</v>
      </c>
      <c r="M17" s="7"/>
      <c r="N17" s="210">
        <v>0.17466666666666666</v>
      </c>
      <c r="O17" s="7">
        <v>372.68581467600887</v>
      </c>
      <c r="P17" s="7">
        <v>2.3060060308948747</v>
      </c>
      <c r="Q17" s="524">
        <v>9.9</v>
      </c>
      <c r="R17" s="525">
        <v>0.18</v>
      </c>
      <c r="S17" s="526">
        <v>130.9</v>
      </c>
      <c r="T17" s="526">
        <v>4.9000000000000004</v>
      </c>
      <c r="U17" s="8">
        <v>1.1045793487607872E-2</v>
      </c>
      <c r="V17" s="8">
        <v>1.2899789901375189</v>
      </c>
      <c r="W17" s="362">
        <v>4.2555244941427046E-2</v>
      </c>
      <c r="X17" s="8">
        <v>0.14010496026869829</v>
      </c>
      <c r="Y17" s="8">
        <v>3.2203287579379163</v>
      </c>
      <c r="Z17" s="8">
        <v>3.3593898377519844</v>
      </c>
      <c r="AA17" s="60">
        <v>9.19298245614035E-3</v>
      </c>
      <c r="AB17" s="8">
        <f t="shared" si="0"/>
        <v>0.27887323943661974</v>
      </c>
      <c r="AC17" s="60"/>
      <c r="AD17" s="50">
        <f t="shared" si="1"/>
        <v>2.9032258064516127E-3</v>
      </c>
      <c r="AF17" s="7">
        <v>7.7642878057501852</v>
      </c>
      <c r="AG17" s="22">
        <v>8.1801988179816973</v>
      </c>
      <c r="AH17" s="505">
        <v>8.0460642709932557</v>
      </c>
      <c r="AI17" s="505">
        <v>0.82665088229452088</v>
      </c>
      <c r="AJ17" s="365">
        <v>1.7804110068081391</v>
      </c>
      <c r="AK17" s="111">
        <v>0.15832100722432238</v>
      </c>
      <c r="AL17" s="370">
        <v>1173.6170905461897</v>
      </c>
      <c r="AM17" s="202">
        <v>24.106470507367536</v>
      </c>
      <c r="AN17" s="370">
        <v>508.94660375805825</v>
      </c>
      <c r="AO17" s="202">
        <v>9.8005277027273046</v>
      </c>
      <c r="AP17" s="340">
        <f t="shared" si="2"/>
        <v>174.66666666666666</v>
      </c>
      <c r="AQ17" s="370">
        <v>12000.889615426664</v>
      </c>
      <c r="AR17" s="202">
        <v>791.72282823734577</v>
      </c>
      <c r="AS17" s="370">
        <v>144.70423444687191</v>
      </c>
      <c r="AT17" s="202">
        <v>2.7446290508716462</v>
      </c>
      <c r="AU17" s="373" t="s">
        <v>115</v>
      </c>
      <c r="AV17" s="111"/>
      <c r="AW17" s="375" t="s">
        <v>119</v>
      </c>
      <c r="AX17" s="379"/>
      <c r="AY17" s="370">
        <v>1579.4647992107818</v>
      </c>
      <c r="AZ17" s="111">
        <v>28.118664874180357</v>
      </c>
      <c r="BA17" s="336">
        <f>'-ITER'!BZ17</f>
        <v>1579.4647992107818</v>
      </c>
      <c r="BB17" s="370">
        <v>80.100025459232995</v>
      </c>
      <c r="BC17" s="111">
        <v>0.24030007637769898</v>
      </c>
      <c r="BD17" s="575">
        <f t="shared" si="3"/>
        <v>174.66666666666666</v>
      </c>
      <c r="BE17" s="370">
        <v>25.828747241613502</v>
      </c>
      <c r="BF17" s="147">
        <v>0.57670538097486801</v>
      </c>
      <c r="BG17" s="376">
        <v>52.396391600405842</v>
      </c>
      <c r="BH17" s="111">
        <v>1.0776670660694538</v>
      </c>
      <c r="BI17" s="383">
        <v>6.9422110413979654</v>
      </c>
      <c r="BJ17" s="111">
        <v>0.17256388384179114</v>
      </c>
      <c r="BK17" s="253">
        <v>184.52035126709512</v>
      </c>
      <c r="BL17" s="111">
        <v>4.3767957999855795</v>
      </c>
      <c r="BM17" s="385" t="s">
        <v>116</v>
      </c>
      <c r="BN17" s="111"/>
      <c r="BO17" s="368" t="s">
        <v>73</v>
      </c>
      <c r="BP17" s="111"/>
      <c r="BQ17" s="368" t="s">
        <v>115</v>
      </c>
      <c r="BR17" s="111"/>
      <c r="BS17" s="384">
        <v>7.7273314644090361</v>
      </c>
      <c r="BT17" s="111">
        <v>0.19042076763004814</v>
      </c>
      <c r="BU17" s="370">
        <v>490.47681156003875</v>
      </c>
      <c r="BV17" s="111">
        <v>6.9314379582584795</v>
      </c>
      <c r="BW17" s="255" t="s">
        <v>116</v>
      </c>
      <c r="BX17" s="111"/>
      <c r="BY17" s="389" t="s">
        <v>117</v>
      </c>
      <c r="BZ17" s="111"/>
      <c r="CA17" s="389" t="s">
        <v>116</v>
      </c>
      <c r="CB17" s="111"/>
      <c r="CC17" s="389" t="s">
        <v>116</v>
      </c>
      <c r="CD17" s="111"/>
      <c r="CE17" s="391">
        <v>9.5910409235476326</v>
      </c>
      <c r="CF17" s="111">
        <v>0.24443713112988963</v>
      </c>
      <c r="CG17" s="389" t="s">
        <v>118</v>
      </c>
      <c r="CH17" s="111"/>
      <c r="CI17" s="368" t="s">
        <v>121</v>
      </c>
      <c r="CJ17" s="111"/>
      <c r="CK17" s="384">
        <v>13.592050164319247</v>
      </c>
      <c r="CL17" s="111">
        <v>0.42533824483535115</v>
      </c>
      <c r="CM17" s="389" t="s">
        <v>119</v>
      </c>
      <c r="CN17" s="111"/>
      <c r="CO17" s="368" t="s">
        <v>115</v>
      </c>
      <c r="CP17" s="111"/>
      <c r="CQ17" s="389" t="s">
        <v>117</v>
      </c>
      <c r="CR17" s="111"/>
      <c r="CS17" s="389" t="s">
        <v>120</v>
      </c>
      <c r="CT17" s="111"/>
      <c r="CU17" s="375" t="s">
        <v>119</v>
      </c>
      <c r="CV17" s="379"/>
      <c r="CW17" s="389" t="s">
        <v>118</v>
      </c>
      <c r="CX17" s="111"/>
      <c r="CY17" s="389" t="s">
        <v>120</v>
      </c>
      <c r="CZ17" s="111"/>
    </row>
    <row r="18" spans="1:104" ht="15.75" thickBot="1" x14ac:dyDescent="0.3">
      <c r="A18" s="542" t="s">
        <v>38</v>
      </c>
      <c r="B18" s="565">
        <v>7.8505238159924162E-2</v>
      </c>
      <c r="C18" s="544">
        <v>1.0189732942461773</v>
      </c>
      <c r="D18" s="349">
        <v>27.857808517094885</v>
      </c>
      <c r="E18" s="211"/>
      <c r="F18" s="23">
        <v>0.61458456402994133</v>
      </c>
      <c r="G18" s="211"/>
      <c r="H18" s="11">
        <v>5.0678038640501724</v>
      </c>
      <c r="I18" s="11"/>
      <c r="J18" s="11">
        <v>40.129349484118961</v>
      </c>
      <c r="K18" s="11"/>
      <c r="L18" s="11">
        <v>68.883846955290309</v>
      </c>
      <c r="M18" s="11"/>
      <c r="N18" s="211">
        <v>0.16833333333333333</v>
      </c>
      <c r="O18" s="11">
        <v>315.04432426116841</v>
      </c>
      <c r="P18" s="11">
        <v>0.62341994874060713</v>
      </c>
      <c r="Q18" s="545">
        <v>13.8</v>
      </c>
      <c r="R18" s="546">
        <v>0.24</v>
      </c>
      <c r="S18" s="547">
        <v>129.4</v>
      </c>
      <c r="T18" s="547">
        <v>6.2</v>
      </c>
      <c r="U18" s="356">
        <v>1.1215034022846309E-2</v>
      </c>
      <c r="V18" s="356">
        <v>1.2112090659606471</v>
      </c>
      <c r="W18" s="363">
        <v>3.4143586890552295E-2</v>
      </c>
      <c r="X18" s="356">
        <v>0.1299436888217993</v>
      </c>
      <c r="Y18" s="356">
        <v>3.3028271180344824</v>
      </c>
      <c r="Z18" s="356">
        <v>3.4381755405685204</v>
      </c>
      <c r="AA18" s="54">
        <v>8.859649122807017E-3</v>
      </c>
      <c r="AB18" s="356">
        <f t="shared" si="0"/>
        <v>0.38873239436619722</v>
      </c>
      <c r="AC18" s="54"/>
      <c r="AD18" s="548">
        <f t="shared" si="1"/>
        <v>3.8709677419354839E-3</v>
      </c>
      <c r="AE18" s="53"/>
      <c r="AF18" s="11">
        <v>6.5634234221076753</v>
      </c>
      <c r="AG18" s="23">
        <v>8.2398769532973386</v>
      </c>
      <c r="AH18" s="508">
        <v>6.9560267842158083</v>
      </c>
      <c r="AI18" s="326">
        <v>8.4486595286344972</v>
      </c>
      <c r="AJ18" s="367" t="s">
        <v>114</v>
      </c>
      <c r="AK18" s="199"/>
      <c r="AL18" s="371">
        <v>1120.3328919257838</v>
      </c>
      <c r="AM18" s="203">
        <v>32.814576589158612</v>
      </c>
      <c r="AN18" s="371">
        <v>473.23506193646085</v>
      </c>
      <c r="AO18" s="203">
        <v>20.957648336094632</v>
      </c>
      <c r="AP18" s="338">
        <f t="shared" si="2"/>
        <v>168.33333333333334</v>
      </c>
      <c r="AQ18" s="371">
        <v>11093.013865967745</v>
      </c>
      <c r="AR18" s="203">
        <v>863.42685672959908</v>
      </c>
      <c r="AS18" s="371">
        <v>147.71367258778901</v>
      </c>
      <c r="AT18" s="203">
        <v>2.2381196048637246</v>
      </c>
      <c r="AU18" s="374" t="s">
        <v>115</v>
      </c>
      <c r="AV18" s="199"/>
      <c r="AW18" s="374" t="s">
        <v>119</v>
      </c>
      <c r="AX18" s="380"/>
      <c r="AY18" s="371">
        <v>1605.6786923803822</v>
      </c>
      <c r="AZ18" s="199">
        <v>24.37576365670138</v>
      </c>
      <c r="BA18" s="336">
        <f>'-ITER'!BZ18</f>
        <v>1605.6786923803822</v>
      </c>
      <c r="BB18" s="371">
        <v>39.698486857972483</v>
      </c>
      <c r="BC18" s="199">
        <v>3.0890152174002732</v>
      </c>
      <c r="BD18" s="575">
        <f t="shared" si="3"/>
        <v>168.33333333333334</v>
      </c>
      <c r="BE18" s="371">
        <v>25.595405534842442</v>
      </c>
      <c r="BF18" s="268">
        <v>0.47393239757041461</v>
      </c>
      <c r="BG18" s="382">
        <v>51.624132437527749</v>
      </c>
      <c r="BH18" s="199">
        <v>0.69440700502303587</v>
      </c>
      <c r="BI18" s="382">
        <v>1.165</v>
      </c>
      <c r="BJ18" s="199"/>
      <c r="BK18" s="261">
        <v>152.72999903425605</v>
      </c>
      <c r="BL18" s="199">
        <v>6.9546919833180425</v>
      </c>
      <c r="BM18" s="374" t="s">
        <v>116</v>
      </c>
      <c r="BN18" s="199"/>
      <c r="BO18" s="367" t="s">
        <v>73</v>
      </c>
      <c r="BP18" s="199"/>
      <c r="BQ18" s="367" t="s">
        <v>115</v>
      </c>
      <c r="BR18" s="199"/>
      <c r="BS18" s="381">
        <v>7.6107298888740615</v>
      </c>
      <c r="BT18" s="199">
        <v>0.2071330865830355</v>
      </c>
      <c r="BU18" s="371">
        <v>493.88050827771735</v>
      </c>
      <c r="BV18" s="199">
        <v>8.2490196615192879</v>
      </c>
      <c r="BW18" s="265" t="s">
        <v>116</v>
      </c>
      <c r="BX18" s="199"/>
      <c r="BY18" s="390" t="s">
        <v>117</v>
      </c>
      <c r="BZ18" s="199"/>
      <c r="CA18" s="390" t="s">
        <v>116</v>
      </c>
      <c r="CB18" s="199"/>
      <c r="CC18" s="390" t="s">
        <v>116</v>
      </c>
      <c r="CD18" s="199"/>
      <c r="CE18" s="392">
        <v>21.393582568817216</v>
      </c>
      <c r="CF18" s="199">
        <v>0.79284276354279382</v>
      </c>
      <c r="CG18" s="390" t="s">
        <v>118</v>
      </c>
      <c r="CH18" s="199"/>
      <c r="CI18" s="367" t="s">
        <v>121</v>
      </c>
      <c r="CJ18" s="199"/>
      <c r="CK18" s="381">
        <v>12.483075166317978</v>
      </c>
      <c r="CL18" s="199">
        <v>0.16466904552542055</v>
      </c>
      <c r="CM18" s="390" t="s">
        <v>119</v>
      </c>
      <c r="CN18" s="199"/>
      <c r="CO18" s="367" t="s">
        <v>115</v>
      </c>
      <c r="CP18" s="199"/>
      <c r="CQ18" s="390" t="s">
        <v>117</v>
      </c>
      <c r="CR18" s="199"/>
      <c r="CS18" s="390" t="s">
        <v>120</v>
      </c>
      <c r="CT18" s="199"/>
      <c r="CU18" s="394" t="s">
        <v>119</v>
      </c>
      <c r="CV18" s="380"/>
      <c r="CW18" s="390" t="s">
        <v>118</v>
      </c>
      <c r="CX18" s="199"/>
      <c r="CY18" s="390" t="s">
        <v>120</v>
      </c>
      <c r="CZ18" s="199"/>
    </row>
    <row r="19" spans="1:104" x14ac:dyDescent="0.25">
      <c r="A19" s="536" t="s">
        <v>39</v>
      </c>
      <c r="B19" s="564" t="s">
        <v>116</v>
      </c>
      <c r="C19" s="564"/>
      <c r="D19" s="506">
        <v>96.51214705882353</v>
      </c>
      <c r="E19" s="209"/>
      <c r="F19" s="117">
        <v>2.2884323529411765</v>
      </c>
      <c r="G19" s="209"/>
      <c r="H19" s="106">
        <v>10.845179411764706</v>
      </c>
      <c r="I19" s="106"/>
      <c r="J19" s="106">
        <v>48.156576470588234</v>
      </c>
      <c r="K19" s="106"/>
      <c r="L19" s="106">
        <v>96.810638235294121</v>
      </c>
      <c r="M19" s="106"/>
      <c r="N19" s="539">
        <v>5.4333333333333338E-2</v>
      </c>
      <c r="O19" s="119">
        <v>518.39910891089119</v>
      </c>
      <c r="P19" s="119">
        <v>0.29914145730948055</v>
      </c>
      <c r="Q19" s="540">
        <v>0.5</v>
      </c>
      <c r="R19" s="353">
        <v>0.04</v>
      </c>
      <c r="S19" s="541">
        <v>114</v>
      </c>
      <c r="T19" s="541">
        <v>2.2999999999999998</v>
      </c>
      <c r="U19" s="119"/>
      <c r="V19" s="119">
        <v>4.1961803069053705</v>
      </c>
      <c r="W19" s="507">
        <v>0.12713513071895424</v>
      </c>
      <c r="X19" s="119">
        <v>0.27808152337858222</v>
      </c>
      <c r="Y19" s="119">
        <v>3.963504236262406</v>
      </c>
      <c r="Z19" s="119">
        <v>4.8320757791511912</v>
      </c>
      <c r="AA19" s="126">
        <v>2.8596491228070177E-3</v>
      </c>
      <c r="AB19" s="119">
        <f t="shared" si="0"/>
        <v>1.4084507042253521E-2</v>
      </c>
      <c r="AC19" s="126">
        <v>2.4405506883604503E-3</v>
      </c>
      <c r="AD19" s="126">
        <f t="shared" si="1"/>
        <v>6.4516129032258064E-4</v>
      </c>
      <c r="AE19" s="119"/>
      <c r="AF19" s="119">
        <v>10.799981435643566</v>
      </c>
      <c r="AG19" s="117">
        <v>13.396976976416504</v>
      </c>
      <c r="AH19" s="503">
        <v>10.814711103976142</v>
      </c>
      <c r="AI19" s="503">
        <v>10.665368989829163</v>
      </c>
      <c r="AJ19" s="457"/>
      <c r="AK19" s="422"/>
      <c r="AL19" s="450"/>
      <c r="AM19" s="451"/>
      <c r="AN19" s="450"/>
      <c r="AO19" s="451"/>
      <c r="AP19" s="339">
        <f t="shared" si="2"/>
        <v>54.333333333333336</v>
      </c>
      <c r="AQ19" s="450"/>
      <c r="AR19" s="451"/>
      <c r="AS19" s="450"/>
      <c r="AT19" s="451"/>
      <c r="AU19" s="468"/>
      <c r="AV19" s="422"/>
      <c r="AW19" s="454"/>
      <c r="AX19" s="452"/>
      <c r="AY19" s="450"/>
      <c r="AZ19" s="422"/>
      <c r="BA19" s="336">
        <f>'-ITER'!BZ19</f>
        <v>0</v>
      </c>
      <c r="BB19" s="450"/>
      <c r="BC19" s="422"/>
      <c r="BD19" s="575">
        <f t="shared" si="3"/>
        <v>54.333333333333336</v>
      </c>
      <c r="BE19" s="450"/>
      <c r="BF19" s="448"/>
      <c r="BG19" s="450"/>
      <c r="BH19" s="422"/>
      <c r="BI19" s="450"/>
      <c r="BJ19" s="422"/>
      <c r="BK19" s="453"/>
      <c r="BL19" s="422"/>
      <c r="BM19" s="468"/>
      <c r="BN19" s="422"/>
      <c r="BO19" s="457"/>
      <c r="BP19" s="422"/>
      <c r="BQ19" s="457"/>
      <c r="BR19" s="422"/>
      <c r="BS19" s="454"/>
      <c r="BT19" s="422"/>
      <c r="BU19" s="450"/>
      <c r="BV19" s="422"/>
      <c r="BW19" s="455"/>
      <c r="BX19" s="422"/>
      <c r="BY19" s="456"/>
      <c r="BZ19" s="422"/>
      <c r="CA19" s="456"/>
      <c r="CB19" s="422"/>
      <c r="CC19" s="454"/>
      <c r="CD19" s="422"/>
      <c r="CE19" s="454"/>
      <c r="CF19" s="422"/>
      <c r="CG19" s="456"/>
      <c r="CH19" s="422"/>
      <c r="CI19" s="449"/>
      <c r="CJ19" s="422"/>
      <c r="CK19" s="454"/>
      <c r="CL19" s="422"/>
      <c r="CM19" s="456"/>
      <c r="CN19" s="422"/>
      <c r="CO19" s="457"/>
      <c r="CP19" s="422"/>
      <c r="CQ19" s="456"/>
      <c r="CR19" s="422"/>
      <c r="CS19" s="456"/>
      <c r="CT19" s="422"/>
      <c r="CU19" s="449"/>
      <c r="CV19" s="458"/>
      <c r="CW19" s="456"/>
      <c r="CX19" s="422"/>
      <c r="CY19" s="456"/>
      <c r="CZ19" s="422"/>
    </row>
    <row r="20" spans="1:104" x14ac:dyDescent="0.25">
      <c r="A20" s="511" t="s">
        <v>40</v>
      </c>
      <c r="B20" s="530" t="s">
        <v>116</v>
      </c>
      <c r="C20" s="530"/>
      <c r="D20" s="348">
        <v>87.333405315614613</v>
      </c>
      <c r="E20" s="210"/>
      <c r="F20" s="22">
        <v>3.5875083056478401</v>
      </c>
      <c r="G20" s="210"/>
      <c r="H20" s="7">
        <v>5.9418106312292354</v>
      </c>
      <c r="I20" s="7"/>
      <c r="J20" s="7">
        <v>41.368455149501656</v>
      </c>
      <c r="K20" s="7"/>
      <c r="L20" s="7">
        <v>78.700963455149491</v>
      </c>
      <c r="M20" s="7"/>
      <c r="N20" s="521">
        <v>4.8666666666666671E-2</v>
      </c>
      <c r="O20" s="8">
        <v>441.03764210404347</v>
      </c>
      <c r="P20" s="8">
        <v>0.35287088305451053</v>
      </c>
      <c r="Q20" s="522">
        <v>2.2000000000000002</v>
      </c>
      <c r="R20" s="354">
        <v>0.03</v>
      </c>
      <c r="S20" s="523">
        <v>108.4</v>
      </c>
      <c r="T20" s="523">
        <v>2.1</v>
      </c>
      <c r="U20" s="8"/>
      <c r="V20" s="8">
        <v>3.7971045789397659</v>
      </c>
      <c r="W20" s="362">
        <v>0.19930601698043557</v>
      </c>
      <c r="X20" s="8">
        <v>0.15235411874946758</v>
      </c>
      <c r="Y20" s="8">
        <v>3.4048111234157741</v>
      </c>
      <c r="Z20" s="8">
        <v>3.9281738684876211</v>
      </c>
      <c r="AA20" s="50">
        <v>2.5614035087719298E-3</v>
      </c>
      <c r="AB20" s="8">
        <f t="shared" si="0"/>
        <v>6.1971830985915501E-2</v>
      </c>
      <c r="AC20" s="50">
        <v>2.515644555694618E-3</v>
      </c>
      <c r="AD20" s="50">
        <f t="shared" si="1"/>
        <v>4.8387096774193548E-4</v>
      </c>
      <c r="AE20" s="8"/>
      <c r="AF20" s="8">
        <v>9.188284210500905</v>
      </c>
      <c r="AG20" s="22">
        <v>11.481749706573064</v>
      </c>
      <c r="AH20" s="505">
        <v>9.2507399124545628</v>
      </c>
      <c r="AI20" s="505">
        <v>10.760935300654634</v>
      </c>
      <c r="AJ20" s="464"/>
      <c r="AK20" s="465"/>
      <c r="AL20" s="466"/>
      <c r="AM20" s="467"/>
      <c r="AN20" s="466"/>
      <c r="AO20" s="467"/>
      <c r="AP20" s="337">
        <f t="shared" si="2"/>
        <v>48.666666666666671</v>
      </c>
      <c r="AQ20" s="466"/>
      <c r="AR20" s="467"/>
      <c r="AS20" s="466"/>
      <c r="AT20" s="467"/>
      <c r="AU20" s="469"/>
      <c r="AV20" s="465"/>
      <c r="AW20" s="470"/>
      <c r="AX20" s="471"/>
      <c r="AY20" s="466"/>
      <c r="AZ20" s="465"/>
      <c r="BA20" s="336">
        <f>'-ITER'!BZ20</f>
        <v>0</v>
      </c>
      <c r="BB20" s="466"/>
      <c r="BC20" s="465"/>
      <c r="BD20" s="575">
        <f t="shared" si="3"/>
        <v>48.666666666666671</v>
      </c>
      <c r="BE20" s="466"/>
      <c r="BF20" s="472"/>
      <c r="BG20" s="473"/>
      <c r="BH20" s="465"/>
      <c r="BI20" s="466"/>
      <c r="BJ20" s="465"/>
      <c r="BK20" s="474"/>
      <c r="BL20" s="465"/>
      <c r="BM20" s="475"/>
      <c r="BN20" s="465"/>
      <c r="BO20" s="464"/>
      <c r="BP20" s="465"/>
      <c r="BQ20" s="464"/>
      <c r="BR20" s="465"/>
      <c r="BS20" s="476"/>
      <c r="BT20" s="465"/>
      <c r="BU20" s="466"/>
      <c r="BV20" s="465"/>
      <c r="BW20" s="477"/>
      <c r="BX20" s="465"/>
      <c r="BY20" s="478"/>
      <c r="BZ20" s="465"/>
      <c r="CA20" s="478"/>
      <c r="CB20" s="465"/>
      <c r="CC20" s="470"/>
      <c r="CD20" s="465"/>
      <c r="CE20" s="470"/>
      <c r="CF20" s="465"/>
      <c r="CG20" s="478"/>
      <c r="CH20" s="465"/>
      <c r="CI20" s="469"/>
      <c r="CJ20" s="465"/>
      <c r="CK20" s="476"/>
      <c r="CL20" s="465"/>
      <c r="CM20" s="478"/>
      <c r="CN20" s="465"/>
      <c r="CO20" s="464"/>
      <c r="CP20" s="465"/>
      <c r="CQ20" s="478"/>
      <c r="CR20" s="465"/>
      <c r="CS20" s="478"/>
      <c r="CT20" s="465"/>
      <c r="CU20" s="479"/>
      <c r="CV20" s="480"/>
      <c r="CW20" s="478"/>
      <c r="CX20" s="465"/>
      <c r="CY20" s="478"/>
      <c r="CZ20" s="465"/>
    </row>
    <row r="21" spans="1:104" x14ac:dyDescent="0.25">
      <c r="A21" s="511" t="s">
        <v>41</v>
      </c>
      <c r="B21" s="529">
        <v>2.8589427679597178E-2</v>
      </c>
      <c r="C21" s="529">
        <v>1.4694623605287072</v>
      </c>
      <c r="D21" s="348">
        <v>151.15920244150561</v>
      </c>
      <c r="E21" s="210"/>
      <c r="F21" s="22">
        <v>2.0607934893184132</v>
      </c>
      <c r="G21" s="210"/>
      <c r="H21" s="7">
        <v>7.2127772126144469</v>
      </c>
      <c r="I21" s="7"/>
      <c r="J21" s="7">
        <v>28.851108850457788</v>
      </c>
      <c r="K21" s="7"/>
      <c r="L21" s="7">
        <v>109.42813428280775</v>
      </c>
      <c r="M21" s="7"/>
      <c r="N21" s="521">
        <v>1.6063333333333334</v>
      </c>
      <c r="O21" s="8">
        <v>682.18329727111256</v>
      </c>
      <c r="P21" s="8">
        <v>2.8397179975668028</v>
      </c>
      <c r="Q21" s="522">
        <v>1</v>
      </c>
      <c r="R21" s="354">
        <v>0.01</v>
      </c>
      <c r="S21" s="523">
        <v>123.6</v>
      </c>
      <c r="T21" s="523">
        <v>2.2999999999999998</v>
      </c>
      <c r="U21" s="8">
        <v>4.0842039542281685E-3</v>
      </c>
      <c r="V21" s="8">
        <v>6.5721392365872005</v>
      </c>
      <c r="W21" s="362">
        <v>0.11448852718435629</v>
      </c>
      <c r="X21" s="8">
        <v>0.18494300545165249</v>
      </c>
      <c r="Y21" s="8">
        <v>2.3745768601199826</v>
      </c>
      <c r="Z21" s="8">
        <v>5.4618484793016098</v>
      </c>
      <c r="AA21" s="50">
        <v>8.454385964912281E-2</v>
      </c>
      <c r="AB21" s="8">
        <f t="shared" si="0"/>
        <v>2.8169014084507043E-2</v>
      </c>
      <c r="AC21" s="50">
        <v>1.5819774718397996E-2</v>
      </c>
      <c r="AD21" s="50">
        <f t="shared" si="1"/>
        <v>1.6129032258064516E-4</v>
      </c>
      <c r="AE21" s="8"/>
      <c r="AF21" s="8">
        <v>14.212152026481512</v>
      </c>
      <c r="AG21" s="22">
        <v>17.868639696303628</v>
      </c>
      <c r="AH21" s="505">
        <v>14.2404823308886</v>
      </c>
      <c r="AI21" s="505">
        <v>11.299459892869237</v>
      </c>
      <c r="AJ21" s="368" t="s">
        <v>114</v>
      </c>
      <c r="AK21" s="111"/>
      <c r="AL21" s="370">
        <v>2008.3004842364264</v>
      </c>
      <c r="AM21" s="202">
        <v>69.662055491945836</v>
      </c>
      <c r="AN21" s="370">
        <v>16809.20858960121</v>
      </c>
      <c r="AO21" s="202">
        <v>13079.291073384347</v>
      </c>
      <c r="AP21" s="337">
        <f t="shared" si="2"/>
        <v>1606.3333333333335</v>
      </c>
      <c r="AQ21" s="370">
        <v>10175.671788793237</v>
      </c>
      <c r="AR21" s="202">
        <v>599.90772960649736</v>
      </c>
      <c r="AS21" s="370">
        <v>356.84274313571791</v>
      </c>
      <c r="AT21" s="202">
        <v>4.6770775133462266</v>
      </c>
      <c r="AU21" s="370">
        <v>173.97723023145232</v>
      </c>
      <c r="AV21" s="111">
        <v>2.7691622400009503</v>
      </c>
      <c r="AW21" s="376">
        <v>145.45712961023023</v>
      </c>
      <c r="AX21" s="378">
        <v>1.9917288028534683</v>
      </c>
      <c r="AY21" s="370">
        <v>2034.7590590912321</v>
      </c>
      <c r="AZ21" s="111">
        <v>72.347102789019587</v>
      </c>
      <c r="BA21" s="336">
        <f>'-ITER'!BZ21</f>
        <v>2034.7590590912321</v>
      </c>
      <c r="BB21" s="370">
        <v>34624.031604240277</v>
      </c>
      <c r="BC21" s="147">
        <v>1454.2093273780918</v>
      </c>
      <c r="BD21" s="575">
        <f t="shared" si="3"/>
        <v>1606.3333333333335</v>
      </c>
      <c r="BE21" s="370">
        <v>45.778269641863353</v>
      </c>
      <c r="BF21" s="147">
        <v>0.73630907531563272</v>
      </c>
      <c r="BG21" s="376">
        <v>99.8135056368005</v>
      </c>
      <c r="BH21" s="111">
        <v>3.0474859130341216</v>
      </c>
      <c r="BI21" s="376">
        <v>114.19516615336673</v>
      </c>
      <c r="BJ21" s="111">
        <v>3.5418109800577549</v>
      </c>
      <c r="BK21" s="37">
        <v>2605.4035742919641</v>
      </c>
      <c r="BL21" s="111">
        <v>133.68812824318286</v>
      </c>
      <c r="BM21" s="370">
        <v>23.195472330065485</v>
      </c>
      <c r="BN21" s="111">
        <v>0.73632897106899975</v>
      </c>
      <c r="BO21" s="365">
        <v>93.560840792166999</v>
      </c>
      <c r="BP21" s="111">
        <v>2.7095789995511326</v>
      </c>
      <c r="BQ21" s="365">
        <v>319.38445640157983</v>
      </c>
      <c r="BR21" s="111">
        <v>2.7999791556502838</v>
      </c>
      <c r="BS21" s="384">
        <v>24.644921516257988</v>
      </c>
      <c r="BT21" s="111">
        <v>0.84598378318671019</v>
      </c>
      <c r="BU21" s="370">
        <v>558.76798418927353</v>
      </c>
      <c r="BV21" s="111">
        <v>25.509804122125484</v>
      </c>
      <c r="BW21" s="256">
        <v>5.9790973937437277</v>
      </c>
      <c r="BX21" s="111">
        <v>0.20031105638541419</v>
      </c>
      <c r="BY21" s="389" t="s">
        <v>117</v>
      </c>
      <c r="BZ21" s="111"/>
      <c r="CA21" s="391">
        <v>17.640683370877085</v>
      </c>
      <c r="CB21" s="111">
        <v>0.55560689459844859</v>
      </c>
      <c r="CC21" s="391">
        <v>2.5529999999999999</v>
      </c>
      <c r="CD21" s="111">
        <v>0.19658100000000001</v>
      </c>
      <c r="CE21" s="391">
        <v>43.386593029993406</v>
      </c>
      <c r="CF21" s="111">
        <v>1.2913063155138316</v>
      </c>
      <c r="CG21" s="389" t="s">
        <v>118</v>
      </c>
      <c r="CH21" s="111"/>
      <c r="CI21" s="365">
        <v>50.118124828313945</v>
      </c>
      <c r="CJ21" s="111">
        <v>0.60394094496083361</v>
      </c>
      <c r="CK21" s="384">
        <v>105.51476227390263</v>
      </c>
      <c r="CL21" s="111">
        <v>3.4737620925293551</v>
      </c>
      <c r="CM21" s="389" t="s">
        <v>119</v>
      </c>
      <c r="CN21" s="111"/>
      <c r="CO21" s="365">
        <v>3.4669479821925586</v>
      </c>
      <c r="CP21" s="111">
        <v>5.9671333066259998E-2</v>
      </c>
      <c r="CQ21" s="389" t="s">
        <v>117</v>
      </c>
      <c r="CR21" s="111"/>
      <c r="CS21" s="389" t="s">
        <v>120</v>
      </c>
      <c r="CT21" s="111"/>
      <c r="CU21" s="376">
        <v>588.70224523725335</v>
      </c>
      <c r="CV21" s="379">
        <v>25.330203141149312</v>
      </c>
      <c r="CW21" s="389" t="s">
        <v>118</v>
      </c>
      <c r="CX21" s="111"/>
      <c r="CY21" s="391">
        <v>8.9180682508974023</v>
      </c>
      <c r="CZ21" s="111">
        <v>0.1918169538326906</v>
      </c>
    </row>
    <row r="22" spans="1:104" ht="15.75" thickBot="1" x14ac:dyDescent="0.3">
      <c r="A22" s="511" t="s">
        <v>42</v>
      </c>
      <c r="B22" s="529">
        <v>2.1885952713553012E-2</v>
      </c>
      <c r="C22" s="529">
        <v>0.67956473437195386</v>
      </c>
      <c r="D22" s="348">
        <v>106.95859044573255</v>
      </c>
      <c r="E22" s="210"/>
      <c r="F22" s="22">
        <v>1.2094329402358583</v>
      </c>
      <c r="G22" s="210"/>
      <c r="H22" s="7">
        <v>7.5106801918848687</v>
      </c>
      <c r="I22" s="7"/>
      <c r="J22" s="7">
        <v>40.856474115530681</v>
      </c>
      <c r="K22" s="7"/>
      <c r="L22" s="7">
        <v>89.914732960223859</v>
      </c>
      <c r="M22" s="7"/>
      <c r="N22" s="521">
        <v>5.8666666666666666E-2</v>
      </c>
      <c r="O22" s="8">
        <v>682.85401273885338</v>
      </c>
      <c r="P22" s="8">
        <v>2.7278510096181279</v>
      </c>
      <c r="Q22" s="522">
        <v>1.5</v>
      </c>
      <c r="R22" s="354">
        <v>0.01</v>
      </c>
      <c r="S22" s="523">
        <v>148.4</v>
      </c>
      <c r="T22" s="523">
        <v>4.2</v>
      </c>
      <c r="U22" s="8">
        <v>3.1265646733647161E-3</v>
      </c>
      <c r="V22" s="8">
        <v>4.6503734976405458</v>
      </c>
      <c r="W22" s="362">
        <v>6.719071890199213E-2</v>
      </c>
      <c r="X22" s="8">
        <v>0.19258154338166331</v>
      </c>
      <c r="Y22" s="8">
        <v>3.362672766710344</v>
      </c>
      <c r="Z22" s="8">
        <v>4.4878828530184105</v>
      </c>
      <c r="AA22" s="50">
        <v>3.087719298245614E-3</v>
      </c>
      <c r="AB22" s="8">
        <f t="shared" si="0"/>
        <v>4.2253521126760563E-2</v>
      </c>
      <c r="AC22" s="50">
        <v>2.5073007926574883E-3</v>
      </c>
      <c r="AD22" s="50">
        <f t="shared" si="1"/>
        <v>1.6129032258064516E-4</v>
      </c>
      <c r="AE22" s="8"/>
      <c r="AF22" s="8">
        <v>14.226125265392779</v>
      </c>
      <c r="AG22" s="38">
        <v>13.564224704830137</v>
      </c>
      <c r="AH22" s="505">
        <v>14.26854007684212</v>
      </c>
      <c r="AI22" s="505">
        <v>-2.5305260815331274</v>
      </c>
      <c r="AJ22" s="368" t="s">
        <v>114</v>
      </c>
      <c r="AK22" s="111"/>
      <c r="AL22" s="370">
        <v>1744.3552546877834</v>
      </c>
      <c r="AM22" s="202">
        <v>46.755656371308802</v>
      </c>
      <c r="AN22" s="370">
        <v>803.8865032277065</v>
      </c>
      <c r="AO22" s="202">
        <v>28.545363583358082</v>
      </c>
      <c r="AP22" s="337">
        <f t="shared" si="2"/>
        <v>58.666666666666664</v>
      </c>
      <c r="AQ22" s="370">
        <v>7668.6282335615933</v>
      </c>
      <c r="AR22" s="202">
        <v>497.39951759378278</v>
      </c>
      <c r="AS22" s="370">
        <v>173.24498986561491</v>
      </c>
      <c r="AT22" s="202">
        <v>3.829914298173942</v>
      </c>
      <c r="AU22" s="373" t="s">
        <v>115</v>
      </c>
      <c r="AV22" s="111"/>
      <c r="AW22" s="374" t="s">
        <v>119</v>
      </c>
      <c r="AX22" s="379"/>
      <c r="AY22" s="370">
        <v>2124.8410947383236</v>
      </c>
      <c r="AZ22" s="111">
        <v>24.968721397313971</v>
      </c>
      <c r="BA22" s="336">
        <f>'-ITER'!BZ22</f>
        <v>2124.8410947383236</v>
      </c>
      <c r="BB22" s="370">
        <v>18063.559037166491</v>
      </c>
      <c r="BC22" s="111">
        <v>1487.9027113232189</v>
      </c>
      <c r="BD22" s="575">
        <f t="shared" si="3"/>
        <v>58.666666666666664</v>
      </c>
      <c r="BE22" s="370">
        <v>41.274807971503662</v>
      </c>
      <c r="BF22" s="147">
        <v>0.80919299124634658</v>
      </c>
      <c r="BG22" s="376">
        <v>60.227255782384901</v>
      </c>
      <c r="BH22" s="111">
        <v>0.84732862215548155</v>
      </c>
      <c r="BI22" s="376">
        <v>7.0739592923076389</v>
      </c>
      <c r="BJ22" s="111">
        <v>0.1600287463317224</v>
      </c>
      <c r="BK22" s="37">
        <v>117.70099421493587</v>
      </c>
      <c r="BL22" s="111">
        <v>2.3395033537777454</v>
      </c>
      <c r="BM22" s="385" t="s">
        <v>116</v>
      </c>
      <c r="BN22" s="111"/>
      <c r="BO22" s="368" t="s">
        <v>73</v>
      </c>
      <c r="BP22" s="111"/>
      <c r="BQ22" s="368" t="s">
        <v>115</v>
      </c>
      <c r="BR22" s="111"/>
      <c r="BS22" s="384">
        <v>16.92317328441391</v>
      </c>
      <c r="BT22" s="111">
        <v>0.23739801941621497</v>
      </c>
      <c r="BU22" s="370">
        <v>665.49386373991956</v>
      </c>
      <c r="BV22" s="111">
        <v>10.143888917075984</v>
      </c>
      <c r="BW22" s="255" t="s">
        <v>116</v>
      </c>
      <c r="BX22" s="111"/>
      <c r="BY22" s="389" t="s">
        <v>117</v>
      </c>
      <c r="BZ22" s="111"/>
      <c r="CA22" s="389" t="s">
        <v>116</v>
      </c>
      <c r="CB22" s="111"/>
      <c r="CC22" s="389" t="s">
        <v>116</v>
      </c>
      <c r="CD22" s="111"/>
      <c r="CE22" s="391">
        <v>2.2752960855202953</v>
      </c>
      <c r="CF22" s="111">
        <v>5.723456159889212E-2</v>
      </c>
      <c r="CG22" s="389" t="s">
        <v>118</v>
      </c>
      <c r="CH22" s="111"/>
      <c r="CI22" s="365">
        <v>1.7369458759913008</v>
      </c>
      <c r="CJ22" s="111">
        <v>2.2733918615798189E-2</v>
      </c>
      <c r="CK22" s="384">
        <v>11.340273190330429</v>
      </c>
      <c r="CL22" s="111">
        <v>0.2852620525436928</v>
      </c>
      <c r="CM22" s="389" t="s">
        <v>119</v>
      </c>
      <c r="CN22" s="111"/>
      <c r="CO22" s="368" t="s">
        <v>115</v>
      </c>
      <c r="CP22" s="111"/>
      <c r="CQ22" s="389" t="s">
        <v>117</v>
      </c>
      <c r="CR22" s="111"/>
      <c r="CS22" s="389" t="s">
        <v>120</v>
      </c>
      <c r="CT22" s="111"/>
      <c r="CU22" s="375" t="s">
        <v>119</v>
      </c>
      <c r="CV22" s="379"/>
      <c r="CW22" s="389" t="s">
        <v>118</v>
      </c>
      <c r="CX22" s="111"/>
      <c r="CY22" s="389" t="s">
        <v>120</v>
      </c>
      <c r="CZ22" s="111"/>
    </row>
    <row r="23" spans="1:104" ht="15.75" thickBot="1" x14ac:dyDescent="0.3">
      <c r="A23" s="542" t="s">
        <v>43</v>
      </c>
      <c r="B23" s="565">
        <v>2.3065185379971837E-2</v>
      </c>
      <c r="C23" s="565">
        <v>0.73437902551956202</v>
      </c>
      <c r="D23" s="349">
        <v>162.4577333729805</v>
      </c>
      <c r="E23" s="211"/>
      <c r="F23" s="23">
        <v>1.1479317078005751</v>
      </c>
      <c r="G23" s="211"/>
      <c r="H23" s="11">
        <v>9.4171034790365749</v>
      </c>
      <c r="I23" s="11"/>
      <c r="J23" s="11">
        <v>41.498239171374763</v>
      </c>
      <c r="K23" s="11"/>
      <c r="L23" s="11">
        <v>92.261201506591348</v>
      </c>
      <c r="M23" s="11"/>
      <c r="N23" s="211">
        <v>9.3000000000000013E-2</v>
      </c>
      <c r="O23" s="11">
        <v>644.66597687892579</v>
      </c>
      <c r="P23" s="11">
        <v>0.94121028273021057</v>
      </c>
      <c r="Q23" s="545">
        <v>2.1</v>
      </c>
      <c r="R23" s="546">
        <v>0.02</v>
      </c>
      <c r="S23" s="547">
        <v>114.4</v>
      </c>
      <c r="T23" s="547">
        <v>2.2999999999999998</v>
      </c>
      <c r="U23" s="356">
        <v>3.2950264828531194E-3</v>
      </c>
      <c r="V23" s="356">
        <v>7.0633797118687172</v>
      </c>
      <c r="W23" s="363">
        <v>6.3773983766698614E-2</v>
      </c>
      <c r="X23" s="356">
        <v>0.24146419177016859</v>
      </c>
      <c r="Y23" s="356">
        <v>3.4154929359156183</v>
      </c>
      <c r="Z23" s="356">
        <v>4.6050013230142923</v>
      </c>
      <c r="AA23" s="54">
        <v>4.8947368421052642E-3</v>
      </c>
      <c r="AB23" s="356">
        <f t="shared" si="0"/>
        <v>5.9154929577464793E-2</v>
      </c>
      <c r="AC23" s="54">
        <v>1.9607843137254897E-3</v>
      </c>
      <c r="AD23" s="548">
        <f t="shared" si="1"/>
        <v>3.2258064516129032E-4</v>
      </c>
      <c r="AE23" s="53"/>
      <c r="AF23" s="11">
        <v>13.430541184977621</v>
      </c>
      <c r="AG23" s="23">
        <v>16.939309664591239</v>
      </c>
      <c r="AH23" s="508">
        <v>13.490018695200247</v>
      </c>
      <c r="AI23" s="326">
        <v>11.335416045359695</v>
      </c>
      <c r="AJ23" s="367" t="s">
        <v>114</v>
      </c>
      <c r="AK23" s="199"/>
      <c r="AL23" s="371">
        <v>1675.1641404993723</v>
      </c>
      <c r="AM23" s="203">
        <v>106.20757675905661</v>
      </c>
      <c r="AN23" s="371">
        <v>2000.2024141510115</v>
      </c>
      <c r="AO23" s="203">
        <v>58.290386880186681</v>
      </c>
      <c r="AP23" s="338">
        <f t="shared" si="2"/>
        <v>93.000000000000014</v>
      </c>
      <c r="AQ23" s="371">
        <v>16365.603071391359</v>
      </c>
      <c r="AR23" s="203">
        <v>1065.6182297936591</v>
      </c>
      <c r="AS23" s="371">
        <v>181.82134737844828</v>
      </c>
      <c r="AT23" s="207">
        <v>2.1091323357124483</v>
      </c>
      <c r="AU23" s="374" t="s">
        <v>115</v>
      </c>
      <c r="AV23" s="199"/>
      <c r="AW23" s="371">
        <v>2.123775465934076</v>
      </c>
      <c r="AX23" s="380">
        <v>3.4182212837166139E-2</v>
      </c>
      <c r="AY23" s="371">
        <v>2120.8060442602123</v>
      </c>
      <c r="AZ23" s="199">
        <v>29.809573615536401</v>
      </c>
      <c r="BA23" s="336">
        <f>'-ITER'!BZ23</f>
        <v>2120.8060442602123</v>
      </c>
      <c r="BB23" s="371">
        <v>35554.820439997668</v>
      </c>
      <c r="BC23" s="199">
        <v>468.85808590001784</v>
      </c>
      <c r="BD23" s="575">
        <f t="shared" si="3"/>
        <v>93.000000000000014</v>
      </c>
      <c r="BE23" s="371">
        <v>41.884383534753567</v>
      </c>
      <c r="BF23" s="268">
        <v>0.7696909901684994</v>
      </c>
      <c r="BG23" s="382">
        <v>66.819726237374013</v>
      </c>
      <c r="BH23" s="199">
        <v>1.1407610821294747</v>
      </c>
      <c r="BI23" s="382">
        <v>29.300722022814639</v>
      </c>
      <c r="BJ23" s="199">
        <v>0.51269784491203341</v>
      </c>
      <c r="BK23" s="261">
        <v>150.39471724376381</v>
      </c>
      <c r="BL23" s="199">
        <v>2.1477476045332931</v>
      </c>
      <c r="BM23" s="374" t="s">
        <v>116</v>
      </c>
      <c r="BN23" s="199"/>
      <c r="BO23" s="366">
        <v>1.1214263168821306</v>
      </c>
      <c r="BP23" s="199">
        <v>6.2286793182238911E-2</v>
      </c>
      <c r="BQ23" s="367" t="s">
        <v>115</v>
      </c>
      <c r="BR23" s="199"/>
      <c r="BS23" s="381">
        <v>18.10863885853659</v>
      </c>
      <c r="BT23" s="199">
        <v>0.33912993462517249</v>
      </c>
      <c r="BU23" s="371">
        <v>681.70246319338355</v>
      </c>
      <c r="BV23" s="199">
        <v>9.7918128970945926</v>
      </c>
      <c r="BW23" s="265" t="s">
        <v>116</v>
      </c>
      <c r="BX23" s="199"/>
      <c r="BY23" s="390" t="s">
        <v>117</v>
      </c>
      <c r="BZ23" s="199"/>
      <c r="CA23" s="390" t="s">
        <v>116</v>
      </c>
      <c r="CB23" s="199"/>
      <c r="CC23" s="390" t="s">
        <v>116</v>
      </c>
      <c r="CD23" s="199"/>
      <c r="CE23" s="392">
        <v>4.0758275917183324</v>
      </c>
      <c r="CF23" s="199">
        <v>0.10718114713649227</v>
      </c>
      <c r="CG23" s="390" t="s">
        <v>118</v>
      </c>
      <c r="CH23" s="199"/>
      <c r="CI23" s="366">
        <v>12.117268604075258</v>
      </c>
      <c r="CJ23" s="199">
        <v>0.27850669194825406</v>
      </c>
      <c r="CK23" s="381">
        <v>17.065987772816452</v>
      </c>
      <c r="CL23" s="199">
        <v>0.39606479288306873</v>
      </c>
      <c r="CM23" s="390" t="s">
        <v>119</v>
      </c>
      <c r="CN23" s="199"/>
      <c r="CO23" s="367" t="s">
        <v>115</v>
      </c>
      <c r="CP23" s="199"/>
      <c r="CQ23" s="390" t="s">
        <v>117</v>
      </c>
      <c r="CR23" s="199"/>
      <c r="CS23" s="390" t="s">
        <v>120</v>
      </c>
      <c r="CT23" s="199"/>
      <c r="CU23" s="382">
        <v>4.3008656327603978</v>
      </c>
      <c r="CV23" s="380">
        <v>4.2338508827447156E-2</v>
      </c>
      <c r="CW23" s="390" t="s">
        <v>118</v>
      </c>
      <c r="CX23" s="199"/>
      <c r="CY23" s="390" t="s">
        <v>120</v>
      </c>
      <c r="CZ23" s="199"/>
    </row>
    <row r="24" spans="1:104" x14ac:dyDescent="0.25">
      <c r="A24" s="536" t="s">
        <v>44</v>
      </c>
      <c r="B24" s="566">
        <v>0.35049970333078179</v>
      </c>
      <c r="C24" s="566">
        <v>1.4019988133231272E-2</v>
      </c>
      <c r="D24" s="106">
        <v>38.442880904799999</v>
      </c>
      <c r="E24" s="209">
        <v>3.8E-3</v>
      </c>
      <c r="F24" s="209"/>
      <c r="G24" s="209"/>
      <c r="H24" s="106">
        <v>25.622338680000002</v>
      </c>
      <c r="I24" s="106">
        <v>0.58931378964000003</v>
      </c>
      <c r="J24" s="106">
        <v>29.73367257512195</v>
      </c>
      <c r="K24" s="106">
        <v>1.2488142481551219</v>
      </c>
      <c r="L24" s="106">
        <v>5.5855615140000001</v>
      </c>
      <c r="M24" s="106">
        <v>0.150810160878</v>
      </c>
      <c r="N24" s="567"/>
      <c r="O24" s="567"/>
      <c r="P24" s="567"/>
      <c r="Q24" s="567"/>
      <c r="R24" s="567"/>
      <c r="S24" s="567"/>
      <c r="T24" s="567"/>
      <c r="U24" s="106">
        <v>5.0071386190111686E-2</v>
      </c>
      <c r="V24" s="106">
        <v>1.6714296045565218</v>
      </c>
      <c r="W24" s="106"/>
      <c r="X24" s="106">
        <v>0.65698304307692312</v>
      </c>
      <c r="Y24" s="106">
        <v>2.4472158498042758</v>
      </c>
      <c r="Z24" s="106">
        <v>0.27879019286249063</v>
      </c>
      <c r="AA24" s="567"/>
      <c r="AB24" s="567"/>
      <c r="AC24" s="567"/>
      <c r="AD24" s="567"/>
      <c r="AE24" s="567"/>
      <c r="AF24" s="567"/>
      <c r="AG24" s="113"/>
      <c r="AH24" s="113"/>
      <c r="AI24" s="113"/>
      <c r="AJ24" s="167">
        <v>21.491160860550266</v>
      </c>
      <c r="AK24" s="200">
        <v>0.45720321401794983</v>
      </c>
      <c r="AL24" s="247">
        <v>1616.1268629645094</v>
      </c>
      <c r="AM24" s="204">
        <v>54.94831334079332</v>
      </c>
      <c r="AN24" s="247">
        <v>222071.21814000001</v>
      </c>
      <c r="AO24" s="204">
        <v>10659.418470719998</v>
      </c>
      <c r="AP24" s="339">
        <f t="shared" si="2"/>
        <v>0</v>
      </c>
      <c r="AQ24" s="247">
        <v>8053.596922610629</v>
      </c>
      <c r="AR24" s="200">
        <v>104.69675999393817</v>
      </c>
      <c r="AS24" s="247">
        <v>388.57696510235729</v>
      </c>
      <c r="AT24" s="205">
        <v>10.491578057763647</v>
      </c>
      <c r="AU24" s="247">
        <v>475.45376718875741</v>
      </c>
      <c r="AV24" s="204">
        <v>11.886344179718936</v>
      </c>
      <c r="AW24" s="247">
        <v>360.11843721172147</v>
      </c>
      <c r="AX24" s="204">
        <v>18.005921860586071</v>
      </c>
      <c r="AY24" s="247">
        <v>14359.670595609756</v>
      </c>
      <c r="AZ24" s="205">
        <v>387.71110608146341</v>
      </c>
      <c r="BA24" s="339">
        <f t="shared" ref="BA24:BA43" si="4">O24*1000</f>
        <v>0</v>
      </c>
      <c r="BB24" s="247">
        <v>427193.39499999996</v>
      </c>
      <c r="BC24" s="204">
        <v>13670.18864</v>
      </c>
      <c r="BD24" s="339">
        <f>M24*1000</f>
        <v>150.810160878</v>
      </c>
      <c r="BE24" s="247">
        <v>267.39596251592661</v>
      </c>
      <c r="BF24" s="204">
        <v>14.344034063256467</v>
      </c>
      <c r="BG24" s="247">
        <v>496.11141093945719</v>
      </c>
      <c r="BH24" s="204">
        <v>10.914451040668059</v>
      </c>
      <c r="BI24" s="247">
        <v>974.69271281837143</v>
      </c>
      <c r="BJ24" s="204">
        <v>14.620390692275571</v>
      </c>
      <c r="BK24" s="247">
        <v>2075.196593987474</v>
      </c>
      <c r="BL24" s="205">
        <v>62.255897819624224</v>
      </c>
      <c r="BM24" s="247">
        <v>119.19135034345588</v>
      </c>
      <c r="BN24" s="200">
        <v>6.9014257105584083</v>
      </c>
      <c r="BO24" s="251">
        <v>69.442884729903199</v>
      </c>
      <c r="BP24" s="200">
        <v>3.7964584616407246</v>
      </c>
      <c r="BQ24" s="251">
        <v>168.03410559396241</v>
      </c>
      <c r="BR24" s="200">
        <v>10.203223005523382</v>
      </c>
      <c r="BS24" s="247">
        <v>319.87898814222848</v>
      </c>
      <c r="BT24" s="204">
        <v>30.643285052868027</v>
      </c>
      <c r="BU24" s="247">
        <v>750.15812442588719</v>
      </c>
      <c r="BV24" s="205">
        <v>8.2517393686847598</v>
      </c>
      <c r="BW24" s="247">
        <v>152.64129028833193</v>
      </c>
      <c r="BX24" s="200"/>
      <c r="BY24" s="269" t="s">
        <v>117</v>
      </c>
      <c r="BZ24" s="200"/>
      <c r="CA24" s="250">
        <v>12.141367010401952</v>
      </c>
      <c r="CB24" s="200">
        <v>0.6119477236855474</v>
      </c>
      <c r="CC24" s="250">
        <v>4.3650518158314693</v>
      </c>
      <c r="CD24" s="200">
        <v>0.22751567891805149</v>
      </c>
      <c r="CE24" s="250">
        <v>20.856256501280249</v>
      </c>
      <c r="CF24" s="200">
        <v>1.0646191200247934</v>
      </c>
      <c r="CG24" s="249" t="s">
        <v>118</v>
      </c>
      <c r="CH24" s="200"/>
      <c r="CI24" s="250">
        <v>27.401658874336633</v>
      </c>
      <c r="CJ24" s="200">
        <v>1.3088158185691361</v>
      </c>
      <c r="CK24" s="247">
        <v>2269.3099159916492</v>
      </c>
      <c r="CL24" s="204">
        <v>29.501028907891442</v>
      </c>
      <c r="CM24" s="249" t="s">
        <v>119</v>
      </c>
      <c r="CN24" s="200"/>
      <c r="CO24" s="246" t="s">
        <v>115</v>
      </c>
      <c r="CP24" s="200"/>
      <c r="CQ24" s="249" t="s">
        <v>117</v>
      </c>
      <c r="CR24" s="200"/>
      <c r="CS24" s="250">
        <v>2.3420779347488017</v>
      </c>
      <c r="CT24" s="200">
        <v>9.2020967594247591E-2</v>
      </c>
      <c r="CU24" s="247">
        <v>316.20370322401169</v>
      </c>
      <c r="CV24" s="204">
        <v>15.952870014512024</v>
      </c>
      <c r="CW24" s="250">
        <v>3.257387940335112</v>
      </c>
      <c r="CX24" s="200">
        <v>0.15091725062577374</v>
      </c>
      <c r="CY24" s="250">
        <v>17.774343023803976</v>
      </c>
      <c r="CZ24" s="200">
        <v>1.1819011051917829</v>
      </c>
    </row>
    <row r="25" spans="1:104" x14ac:dyDescent="0.25">
      <c r="A25" s="511" t="s">
        <v>45</v>
      </c>
      <c r="B25" s="529">
        <v>0.34532625131414268</v>
      </c>
      <c r="C25" s="529">
        <v>9.6691350367959939E-3</v>
      </c>
      <c r="D25" s="7">
        <v>18.607322583333335</v>
      </c>
      <c r="E25" s="210">
        <v>5.7000000000000002E-3</v>
      </c>
      <c r="F25" s="210"/>
      <c r="G25" s="210"/>
      <c r="H25" s="7">
        <v>24.677080439999994</v>
      </c>
      <c r="I25" s="7">
        <v>0.64160409143999997</v>
      </c>
      <c r="J25" s="7">
        <v>31.987516416666669</v>
      </c>
      <c r="K25" s="7">
        <v>0.70372536116666684</v>
      </c>
      <c r="L25" s="7">
        <v>4.8669719322000002</v>
      </c>
      <c r="M25" s="7">
        <v>0.10707338250840001</v>
      </c>
      <c r="N25" s="42"/>
      <c r="O25" s="42"/>
      <c r="P25" s="42"/>
      <c r="Q25" s="42"/>
      <c r="R25" s="42"/>
      <c r="S25" s="42"/>
      <c r="T25" s="42"/>
      <c r="U25" s="7">
        <v>4.9332321616306095E-2</v>
      </c>
      <c r="V25" s="7">
        <v>0.80901402536231892</v>
      </c>
      <c r="W25" s="7"/>
      <c r="X25" s="7">
        <v>0.6327456523076922</v>
      </c>
      <c r="Y25" s="7">
        <v>2.6327174005486969</v>
      </c>
      <c r="Z25" s="7">
        <v>0.2429234805190916</v>
      </c>
      <c r="AA25" s="42"/>
      <c r="AB25" s="42"/>
      <c r="AC25" s="42"/>
      <c r="AD25" s="42"/>
      <c r="AE25" s="42"/>
      <c r="AF25" s="42"/>
      <c r="AG25" s="79"/>
      <c r="AH25" s="79"/>
      <c r="AI25" s="79"/>
      <c r="AJ25" s="118">
        <v>19.31385451152698</v>
      </c>
      <c r="AK25" s="111">
        <v>0.59665978372618578</v>
      </c>
      <c r="AL25" s="253">
        <v>1588.8242</v>
      </c>
      <c r="AM25" s="202">
        <v>139.81652960000002</v>
      </c>
      <c r="AN25" s="253">
        <v>173289.52116666667</v>
      </c>
      <c r="AO25" s="202">
        <v>6065.1332408333337</v>
      </c>
      <c r="AP25" s="337">
        <f t="shared" si="2"/>
        <v>0</v>
      </c>
      <c r="AQ25" s="253">
        <v>10120.989184944967</v>
      </c>
      <c r="AR25" s="111">
        <v>394.71857821285369</v>
      </c>
      <c r="AS25" s="253">
        <v>319.6488625782228</v>
      </c>
      <c r="AT25" s="206">
        <v>14.384198816020024</v>
      </c>
      <c r="AU25" s="253">
        <v>454.93460675844801</v>
      </c>
      <c r="AV25" s="202">
        <v>10.463495955444303</v>
      </c>
      <c r="AW25" s="266">
        <v>335.53741276595741</v>
      </c>
      <c r="AX25" s="202">
        <v>12.079346859574466</v>
      </c>
      <c r="AY25" s="253">
        <v>13297.764399999998</v>
      </c>
      <c r="AZ25" s="206">
        <v>252.65752359999996</v>
      </c>
      <c r="BA25" s="337">
        <f t="shared" si="4"/>
        <v>0</v>
      </c>
      <c r="BB25" s="253">
        <v>443516.38045833341</v>
      </c>
      <c r="BC25" s="206">
        <v>9313.843989625002</v>
      </c>
      <c r="BD25" s="337">
        <f t="shared" ref="BD25:BD43" si="5">M25*1000</f>
        <v>107.07338250840002</v>
      </c>
      <c r="BE25" s="253">
        <v>246.20667929971191</v>
      </c>
      <c r="BF25" s="202">
        <v>6.4121167809491659</v>
      </c>
      <c r="BG25" s="266">
        <v>484.56748535669584</v>
      </c>
      <c r="BH25" s="202">
        <v>8.7222147364205256</v>
      </c>
      <c r="BI25" s="253">
        <v>283.03727459324153</v>
      </c>
      <c r="BJ25" s="202">
        <v>6.2268200410513144</v>
      </c>
      <c r="BK25" s="253">
        <v>1223.9377722152692</v>
      </c>
      <c r="BL25" s="206">
        <v>15.911191038798499</v>
      </c>
      <c r="BM25" s="253">
        <v>104.37908409030658</v>
      </c>
      <c r="BN25" s="111">
        <v>3.3045290249431627</v>
      </c>
      <c r="BO25" s="47">
        <v>56.901197429265338</v>
      </c>
      <c r="BP25" s="111">
        <v>1.7124691450052725</v>
      </c>
      <c r="BQ25" s="47">
        <v>189.70432592266047</v>
      </c>
      <c r="BR25" s="111">
        <v>6.2851341864348145</v>
      </c>
      <c r="BS25" s="253">
        <v>290.29522780086216</v>
      </c>
      <c r="BT25" s="202">
        <v>9.5759079391731934</v>
      </c>
      <c r="BU25" s="253">
        <v>446.83717296620779</v>
      </c>
      <c r="BV25" s="206">
        <v>16.532975399749688</v>
      </c>
      <c r="BW25" s="266">
        <v>144.5918804782464</v>
      </c>
      <c r="BX25" s="111">
        <v>3.3963059889781664</v>
      </c>
      <c r="BY25" s="255" t="s">
        <v>117</v>
      </c>
      <c r="BZ25" s="111"/>
      <c r="CA25" s="256">
        <v>15.454015323223384</v>
      </c>
      <c r="CB25" s="111">
        <v>0.44842390418045525</v>
      </c>
      <c r="CC25" s="256">
        <v>4.3202897051501203</v>
      </c>
      <c r="CD25" s="111">
        <v>0.13611597605361628</v>
      </c>
      <c r="CE25" s="256">
        <v>17.847617167174747</v>
      </c>
      <c r="CF25" s="111">
        <v>0.45207293754463973</v>
      </c>
      <c r="CG25" s="255" t="s">
        <v>118</v>
      </c>
      <c r="CH25" s="111"/>
      <c r="CI25" s="37">
        <v>25.299393928574087</v>
      </c>
      <c r="CJ25" s="111">
        <v>0.77258211616187988</v>
      </c>
      <c r="CK25" s="258">
        <v>1864.4759999999999</v>
      </c>
      <c r="CL25" s="202">
        <v>39.153995999999999</v>
      </c>
      <c r="CM25" s="255" t="s">
        <v>119</v>
      </c>
      <c r="CN25" s="111"/>
      <c r="CO25" s="254" t="s">
        <v>115</v>
      </c>
      <c r="CP25" s="111"/>
      <c r="CQ25" s="255" t="s">
        <v>117</v>
      </c>
      <c r="CR25" s="111"/>
      <c r="CS25" s="256">
        <v>2.1841497616427104</v>
      </c>
      <c r="CT25" s="111">
        <v>4.9790180400109484E-2</v>
      </c>
      <c r="CU25" s="266">
        <v>235.46512471528067</v>
      </c>
      <c r="CV25" s="202">
        <v>7.5931481381037278</v>
      </c>
      <c r="CW25" s="256">
        <v>2.3026710639075572</v>
      </c>
      <c r="CX25" s="111">
        <v>5.2200863809176747E-2</v>
      </c>
      <c r="CY25" s="256">
        <v>17.452453966161549</v>
      </c>
      <c r="CZ25" s="111">
        <v>0.46283166461296277</v>
      </c>
    </row>
    <row r="26" spans="1:104" x14ac:dyDescent="0.25">
      <c r="A26" s="511" t="s">
        <v>46</v>
      </c>
      <c r="B26" s="529">
        <v>0.30598192751224718</v>
      </c>
      <c r="C26" s="529">
        <v>1.2545259028002133E-2</v>
      </c>
      <c r="D26" s="7">
        <v>14.182461536850921</v>
      </c>
      <c r="E26" s="210">
        <v>2.7000000000000001E-3</v>
      </c>
      <c r="F26" s="210"/>
      <c r="G26" s="210"/>
      <c r="H26" s="7">
        <v>24.677080439999994</v>
      </c>
      <c r="I26" s="7">
        <v>0.56757285011999992</v>
      </c>
      <c r="J26" s="7">
        <v>28.574611592417064</v>
      </c>
      <c r="K26" s="7">
        <v>0.94296218254976294</v>
      </c>
      <c r="L26" s="7">
        <v>5.0629849446000001</v>
      </c>
      <c r="M26" s="7">
        <v>0.12657462361500002</v>
      </c>
      <c r="N26" s="42"/>
      <c r="O26" s="42"/>
      <c r="P26" s="42"/>
      <c r="Q26" s="42"/>
      <c r="R26" s="42"/>
      <c r="S26" s="42"/>
      <c r="T26" s="42"/>
      <c r="U26" s="7">
        <v>4.3711703930321026E-2</v>
      </c>
      <c r="V26" s="7">
        <v>0.61662876247177922</v>
      </c>
      <c r="W26" s="7"/>
      <c r="X26" s="7">
        <v>0.6327456523076922</v>
      </c>
      <c r="Y26" s="7">
        <v>2.3518198841495526</v>
      </c>
      <c r="Z26" s="7">
        <v>0.25270700996256551</v>
      </c>
      <c r="AA26" s="42"/>
      <c r="AB26" s="42"/>
      <c r="AC26" s="42"/>
      <c r="AD26" s="42"/>
      <c r="AE26" s="42"/>
      <c r="AF26" s="42"/>
      <c r="AG26" s="79"/>
      <c r="AH26" s="79"/>
      <c r="AI26" s="79"/>
      <c r="AJ26" s="47">
        <v>22.783352147961416</v>
      </c>
      <c r="AK26" s="111">
        <v>6.7647734376017565E-2</v>
      </c>
      <c r="AL26" s="258">
        <v>1609.5358225586315</v>
      </c>
      <c r="AM26" s="202">
        <v>101.40075682119377</v>
      </c>
      <c r="AN26" s="253">
        <v>164564.6821421801</v>
      </c>
      <c r="AO26" s="202">
        <v>6253.4579214028436</v>
      </c>
      <c r="AP26" s="337">
        <f t="shared" si="2"/>
        <v>0</v>
      </c>
      <c r="AQ26" s="253">
        <v>7139.8764708209428</v>
      </c>
      <c r="AR26" s="111">
        <v>335.57419412858434</v>
      </c>
      <c r="AS26" s="253">
        <v>391.63323926760597</v>
      </c>
      <c r="AT26" s="206">
        <v>18.015129006309873</v>
      </c>
      <c r="AU26" s="253">
        <v>451.15879129935973</v>
      </c>
      <c r="AV26" s="202">
        <v>22.106780773668628</v>
      </c>
      <c r="AW26" s="266">
        <v>332.15831855314605</v>
      </c>
      <c r="AX26" s="202">
        <v>17.272232564763595</v>
      </c>
      <c r="AY26" s="266">
        <v>11504.12074120603</v>
      </c>
      <c r="AZ26" s="206">
        <v>264.59477704773866</v>
      </c>
      <c r="BA26" s="337">
        <f t="shared" si="4"/>
        <v>0</v>
      </c>
      <c r="BB26" s="258">
        <v>473269.22104265407</v>
      </c>
      <c r="BC26" s="206">
        <v>12304.999747109006</v>
      </c>
      <c r="BD26" s="337">
        <f t="shared" si="5"/>
        <v>126.57462361500002</v>
      </c>
      <c r="BE26" s="253">
        <v>284.56091601115384</v>
      </c>
      <c r="BF26" s="202">
        <v>2.6578598162694358</v>
      </c>
      <c r="BG26" s="266">
        <v>475.44494649462303</v>
      </c>
      <c r="BH26" s="202">
        <v>20.444132699268788</v>
      </c>
      <c r="BI26" s="253">
        <v>285.67876927743015</v>
      </c>
      <c r="BJ26" s="202">
        <v>14.855296002426369</v>
      </c>
      <c r="BK26" s="253">
        <v>1115.0705067001675</v>
      </c>
      <c r="BL26" s="206">
        <v>46.83296128140703</v>
      </c>
      <c r="BM26" s="253">
        <v>114.21628720488519</v>
      </c>
      <c r="BN26" s="111">
        <v>1.8300103450996179</v>
      </c>
      <c r="BO26" s="47">
        <v>71.052709291952297</v>
      </c>
      <c r="BP26" s="111">
        <v>1.3158955000946064</v>
      </c>
      <c r="BQ26" s="47">
        <v>250.51237185985332</v>
      </c>
      <c r="BR26" s="111">
        <v>4.2578714799480828</v>
      </c>
      <c r="BS26" s="253">
        <v>295.20172177864498</v>
      </c>
      <c r="BT26" s="202">
        <v>4.4076720418015505</v>
      </c>
      <c r="BU26" s="253">
        <v>627.65956338557487</v>
      </c>
      <c r="BV26" s="206">
        <v>19.45744646495282</v>
      </c>
      <c r="BW26" s="266">
        <v>152.99178883792294</v>
      </c>
      <c r="BX26" s="111">
        <v>2.2779463118876473</v>
      </c>
      <c r="BY26" s="255" t="s">
        <v>117</v>
      </c>
      <c r="BZ26" s="111"/>
      <c r="CA26" s="256">
        <v>16.843177957492085</v>
      </c>
      <c r="CB26" s="111">
        <v>0.29102273333240364</v>
      </c>
      <c r="CC26" s="256">
        <v>2.5034615961681901</v>
      </c>
      <c r="CD26" s="111">
        <v>0.12441611273796069</v>
      </c>
      <c r="CE26" s="256">
        <v>8.4653008760296977</v>
      </c>
      <c r="CF26" s="111">
        <v>0.1296722425597002</v>
      </c>
      <c r="CG26" s="255" t="s">
        <v>118</v>
      </c>
      <c r="CH26" s="111"/>
      <c r="CI26" s="37">
        <v>25.822195126647873</v>
      </c>
      <c r="CJ26" s="111">
        <v>0.27667578674191801</v>
      </c>
      <c r="CK26" s="258">
        <v>1744.1165871021776</v>
      </c>
      <c r="CL26" s="202">
        <v>24.417632219430484</v>
      </c>
      <c r="CM26" s="255" t="s">
        <v>119</v>
      </c>
      <c r="CN26" s="111"/>
      <c r="CO26" s="254" t="s">
        <v>115</v>
      </c>
      <c r="CP26" s="111"/>
      <c r="CQ26" s="255" t="s">
        <v>117</v>
      </c>
      <c r="CR26" s="111"/>
      <c r="CS26" s="256">
        <v>2.0035420318865831</v>
      </c>
      <c r="CT26" s="111">
        <v>2.5109348773831589E-2</v>
      </c>
      <c r="CU26" s="266">
        <v>286.41588810164484</v>
      </c>
      <c r="CV26" s="202">
        <v>3.751891428533781</v>
      </c>
      <c r="CW26" s="256">
        <v>2.8322952914114596</v>
      </c>
      <c r="CX26" s="111">
        <v>3.869330885824683E-2</v>
      </c>
      <c r="CY26" s="256">
        <v>17.71938448122097</v>
      </c>
      <c r="CZ26" s="111">
        <v>0.1543920853259132</v>
      </c>
    </row>
    <row r="27" spans="1:104" x14ac:dyDescent="0.25">
      <c r="A27" s="511" t="s">
        <v>47</v>
      </c>
      <c r="B27" s="529">
        <v>0.94253306915887869</v>
      </c>
      <c r="C27" s="529">
        <v>3.5816256628037384E-2</v>
      </c>
      <c r="D27" s="7">
        <v>10.084962750938674</v>
      </c>
      <c r="E27" s="210">
        <v>4.2000000000000006E-3</v>
      </c>
      <c r="F27" s="210"/>
      <c r="G27" s="210"/>
      <c r="H27" s="7">
        <v>24.225702651428563</v>
      </c>
      <c r="I27" s="7">
        <v>0.46028835037714272</v>
      </c>
      <c r="J27" s="7">
        <v>30.128879392405061</v>
      </c>
      <c r="K27" s="7">
        <v>1.2654129344810126</v>
      </c>
      <c r="L27" s="7">
        <v>5.8627508470588223</v>
      </c>
      <c r="M27" s="7">
        <v>0.12311776778823529</v>
      </c>
      <c r="N27" s="42"/>
      <c r="O27" s="42"/>
      <c r="P27" s="42"/>
      <c r="Q27" s="42"/>
      <c r="R27" s="42"/>
      <c r="S27" s="42"/>
      <c r="T27" s="42"/>
      <c r="U27" s="7">
        <v>0.13464758130841123</v>
      </c>
      <c r="V27" s="7">
        <v>0.43847664134515973</v>
      </c>
      <c r="W27" s="7"/>
      <c r="X27" s="7">
        <v>0.62117186285714265</v>
      </c>
      <c r="Y27" s="7">
        <v>2.4797431598687294</v>
      </c>
      <c r="Z27" s="7">
        <v>0.29262544781925742</v>
      </c>
      <c r="AA27" s="42"/>
      <c r="AB27" s="42"/>
      <c r="AC27" s="42"/>
      <c r="AD27" s="42"/>
      <c r="AE27" s="42"/>
      <c r="AF27" s="42"/>
      <c r="AG27" s="82"/>
      <c r="AH27" s="82"/>
      <c r="AI27" s="82"/>
      <c r="AJ27" s="47">
        <v>28.666869269264428</v>
      </c>
      <c r="AK27" s="111">
        <v>1.2495825525154103</v>
      </c>
      <c r="AL27" s="253">
        <v>1654.9158056074768</v>
      </c>
      <c r="AM27" s="202">
        <v>46.337642557009346</v>
      </c>
      <c r="AN27" s="253">
        <v>218297.21832911391</v>
      </c>
      <c r="AO27" s="202">
        <v>9168.4831698227845</v>
      </c>
      <c r="AP27" s="337">
        <f t="shared" si="2"/>
        <v>0</v>
      </c>
      <c r="AQ27" s="253">
        <v>6869.8844186915894</v>
      </c>
      <c r="AR27" s="111">
        <v>288.53514558504679</v>
      </c>
      <c r="AS27" s="253">
        <v>470.60193644859822</v>
      </c>
      <c r="AT27" s="206">
        <v>14.118058093457947</v>
      </c>
      <c r="AU27" s="253">
        <v>433.38444112149534</v>
      </c>
      <c r="AV27" s="202">
        <v>3.033691087850467</v>
      </c>
      <c r="AW27" s="266">
        <v>335.19006728971965</v>
      </c>
      <c r="AX27" s="202">
        <v>4.3574708747663555</v>
      </c>
      <c r="AY27" s="253">
        <v>9980.7853566958693</v>
      </c>
      <c r="AZ27" s="206">
        <v>319.38513141426779</v>
      </c>
      <c r="BA27" s="337">
        <f t="shared" si="4"/>
        <v>0</v>
      </c>
      <c r="BB27" s="253">
        <v>390105.74339240504</v>
      </c>
      <c r="BC27" s="206">
        <v>5851.5861508860753</v>
      </c>
      <c r="BD27" s="337">
        <f t="shared" si="5"/>
        <v>123.11776778823528</v>
      </c>
      <c r="BE27" s="253">
        <v>277.56418706839224</v>
      </c>
      <c r="BF27" s="202">
        <v>5.3754289395430241</v>
      </c>
      <c r="BG27" s="266">
        <v>568.66339065420561</v>
      </c>
      <c r="BH27" s="202">
        <v>22.746535626168225</v>
      </c>
      <c r="BI27" s="253">
        <v>411.41947289719633</v>
      </c>
      <c r="BJ27" s="202">
        <v>2.4685168373831776</v>
      </c>
      <c r="BK27" s="253">
        <v>1311.0859626168226</v>
      </c>
      <c r="BL27" s="206">
        <v>11.799773663551404</v>
      </c>
      <c r="BM27" s="253">
        <v>126.10327168582558</v>
      </c>
      <c r="BN27" s="111">
        <v>2.0869306890777497</v>
      </c>
      <c r="BO27" s="47">
        <v>96.642719142597386</v>
      </c>
      <c r="BP27" s="111">
        <v>3.3641239757191266</v>
      </c>
      <c r="BQ27" s="47">
        <v>166.67848479427423</v>
      </c>
      <c r="BR27" s="111">
        <v>3.267409887085277</v>
      </c>
      <c r="BS27" s="253">
        <v>329.08270233552327</v>
      </c>
      <c r="BT27" s="202">
        <v>17.621867715828806</v>
      </c>
      <c r="BU27" s="258">
        <v>714.27684112149541</v>
      </c>
      <c r="BV27" s="206">
        <v>21.42830523364486</v>
      </c>
      <c r="BW27" s="266">
        <v>120.40318532462847</v>
      </c>
      <c r="BX27" s="111">
        <v>3.9749739937456878</v>
      </c>
      <c r="BY27" s="256">
        <v>1.2316741570052767</v>
      </c>
      <c r="BZ27" s="111">
        <v>3.3050485906155724E-2</v>
      </c>
      <c r="CA27" s="256">
        <v>12.521680559635161</v>
      </c>
      <c r="CB27" s="111">
        <v>0.25683005553823041</v>
      </c>
      <c r="CC27" s="256">
        <v>1.6963984376834977</v>
      </c>
      <c r="CD27" s="111">
        <v>7.6527599409307562E-2</v>
      </c>
      <c r="CE27" s="256">
        <v>8.4689214995637609</v>
      </c>
      <c r="CF27" s="111">
        <v>0.20791714429318134</v>
      </c>
      <c r="CG27" s="255" t="s">
        <v>118</v>
      </c>
      <c r="CH27" s="111"/>
      <c r="CI27" s="257">
        <v>30.72961577343127</v>
      </c>
      <c r="CJ27" s="111">
        <v>0.4726444732072389</v>
      </c>
      <c r="CK27" s="258">
        <v>1733.7371439252338</v>
      </c>
      <c r="CL27" s="202">
        <v>52.01211431775701</v>
      </c>
      <c r="CM27" s="255" t="s">
        <v>119</v>
      </c>
      <c r="CN27" s="111"/>
      <c r="CO27" s="254" t="s">
        <v>115</v>
      </c>
      <c r="CP27" s="111"/>
      <c r="CQ27" s="255" t="s">
        <v>117</v>
      </c>
      <c r="CR27" s="111"/>
      <c r="CS27" s="256">
        <v>2.3045275469533801</v>
      </c>
      <c r="CT27" s="111">
        <v>3.2386573361455388E-2</v>
      </c>
      <c r="CU27" s="266">
        <v>288.3064275388661</v>
      </c>
      <c r="CV27" s="202">
        <v>4.4247387907755096</v>
      </c>
      <c r="CW27" s="256">
        <v>3.2169526384110498</v>
      </c>
      <c r="CX27" s="111">
        <v>6.7216083718945066E-2</v>
      </c>
      <c r="CY27" s="256">
        <v>25.53742102148453</v>
      </c>
      <c r="CZ27" s="111">
        <v>0.42181772750891894</v>
      </c>
    </row>
    <row r="28" spans="1:104" ht="15.75" thickBot="1" x14ac:dyDescent="0.3">
      <c r="A28" s="542" t="s">
        <v>48</v>
      </c>
      <c r="B28" s="565">
        <v>0.55681374574574583</v>
      </c>
      <c r="C28" s="565">
        <v>2.0045294846846848E-2</v>
      </c>
      <c r="D28" s="11">
        <v>38.442880904799999</v>
      </c>
      <c r="E28" s="211">
        <v>2.5999999999999999E-3</v>
      </c>
      <c r="F28" s="211"/>
      <c r="G28" s="211"/>
      <c r="H28" s="11">
        <v>34.325548746000003</v>
      </c>
      <c r="I28" s="11">
        <v>0.58353432868200006</v>
      </c>
      <c r="J28" s="11">
        <v>42.355177838709679</v>
      </c>
      <c r="K28" s="11">
        <v>2.3718899589677416</v>
      </c>
      <c r="L28" s="11">
        <v>5.9629418841176456</v>
      </c>
      <c r="M28" s="11">
        <v>6.5592360725294119E-2</v>
      </c>
      <c r="N28" s="64"/>
      <c r="O28" s="64"/>
      <c r="P28" s="64"/>
      <c r="Q28" s="64"/>
      <c r="R28" s="64"/>
      <c r="S28" s="64"/>
      <c r="T28" s="64"/>
      <c r="U28" s="11">
        <v>7.954482082082083E-2</v>
      </c>
      <c r="V28" s="11">
        <v>1.6714296045565218</v>
      </c>
      <c r="W28" s="11"/>
      <c r="X28" s="11">
        <v>0.88014227553846158</v>
      </c>
      <c r="Y28" s="11">
        <v>3.4860228673835127</v>
      </c>
      <c r="Z28" s="11">
        <v>0.29762624827140732</v>
      </c>
      <c r="AA28" s="64"/>
      <c r="AB28" s="64"/>
      <c r="AC28" s="64"/>
      <c r="AD28" s="64"/>
      <c r="AE28" s="64"/>
      <c r="AF28" s="64"/>
      <c r="AG28" s="85"/>
      <c r="AH28" s="85"/>
      <c r="AI28" s="85"/>
      <c r="AJ28" s="264">
        <v>25.834191679466972</v>
      </c>
      <c r="AK28" s="31">
        <v>0.69773791738013724</v>
      </c>
      <c r="AL28" s="261">
        <v>1554.3467802802804</v>
      </c>
      <c r="AM28" s="562">
        <v>102.58688749849851</v>
      </c>
      <c r="AN28" s="261">
        <v>264932.23946236563</v>
      </c>
      <c r="AO28" s="562">
        <v>14041.408691505378</v>
      </c>
      <c r="AP28" s="341">
        <f t="shared" si="2"/>
        <v>0</v>
      </c>
      <c r="AQ28" s="261">
        <v>10878.819825406381</v>
      </c>
      <c r="AR28" s="31">
        <v>467.78925249247436</v>
      </c>
      <c r="AS28" s="261">
        <v>429.09610410410409</v>
      </c>
      <c r="AT28" s="568">
        <v>32.182207807807806</v>
      </c>
      <c r="AU28" s="261">
        <v>526.06588838838843</v>
      </c>
      <c r="AV28" s="562">
        <v>22.620833200700698</v>
      </c>
      <c r="AW28" s="261">
        <v>385.43359709709711</v>
      </c>
      <c r="AX28" s="562">
        <v>13.4901758983984</v>
      </c>
      <c r="AY28" s="261">
        <v>6801.3491091091091</v>
      </c>
      <c r="AZ28" s="568">
        <v>204.04047327327328</v>
      </c>
      <c r="BA28" s="341">
        <f t="shared" si="4"/>
        <v>0</v>
      </c>
      <c r="BB28" s="261">
        <v>555104.53914999997</v>
      </c>
      <c r="BC28" s="568">
        <v>8881.672626399999</v>
      </c>
      <c r="BD28" s="341">
        <f t="shared" si="5"/>
        <v>65.592360725294114</v>
      </c>
      <c r="BE28" s="261">
        <v>268.95257504785087</v>
      </c>
      <c r="BF28" s="562">
        <v>6.6270490059167004</v>
      </c>
      <c r="BG28" s="261">
        <v>569.59100550550545</v>
      </c>
      <c r="BH28" s="562">
        <v>22.214049214714713</v>
      </c>
      <c r="BI28" s="261">
        <v>376.7505560560561</v>
      </c>
      <c r="BJ28" s="562">
        <v>16.953775022522525</v>
      </c>
      <c r="BK28" s="261">
        <v>1398.0520415415415</v>
      </c>
      <c r="BL28" s="568">
        <v>76.892862284784783</v>
      </c>
      <c r="BM28" s="261">
        <v>145.42513795679497</v>
      </c>
      <c r="BN28" s="31">
        <v>3.0968908880600852</v>
      </c>
      <c r="BO28" s="264">
        <v>86.833825783043793</v>
      </c>
      <c r="BP28" s="31">
        <v>2.4123616067988936</v>
      </c>
      <c r="BQ28" s="264">
        <v>182.67214519259673</v>
      </c>
      <c r="BR28" s="31">
        <v>3.1422535070353792</v>
      </c>
      <c r="BS28" s="261">
        <v>434.56897324731159</v>
      </c>
      <c r="BT28" s="562">
        <v>6.0030640031903362</v>
      </c>
      <c r="BU28" s="261">
        <v>648.50775825825826</v>
      </c>
      <c r="BV28" s="568">
        <v>15.564186198198197</v>
      </c>
      <c r="BW28" s="261">
        <v>181.5110786887752</v>
      </c>
      <c r="BX28" s="31">
        <v>3.5207283336682424</v>
      </c>
      <c r="BY28" s="259">
        <v>1.0578868795580767</v>
      </c>
      <c r="BZ28" s="31">
        <v>3.2427703987297135E-2</v>
      </c>
      <c r="CA28" s="259">
        <v>15.386384028516309</v>
      </c>
      <c r="CB28" s="31">
        <v>0.25559215317014178</v>
      </c>
      <c r="CC28" s="259">
        <v>2.7438377823096527</v>
      </c>
      <c r="CD28" s="31">
        <v>8.471631800023309E-2</v>
      </c>
      <c r="CE28" s="259">
        <v>9.7417634063890421</v>
      </c>
      <c r="CF28" s="31">
        <v>0.25626321076001402</v>
      </c>
      <c r="CG28" s="569" t="s">
        <v>118</v>
      </c>
      <c r="CH28" s="31"/>
      <c r="CI28" s="259">
        <v>39.889403048401498</v>
      </c>
      <c r="CJ28" s="31">
        <v>0.9542214816050455</v>
      </c>
      <c r="CK28" s="267">
        <v>2432.3231326326327</v>
      </c>
      <c r="CL28" s="562">
        <v>92.428279040040039</v>
      </c>
      <c r="CM28" s="569" t="s">
        <v>119</v>
      </c>
      <c r="CN28" s="31"/>
      <c r="CO28" s="260" t="s">
        <v>115</v>
      </c>
      <c r="CP28" s="31"/>
      <c r="CQ28" s="569" t="s">
        <v>117</v>
      </c>
      <c r="CR28" s="31"/>
      <c r="CS28" s="259">
        <v>2.705880632816263</v>
      </c>
      <c r="CT28" s="31">
        <v>5.1502830655015014E-2</v>
      </c>
      <c r="CU28" s="261">
        <v>309.8215519136528</v>
      </c>
      <c r="CV28" s="562">
        <v>5.616808348524172</v>
      </c>
      <c r="CW28" s="259">
        <v>2.9269025772134891</v>
      </c>
      <c r="CX28" s="31">
        <v>6.374441461282386E-2</v>
      </c>
      <c r="CY28" s="259">
        <v>22.353877273038549</v>
      </c>
      <c r="CZ28" s="31">
        <v>0.51253147441443581</v>
      </c>
    </row>
    <row r="29" spans="1:104" x14ac:dyDescent="0.25">
      <c r="A29" s="536" t="s">
        <v>49</v>
      </c>
      <c r="B29" s="566">
        <v>0.34151456091966914</v>
      </c>
      <c r="C29" s="566">
        <v>1.0846142084458913E-2</v>
      </c>
      <c r="D29" s="117">
        <v>26.271172194430878</v>
      </c>
      <c r="E29" s="209">
        <v>2.3999999999999998E-3</v>
      </c>
      <c r="F29" s="209"/>
      <c r="G29" s="209"/>
      <c r="H29" s="106">
        <v>29.673897499999995</v>
      </c>
      <c r="I29" s="106">
        <v>0.32641287250000001</v>
      </c>
      <c r="J29" s="106">
        <v>19.975104685393259</v>
      </c>
      <c r="K29" s="106">
        <v>0.45942740776404495</v>
      </c>
      <c r="L29" s="106">
        <v>2.5369872762500001</v>
      </c>
      <c r="M29" s="106">
        <v>4.5665770972500005E-2</v>
      </c>
      <c r="N29" s="567"/>
      <c r="O29" s="567"/>
      <c r="P29" s="567"/>
      <c r="Q29" s="567"/>
      <c r="R29" s="567"/>
      <c r="S29" s="567"/>
      <c r="T29" s="567"/>
      <c r="U29" s="209">
        <v>4.878779441709559E-2</v>
      </c>
      <c r="V29" s="106">
        <v>1.1422248780187338</v>
      </c>
      <c r="W29" s="106"/>
      <c r="X29" s="106">
        <v>0.7608691666666666</v>
      </c>
      <c r="Y29" s="106">
        <v>1.6440415378924491</v>
      </c>
      <c r="Z29" s="106">
        <v>0.12662776522335911</v>
      </c>
      <c r="AA29" s="567"/>
      <c r="AB29" s="567"/>
      <c r="AC29" s="567"/>
      <c r="AD29" s="567"/>
      <c r="AE29" s="567"/>
      <c r="AF29" s="567"/>
      <c r="AG29" s="113"/>
      <c r="AH29" s="113"/>
      <c r="AI29" s="113"/>
      <c r="AJ29" s="118">
        <v>18.374701211634356</v>
      </c>
      <c r="AK29" s="111">
        <v>0.51126852163712977</v>
      </c>
      <c r="AL29" s="266">
        <v>1608.0642144888157</v>
      </c>
      <c r="AM29" s="202">
        <v>51.458054863642104</v>
      </c>
      <c r="AN29" s="266">
        <v>176356.35066</v>
      </c>
      <c r="AO29" s="202">
        <v>4408.9087664999997</v>
      </c>
      <c r="AP29" s="336">
        <f t="shared" si="2"/>
        <v>0</v>
      </c>
      <c r="AQ29" s="266">
        <v>10278.475295217477</v>
      </c>
      <c r="AR29" s="111">
        <v>452.25291298956904</v>
      </c>
      <c r="AS29" s="266">
        <v>189.31046731066508</v>
      </c>
      <c r="AT29" s="206">
        <v>5.9169774783562925</v>
      </c>
      <c r="AU29" s="266">
        <v>439.94254287248827</v>
      </c>
      <c r="AV29" s="202">
        <v>23.316954772241878</v>
      </c>
      <c r="AW29" s="266">
        <v>369.34256257108552</v>
      </c>
      <c r="AX29" s="202">
        <v>14.77370250284342</v>
      </c>
      <c r="AY29" s="266">
        <v>4757.7323878847101</v>
      </c>
      <c r="AZ29" s="206">
        <v>157.00516880019543</v>
      </c>
      <c r="BA29" s="336">
        <f t="shared" si="4"/>
        <v>0</v>
      </c>
      <c r="BB29" s="266">
        <v>827998.49959999998</v>
      </c>
      <c r="BC29" s="206">
        <v>31463.9429848</v>
      </c>
      <c r="BD29" s="336">
        <f t="shared" si="5"/>
        <v>45.665770972500006</v>
      </c>
      <c r="BE29" s="266">
        <v>132.10056987390806</v>
      </c>
      <c r="BF29" s="202">
        <v>9.411783771433722</v>
      </c>
      <c r="BG29" s="266">
        <v>307.89194850246429</v>
      </c>
      <c r="BH29" s="202">
        <v>12.007785991596107</v>
      </c>
      <c r="BI29" s="266">
        <v>700.40764727347403</v>
      </c>
      <c r="BJ29" s="202">
        <v>22.413044712751169</v>
      </c>
      <c r="BK29" s="266">
        <v>2339.2885095261358</v>
      </c>
      <c r="BL29" s="206">
        <v>77.196520814362472</v>
      </c>
      <c r="BM29" s="266">
        <v>124.00706280378634</v>
      </c>
      <c r="BN29" s="111">
        <v>4.1841927851948295</v>
      </c>
      <c r="BO29" s="118">
        <v>66.9998841607363</v>
      </c>
      <c r="BP29" s="111">
        <v>1.929518903460963</v>
      </c>
      <c r="BQ29" s="118">
        <v>245.18555351394488</v>
      </c>
      <c r="BR29" s="111">
        <v>6.3286356580275314</v>
      </c>
      <c r="BS29" s="266">
        <v>330.97061258616441</v>
      </c>
      <c r="BT29" s="202">
        <v>15.564628497519946</v>
      </c>
      <c r="BU29" s="266">
        <v>248.32641937318337</v>
      </c>
      <c r="BV29" s="206">
        <v>8.1947718393150506</v>
      </c>
      <c r="BW29" s="266">
        <v>202.73663411623431</v>
      </c>
      <c r="BX29" s="111">
        <v>8.9953845877306371</v>
      </c>
      <c r="BY29" s="255" t="s">
        <v>117</v>
      </c>
      <c r="BZ29" s="111"/>
      <c r="CA29" s="256">
        <v>23.121682019324581</v>
      </c>
      <c r="CB29" s="111">
        <v>0.78095781844570511</v>
      </c>
      <c r="CC29" s="256">
        <v>4.098214033968846</v>
      </c>
      <c r="CD29" s="111">
        <v>0.17311812443215441</v>
      </c>
      <c r="CE29" s="256">
        <v>21.505725701108645</v>
      </c>
      <c r="CF29" s="111">
        <v>0.6030305770258404</v>
      </c>
      <c r="CG29" s="255" t="s">
        <v>118</v>
      </c>
      <c r="CH29" s="111"/>
      <c r="CI29" s="272">
        <v>58.072233104266267</v>
      </c>
      <c r="CJ29" s="111">
        <v>1.9638786927282006</v>
      </c>
      <c r="CK29" s="270">
        <v>763.20700412296219</v>
      </c>
      <c r="CL29" s="202">
        <v>25.949038140180715</v>
      </c>
      <c r="CM29" s="255" t="s">
        <v>119</v>
      </c>
      <c r="CN29" s="111"/>
      <c r="CO29" s="252" t="s">
        <v>115</v>
      </c>
      <c r="CP29" s="111"/>
      <c r="CQ29" s="255" t="s">
        <v>117</v>
      </c>
      <c r="CR29" s="111"/>
      <c r="CS29" s="256">
        <v>2.7786292052859984</v>
      </c>
      <c r="CT29" s="111">
        <v>7.2569142580464138E-2</v>
      </c>
      <c r="CU29" s="266">
        <v>214.87081180386753</v>
      </c>
      <c r="CV29" s="202">
        <v>4.7244164869114851</v>
      </c>
      <c r="CW29" s="256">
        <v>2.9232481643391761</v>
      </c>
      <c r="CX29" s="111">
        <v>7.3536055178195656E-2</v>
      </c>
      <c r="CY29" s="256">
        <v>14.794882477670992</v>
      </c>
      <c r="CZ29" s="111">
        <v>0.44712160086615571</v>
      </c>
    </row>
    <row r="30" spans="1:104" x14ac:dyDescent="0.25">
      <c r="A30" s="511" t="s">
        <v>50</v>
      </c>
      <c r="B30" s="529">
        <v>0.24514579764270178</v>
      </c>
      <c r="C30" s="529">
        <v>6.0643044143769542E-3</v>
      </c>
      <c r="D30" s="22">
        <v>11.256753694581283</v>
      </c>
      <c r="E30" s="210">
        <v>3.0000000000000001E-3</v>
      </c>
      <c r="F30" s="210"/>
      <c r="G30" s="210"/>
      <c r="H30" s="7">
        <v>21.7287599824</v>
      </c>
      <c r="I30" s="7">
        <v>0.30420263975359996</v>
      </c>
      <c r="J30" s="7">
        <v>19.763906896551724</v>
      </c>
      <c r="K30" s="7">
        <v>0.23716688275862072</v>
      </c>
      <c r="L30" s="7">
        <v>0.78061408560000012</v>
      </c>
      <c r="M30" s="7">
        <v>4.6836845136000007E-3</v>
      </c>
      <c r="N30" s="42"/>
      <c r="O30" s="42"/>
      <c r="P30" s="42"/>
      <c r="Q30" s="42"/>
      <c r="R30" s="42"/>
      <c r="S30" s="42"/>
      <c r="T30" s="42"/>
      <c r="U30" s="210">
        <v>3.5020828234671682E-2</v>
      </c>
      <c r="V30" s="7">
        <v>0.48942407367744706</v>
      </c>
      <c r="W30" s="7"/>
      <c r="X30" s="7">
        <v>0.55714769185641022</v>
      </c>
      <c r="Y30" s="7">
        <v>1.6266590038314175</v>
      </c>
      <c r="Z30" s="7">
        <v>3.8962519870227107E-2</v>
      </c>
      <c r="AA30" s="42"/>
      <c r="AB30" s="42"/>
      <c r="AC30" s="42"/>
      <c r="AD30" s="42"/>
      <c r="AE30" s="42"/>
      <c r="AF30" s="42"/>
      <c r="AG30" s="79"/>
      <c r="AH30" s="79"/>
      <c r="AI30" s="79"/>
      <c r="AJ30" s="47">
        <v>12.478800281189077</v>
      </c>
      <c r="AK30" s="111">
        <v>1.2102342563139628</v>
      </c>
      <c r="AL30" s="258">
        <v>1490.9814005819594</v>
      </c>
      <c r="AM30" s="202">
        <v>31.310609412221147</v>
      </c>
      <c r="AN30" s="253">
        <v>129733.16364532022</v>
      </c>
      <c r="AO30" s="202">
        <v>3373.062254778326</v>
      </c>
      <c r="AP30" s="337">
        <f t="shared" si="2"/>
        <v>0</v>
      </c>
      <c r="AQ30" s="253">
        <v>9361.2282180859438</v>
      </c>
      <c r="AR30" s="111">
        <v>552.31246486707073</v>
      </c>
      <c r="AS30" s="253">
        <v>286.86252570320084</v>
      </c>
      <c r="AT30" s="206">
        <v>5.4503879883608155</v>
      </c>
      <c r="AU30" s="253">
        <v>410.31684966052387</v>
      </c>
      <c r="AV30" s="202">
        <v>9.4372875421920472</v>
      </c>
      <c r="AW30" s="266">
        <v>331.22337148399617</v>
      </c>
      <c r="AX30" s="202">
        <v>6.2932440581959268</v>
      </c>
      <c r="AY30" s="253">
        <v>5723.3094343006196</v>
      </c>
      <c r="AZ30" s="206">
        <v>160.25266416041734</v>
      </c>
      <c r="BA30" s="337">
        <f t="shared" si="4"/>
        <v>0</v>
      </c>
      <c r="BB30" s="266">
        <v>1108519.89304</v>
      </c>
      <c r="BC30" s="206">
        <v>18844.838181679999</v>
      </c>
      <c r="BD30" s="337">
        <f t="shared" si="5"/>
        <v>4.6836845136000003</v>
      </c>
      <c r="BE30" s="253">
        <v>182.02315977935788</v>
      </c>
      <c r="BF30" s="202">
        <v>7.1458004782571516</v>
      </c>
      <c r="BG30" s="266">
        <v>326.98419398642096</v>
      </c>
      <c r="BH30" s="202">
        <v>6.8666680737148411</v>
      </c>
      <c r="BI30" s="266">
        <v>317.81987196896222</v>
      </c>
      <c r="BJ30" s="202">
        <v>8.5811365431619802</v>
      </c>
      <c r="BK30" s="253">
        <v>1192.151384088686</v>
      </c>
      <c r="BL30" s="206">
        <v>22.650876297685031</v>
      </c>
      <c r="BM30" s="253">
        <v>109.11712164129642</v>
      </c>
      <c r="BN30" s="111">
        <v>5.0572863069369394</v>
      </c>
      <c r="BO30" s="47">
        <v>54.872248914722888</v>
      </c>
      <c r="BP30" s="111">
        <v>2.9108207331801088</v>
      </c>
      <c r="BQ30" s="47">
        <v>180.96274751214602</v>
      </c>
      <c r="BR30" s="111">
        <v>6.591582276453706</v>
      </c>
      <c r="BS30" s="253">
        <v>249.53768282272964</v>
      </c>
      <c r="BT30" s="202">
        <v>7.4865611327178634</v>
      </c>
      <c r="BU30" s="258">
        <v>226.67258897610344</v>
      </c>
      <c r="BV30" s="206">
        <v>15.089705679911809</v>
      </c>
      <c r="BW30" s="266">
        <v>189.1336418284009</v>
      </c>
      <c r="BX30" s="111">
        <v>0.79235345979494698</v>
      </c>
      <c r="BY30" s="255" t="s">
        <v>117</v>
      </c>
      <c r="BZ30" s="111"/>
      <c r="CA30" s="256">
        <v>21.121788951741056</v>
      </c>
      <c r="CB30" s="111">
        <v>0.93453119404032237</v>
      </c>
      <c r="CC30" s="256">
        <v>13.660695973644259</v>
      </c>
      <c r="CD30" s="111">
        <v>0.47747937171736704</v>
      </c>
      <c r="CE30" s="256">
        <v>5.8301577234103101</v>
      </c>
      <c r="CF30" s="111">
        <v>0.23116249311395479</v>
      </c>
      <c r="CG30" s="255" t="s">
        <v>118</v>
      </c>
      <c r="CH30" s="111"/>
      <c r="CI30" s="37">
        <v>27.375070422704511</v>
      </c>
      <c r="CJ30" s="111">
        <v>1.0198240625372896</v>
      </c>
      <c r="CK30" s="258">
        <v>608.78787577437231</v>
      </c>
      <c r="CL30" s="202">
        <v>13.393333267036191</v>
      </c>
      <c r="CM30" s="255" t="s">
        <v>119</v>
      </c>
      <c r="CN30" s="111"/>
      <c r="CO30" s="254" t="s">
        <v>115</v>
      </c>
      <c r="CP30" s="111"/>
      <c r="CQ30" s="255" t="s">
        <v>117</v>
      </c>
      <c r="CR30" s="111"/>
      <c r="CS30" s="256">
        <v>2.0921224796645119</v>
      </c>
      <c r="CT30" s="111">
        <v>4.6275512925646224E-2</v>
      </c>
      <c r="CU30" s="266">
        <v>165.55731224805007</v>
      </c>
      <c r="CV30" s="202">
        <v>5.2025796388100947</v>
      </c>
      <c r="CW30" s="256">
        <v>2.6731793121405132</v>
      </c>
      <c r="CX30" s="111">
        <v>9.8060061493083411E-2</v>
      </c>
      <c r="CY30" s="256">
        <v>8.529479890010597</v>
      </c>
      <c r="CZ30" s="111">
        <v>0.25480311849926823</v>
      </c>
    </row>
    <row r="31" spans="1:104" x14ac:dyDescent="0.25">
      <c r="A31" s="511" t="s">
        <v>51</v>
      </c>
      <c r="B31" s="529">
        <v>0.22136177174928243</v>
      </c>
      <c r="C31" s="529">
        <v>9.3019669105000209E-3</v>
      </c>
      <c r="D31" s="22">
        <v>14.217001212328768</v>
      </c>
      <c r="E31" s="210">
        <v>4.0999999999999995E-3</v>
      </c>
      <c r="F31" s="210"/>
      <c r="G31" s="210"/>
      <c r="H31" s="7">
        <v>18.003928799999997</v>
      </c>
      <c r="I31" s="7">
        <v>9.0019643999999982E-2</v>
      </c>
      <c r="J31" s="7">
        <v>19.442879611650486</v>
      </c>
      <c r="K31" s="7">
        <v>0.62217214757281558</v>
      </c>
      <c r="L31" s="7">
        <v>0.90650483466666687</v>
      </c>
      <c r="M31" s="7">
        <v>2.8101649874666672E-2</v>
      </c>
      <c r="N31" s="42"/>
      <c r="O31" s="42"/>
      <c r="P31" s="42"/>
      <c r="Q31" s="42"/>
      <c r="R31" s="42"/>
      <c r="S31" s="42"/>
      <c r="T31" s="42"/>
      <c r="U31" s="210">
        <v>3.1623110249897488E-2</v>
      </c>
      <c r="V31" s="7">
        <v>0.61813048749255517</v>
      </c>
      <c r="W31" s="7"/>
      <c r="X31" s="7">
        <v>0.46163919999999992</v>
      </c>
      <c r="Y31" s="7">
        <v>1.6002370050741141</v>
      </c>
      <c r="Z31" s="7">
        <v>4.524606112636221E-2</v>
      </c>
      <c r="AA31" s="42"/>
      <c r="AB31" s="42"/>
      <c r="AC31" s="42"/>
      <c r="AD31" s="42"/>
      <c r="AE31" s="42"/>
      <c r="AF31" s="42"/>
      <c r="AG31" s="79"/>
      <c r="AH31" s="79"/>
      <c r="AI31" s="79"/>
      <c r="AJ31" s="47">
        <v>12.603662770541554</v>
      </c>
      <c r="AK31" s="111">
        <v>0.87501541687736983</v>
      </c>
      <c r="AL31" s="253">
        <v>1614.6955951717734</v>
      </c>
      <c r="AM31" s="202">
        <v>51.670259045496749</v>
      </c>
      <c r="AN31" s="253">
        <v>110173.88737864078</v>
      </c>
      <c r="AO31" s="202">
        <v>3084.8688466019416</v>
      </c>
      <c r="AP31" s="337">
        <f t="shared" si="2"/>
        <v>0</v>
      </c>
      <c r="AQ31" s="253">
        <v>7287.4540526152887</v>
      </c>
      <c r="AR31" s="111">
        <v>306.07307020984217</v>
      </c>
      <c r="AS31" s="253">
        <v>462.27856019808104</v>
      </c>
      <c r="AT31" s="206">
        <v>13.868356805942431</v>
      </c>
      <c r="AU31" s="253">
        <v>371.19218322500774</v>
      </c>
      <c r="AV31" s="202">
        <v>8.1662280309501707</v>
      </c>
      <c r="AW31" s="266">
        <v>311.57171835345093</v>
      </c>
      <c r="AX31" s="202">
        <v>8.724008113896625</v>
      </c>
      <c r="AY31" s="253">
        <v>5263.6660626223093</v>
      </c>
      <c r="AZ31" s="206">
        <v>157.90998187866927</v>
      </c>
      <c r="BA31" s="337">
        <f t="shared" si="4"/>
        <v>0</v>
      </c>
      <c r="BB31" s="258">
        <v>765033.86400000006</v>
      </c>
      <c r="BC31" s="206">
        <v>3825.1693200000004</v>
      </c>
      <c r="BD31" s="337">
        <f t="shared" si="5"/>
        <v>28.101649874666673</v>
      </c>
      <c r="BE31" s="253">
        <v>161.20259423651035</v>
      </c>
      <c r="BF31" s="202">
        <v>3.6499898086397273</v>
      </c>
      <c r="BG31" s="266">
        <v>309.07620117610645</v>
      </c>
      <c r="BH31" s="202">
        <v>15.144733857629216</v>
      </c>
      <c r="BI31" s="266">
        <v>337.4227168059424</v>
      </c>
      <c r="BJ31" s="202">
        <v>16.871135840297121</v>
      </c>
      <c r="BK31" s="253">
        <v>1203.0952299597648</v>
      </c>
      <c r="BL31" s="206">
        <v>44.514523508511303</v>
      </c>
      <c r="BM31" s="253">
        <v>103.5764976369849</v>
      </c>
      <c r="BN31" s="111">
        <v>2.3818561561685989</v>
      </c>
      <c r="BO31" s="47">
        <v>51.615629387159366</v>
      </c>
      <c r="BP31" s="111">
        <v>2.1456675700021766</v>
      </c>
      <c r="BQ31" s="47">
        <v>174.24660206843518</v>
      </c>
      <c r="BR31" s="111">
        <v>2.2930712534369828</v>
      </c>
      <c r="BS31" s="253">
        <v>238.2753942221093</v>
      </c>
      <c r="BT31" s="202">
        <v>2.8089649573297453</v>
      </c>
      <c r="BU31" s="258">
        <v>212.85481770349733</v>
      </c>
      <c r="BV31" s="206">
        <v>7.23706380191891</v>
      </c>
      <c r="BW31" s="266">
        <v>178.0532555149428</v>
      </c>
      <c r="BX31" s="111">
        <v>2.4077882465203899</v>
      </c>
      <c r="BY31" s="255" t="s">
        <v>117</v>
      </c>
      <c r="BZ31" s="111"/>
      <c r="CA31" s="256">
        <v>22.015124831357582</v>
      </c>
      <c r="CB31" s="111">
        <v>0.25985072767164552</v>
      </c>
      <c r="CC31" s="256">
        <v>2.8561831881938664</v>
      </c>
      <c r="CD31" s="111">
        <v>8.5334249704122622E-2</v>
      </c>
      <c r="CE31" s="256">
        <v>7.5865751242114197</v>
      </c>
      <c r="CF31" s="111">
        <v>0.19761228512270163</v>
      </c>
      <c r="CG31" s="255" t="s">
        <v>118</v>
      </c>
      <c r="CH31" s="111"/>
      <c r="CI31" s="37">
        <v>25.803971313515689</v>
      </c>
      <c r="CJ31" s="111">
        <v>0.52860657840363967</v>
      </c>
      <c r="CK31" s="258">
        <v>662.84775487465174</v>
      </c>
      <c r="CL31" s="202">
        <v>22.536823665738158</v>
      </c>
      <c r="CM31" s="255" t="s">
        <v>119</v>
      </c>
      <c r="CN31" s="111"/>
      <c r="CO31" s="254" t="s">
        <v>115</v>
      </c>
      <c r="CP31" s="111"/>
      <c r="CQ31" s="255" t="s">
        <v>117</v>
      </c>
      <c r="CR31" s="111"/>
      <c r="CS31" s="256">
        <v>2.2681323240494971</v>
      </c>
      <c r="CT31" s="111">
        <v>9.0014195880803533E-2</v>
      </c>
      <c r="CU31" s="266">
        <v>169.07026437816344</v>
      </c>
      <c r="CV31" s="202">
        <v>2.183722811511251</v>
      </c>
      <c r="CW31" s="256">
        <v>2.481185979987365</v>
      </c>
      <c r="CX31" s="111">
        <v>3.8490002287411493E-2</v>
      </c>
      <c r="CY31" s="256">
        <v>9.0853670838758891</v>
      </c>
      <c r="CZ31" s="111">
        <v>0.12100433060809854</v>
      </c>
    </row>
    <row r="32" spans="1:104" x14ac:dyDescent="0.25">
      <c r="A32" s="511" t="s">
        <v>52</v>
      </c>
      <c r="B32" s="529">
        <v>0.29119309753788114</v>
      </c>
      <c r="C32" s="529">
        <v>1.1282638516844207E-2</v>
      </c>
      <c r="D32" s="22">
        <v>30.93761875971223</v>
      </c>
      <c r="E32" s="210">
        <v>4.5999999999999999E-3</v>
      </c>
      <c r="F32" s="210"/>
      <c r="G32" s="210"/>
      <c r="H32" s="7">
        <v>21.239701637</v>
      </c>
      <c r="I32" s="7">
        <v>0.42479403273999999</v>
      </c>
      <c r="J32" s="7">
        <v>22.744323925179859</v>
      </c>
      <c r="K32" s="7">
        <v>0.63684106990503597</v>
      </c>
      <c r="L32" s="7">
        <v>1.3445040763428571</v>
      </c>
      <c r="M32" s="7">
        <v>3.4957105984914284E-2</v>
      </c>
      <c r="N32" s="42"/>
      <c r="O32" s="42"/>
      <c r="P32" s="42"/>
      <c r="Q32" s="42"/>
      <c r="R32" s="42"/>
      <c r="S32" s="42"/>
      <c r="T32" s="42"/>
      <c r="U32" s="210">
        <v>4.159901393398302E-2</v>
      </c>
      <c r="V32" s="7">
        <v>1.345113859117923</v>
      </c>
      <c r="W32" s="7"/>
      <c r="X32" s="7">
        <v>0.54460773428205123</v>
      </c>
      <c r="Y32" s="7">
        <v>1.8719608168872313</v>
      </c>
      <c r="Z32" s="7">
        <v>6.710776522799386E-2</v>
      </c>
      <c r="AA32" s="42"/>
      <c r="AB32" s="42"/>
      <c r="AC32" s="42"/>
      <c r="AD32" s="42"/>
      <c r="AE32" s="42"/>
      <c r="AF32" s="42"/>
      <c r="AG32" s="82"/>
      <c r="AH32" s="82"/>
      <c r="AI32" s="82"/>
      <c r="AJ32" s="47">
        <v>21.824997924503304</v>
      </c>
      <c r="AK32" s="111">
        <v>1.0377996531176785</v>
      </c>
      <c r="AL32" s="253">
        <v>1505.6509890508544</v>
      </c>
      <c r="AM32" s="202">
        <v>57.214737583932468</v>
      </c>
      <c r="AN32" s="253">
        <v>126822.14017841728</v>
      </c>
      <c r="AO32" s="202">
        <v>4438.7749062446046</v>
      </c>
      <c r="AP32" s="337">
        <f t="shared" si="2"/>
        <v>0</v>
      </c>
      <c r="AQ32" s="253">
        <v>6842.3007314820925</v>
      </c>
      <c r="AR32" s="111">
        <v>198.42672121298065</v>
      </c>
      <c r="AS32" s="253">
        <v>319.80027702658134</v>
      </c>
      <c r="AT32" s="206">
        <v>16.949414682408811</v>
      </c>
      <c r="AU32" s="253">
        <v>476.43289097025263</v>
      </c>
      <c r="AV32" s="202">
        <v>20.963047202691119</v>
      </c>
      <c r="AW32" s="266">
        <v>371.52449574566327</v>
      </c>
      <c r="AX32" s="202">
        <v>12.260308359606888</v>
      </c>
      <c r="AY32" s="253">
        <v>6273.3695707459774</v>
      </c>
      <c r="AZ32" s="206">
        <v>163.10760883939543</v>
      </c>
      <c r="BA32" s="337">
        <f t="shared" si="4"/>
        <v>0</v>
      </c>
      <c r="BB32" s="258">
        <v>1168489.983</v>
      </c>
      <c r="BC32" s="206">
        <v>28043.759591999999</v>
      </c>
      <c r="BD32" s="337">
        <f t="shared" si="5"/>
        <v>34.957105984914286</v>
      </c>
      <c r="BE32" s="253">
        <v>195.95045758889643</v>
      </c>
      <c r="BF32" s="202">
        <v>7.3605124979375747</v>
      </c>
      <c r="BG32" s="266">
        <v>351.95410922762352</v>
      </c>
      <c r="BH32" s="202">
        <v>14.782072587560187</v>
      </c>
      <c r="BI32" s="253">
        <v>500.83504254336788</v>
      </c>
      <c r="BJ32" s="202">
        <v>22.537576914451556</v>
      </c>
      <c r="BK32" s="253">
        <v>1362.8358327287121</v>
      </c>
      <c r="BL32" s="206">
        <v>57.239104974605915</v>
      </c>
      <c r="BM32" s="253">
        <v>133.50177002322027</v>
      </c>
      <c r="BN32" s="111">
        <v>5.9205302752080771</v>
      </c>
      <c r="BO32" s="47">
        <v>67.157876088530486</v>
      </c>
      <c r="BP32" s="111">
        <v>2.5327337216160326</v>
      </c>
      <c r="BQ32" s="47">
        <v>317.36168488747552</v>
      </c>
      <c r="BR32" s="111">
        <v>12.579291158963613</v>
      </c>
      <c r="BS32" s="253">
        <v>310.29862610991626</v>
      </c>
      <c r="BT32" s="202">
        <v>11.245701291225796</v>
      </c>
      <c r="BU32" s="253">
        <v>224.29470516456698</v>
      </c>
      <c r="BV32" s="206">
        <v>8.9717882065826799</v>
      </c>
      <c r="BW32" s="266">
        <v>210.14307641111191</v>
      </c>
      <c r="BX32" s="111">
        <v>9.8293274808298374</v>
      </c>
      <c r="BY32" s="255" t="s">
        <v>117</v>
      </c>
      <c r="BZ32" s="111"/>
      <c r="CA32" s="256">
        <v>27.86667874628937</v>
      </c>
      <c r="CB32" s="111">
        <v>1.0245386645133456</v>
      </c>
      <c r="CC32" s="256">
        <v>2.1048245612317822</v>
      </c>
      <c r="CD32" s="111">
        <v>0.12404018986598521</v>
      </c>
      <c r="CE32" s="256">
        <v>11.440770340647896</v>
      </c>
      <c r="CF32" s="111">
        <v>0.42686620395783625</v>
      </c>
      <c r="CG32" s="255" t="s">
        <v>118</v>
      </c>
      <c r="CH32" s="111"/>
      <c r="CI32" s="37">
        <v>36.541369075570849</v>
      </c>
      <c r="CJ32" s="111">
        <v>1.3399301690651952</v>
      </c>
      <c r="CK32" s="258">
        <v>584.34810401688549</v>
      </c>
      <c r="CL32" s="202">
        <v>14.608702600422136</v>
      </c>
      <c r="CM32" s="255" t="s">
        <v>119</v>
      </c>
      <c r="CN32" s="111"/>
      <c r="CO32" s="254" t="s">
        <v>115</v>
      </c>
      <c r="CP32" s="111"/>
      <c r="CQ32" s="255" t="s">
        <v>117</v>
      </c>
      <c r="CR32" s="111"/>
      <c r="CS32" s="256">
        <v>2.3012008034530589</v>
      </c>
      <c r="CT32" s="111">
        <v>7.7928589143802615E-2</v>
      </c>
      <c r="CU32" s="266">
        <v>184.41303828891637</v>
      </c>
      <c r="CV32" s="202">
        <v>6.1126264912361696</v>
      </c>
      <c r="CW32" s="256">
        <v>3.2326274623822844</v>
      </c>
      <c r="CX32" s="111">
        <v>0.1111636331679116</v>
      </c>
      <c r="CY32" s="256">
        <v>10.028143385181716</v>
      </c>
      <c r="CZ32" s="111">
        <v>0.3737129773580723</v>
      </c>
    </row>
    <row r="33" spans="1:104" ht="15.75" thickBot="1" x14ac:dyDescent="0.3">
      <c r="A33" s="542" t="s">
        <v>53</v>
      </c>
      <c r="B33" s="565">
        <v>0.21111483821221613</v>
      </c>
      <c r="C33" s="565">
        <v>1.2333556946272495E-2</v>
      </c>
      <c r="D33" s="23">
        <v>17.664866125827817</v>
      </c>
      <c r="E33" s="211">
        <v>1.9E-3</v>
      </c>
      <c r="F33" s="211"/>
      <c r="G33" s="211"/>
      <c r="H33" s="11">
        <v>18.284340053333334</v>
      </c>
      <c r="I33" s="11">
        <v>0.32911812095999998</v>
      </c>
      <c r="J33" s="11">
        <v>17.602872397350996</v>
      </c>
      <c r="K33" s="11">
        <v>0.29924883075496689</v>
      </c>
      <c r="L33" s="11">
        <v>1.0421813652</v>
      </c>
      <c r="M33" s="11">
        <v>2.6054534130000001E-2</v>
      </c>
      <c r="N33" s="64"/>
      <c r="O33" s="64"/>
      <c r="P33" s="64"/>
      <c r="Q33" s="64"/>
      <c r="R33" s="64"/>
      <c r="S33" s="64"/>
      <c r="T33" s="64"/>
      <c r="U33" s="211">
        <v>3.0159262601745163E-2</v>
      </c>
      <c r="V33" s="11">
        <v>0.76803765764468768</v>
      </c>
      <c r="W33" s="11"/>
      <c r="X33" s="11">
        <v>0.46882923213675215</v>
      </c>
      <c r="Y33" s="11">
        <v>1.4487960820865018</v>
      </c>
      <c r="Z33" s="11">
        <v>5.201803669578238E-2</v>
      </c>
      <c r="AA33" s="64"/>
      <c r="AB33" s="64"/>
      <c r="AC33" s="64"/>
      <c r="AD33" s="64"/>
      <c r="AE33" s="64"/>
      <c r="AF33" s="64"/>
      <c r="AG33" s="85"/>
      <c r="AH33" s="85"/>
      <c r="AI33" s="85"/>
      <c r="AJ33" s="264">
        <v>11.004724134661728</v>
      </c>
      <c r="AK33" s="199">
        <v>0.64757598658738458</v>
      </c>
      <c r="AL33" s="261">
        <v>1405.4548444114373</v>
      </c>
      <c r="AM33" s="203">
        <v>32.325461421463054</v>
      </c>
      <c r="AN33" s="261">
        <v>113340.10101639344</v>
      </c>
      <c r="AO33" s="203">
        <v>3626.8832325245908</v>
      </c>
      <c r="AP33" s="341">
        <f t="shared" si="2"/>
        <v>0</v>
      </c>
      <c r="AQ33" s="261">
        <v>5718.1156004456006</v>
      </c>
      <c r="AR33" s="199">
        <v>263.0333176204976</v>
      </c>
      <c r="AS33" s="261">
        <v>337.07758598620819</v>
      </c>
      <c r="AT33" s="207">
        <v>14.856087790277572</v>
      </c>
      <c r="AU33" s="261">
        <v>315.47930486446347</v>
      </c>
      <c r="AV33" s="203">
        <v>11.988213584849611</v>
      </c>
      <c r="AW33" s="262">
        <v>360.3842612510968</v>
      </c>
      <c r="AX33" s="207">
        <v>13.058283119889664</v>
      </c>
      <c r="AY33" s="261">
        <v>5073.1952781456957</v>
      </c>
      <c r="AZ33" s="207">
        <v>116.68349139735099</v>
      </c>
      <c r="BA33" s="341">
        <f t="shared" si="4"/>
        <v>0</v>
      </c>
      <c r="BB33" s="267">
        <v>736638.49081967201</v>
      </c>
      <c r="BC33" s="207">
        <v>16206.046798032785</v>
      </c>
      <c r="BD33" s="341">
        <f t="shared" si="5"/>
        <v>26.05453413</v>
      </c>
      <c r="BE33" s="261">
        <v>146.70422459554661</v>
      </c>
      <c r="BF33" s="203">
        <v>7.5432253075430333</v>
      </c>
      <c r="BG33" s="262">
        <v>323.71370516152996</v>
      </c>
      <c r="BH33" s="203">
        <v>11.006265975492017</v>
      </c>
      <c r="BI33" s="262">
        <v>323.89874786483483</v>
      </c>
      <c r="BJ33" s="203">
        <v>11.660354923134054</v>
      </c>
      <c r="BK33" s="261">
        <v>1002.7464092090606</v>
      </c>
      <c r="BL33" s="207">
        <v>42.115349186780549</v>
      </c>
      <c r="BM33" s="261">
        <v>98.377515572270553</v>
      </c>
      <c r="BN33" s="199">
        <v>5.6068504404576958</v>
      </c>
      <c r="BO33" s="264">
        <v>46.475260369754388</v>
      </c>
      <c r="BP33" s="199">
        <v>2.5633743801473594</v>
      </c>
      <c r="BQ33" s="264">
        <v>143.9002408444081</v>
      </c>
      <c r="BR33" s="199">
        <v>7.5896382395923956</v>
      </c>
      <c r="BS33" s="261">
        <v>227.91198865900432</v>
      </c>
      <c r="BT33" s="203">
        <v>11.782601929592236</v>
      </c>
      <c r="BU33" s="261">
        <v>213.18769847753438</v>
      </c>
      <c r="BV33" s="207">
        <v>7.4615694467137033</v>
      </c>
      <c r="BW33" s="262">
        <v>156.04327329925385</v>
      </c>
      <c r="BX33" s="199">
        <v>8.7536797663430583</v>
      </c>
      <c r="BY33" s="265" t="s">
        <v>117</v>
      </c>
      <c r="BZ33" s="199"/>
      <c r="CA33" s="263">
        <v>16.627370021354956</v>
      </c>
      <c r="CB33" s="199">
        <v>0.69499664502293701</v>
      </c>
      <c r="CC33" s="263">
        <v>8.7836373518653446</v>
      </c>
      <c r="CD33" s="199">
        <v>0.34227015550890505</v>
      </c>
      <c r="CE33" s="263">
        <v>18.651727296145957</v>
      </c>
      <c r="CF33" s="199">
        <v>0.51452987054417121</v>
      </c>
      <c r="CG33" s="265" t="s">
        <v>118</v>
      </c>
      <c r="CH33" s="199"/>
      <c r="CI33" s="259">
        <v>29.340122609924311</v>
      </c>
      <c r="CJ33" s="199">
        <v>1.2910379806250762</v>
      </c>
      <c r="CK33" s="267">
        <v>605.01562272558488</v>
      </c>
      <c r="CL33" s="203">
        <v>20.570531172669885</v>
      </c>
      <c r="CM33" s="265" t="s">
        <v>119</v>
      </c>
      <c r="CN33" s="199"/>
      <c r="CO33" s="260" t="s">
        <v>115</v>
      </c>
      <c r="CP33" s="199"/>
      <c r="CQ33" s="265" t="s">
        <v>117</v>
      </c>
      <c r="CR33" s="199"/>
      <c r="CS33" s="263">
        <v>2.0452622275103316</v>
      </c>
      <c r="CT33" s="199">
        <v>9.6548151622572312E-2</v>
      </c>
      <c r="CU33" s="262">
        <v>175.17124760257428</v>
      </c>
      <c r="CV33" s="203">
        <v>5.3145331481213134</v>
      </c>
      <c r="CW33" s="263">
        <v>2.5461810450604108</v>
      </c>
      <c r="CX33" s="199">
        <v>0.12119402728086368</v>
      </c>
      <c r="CY33" s="263">
        <v>7.2906856420630817</v>
      </c>
      <c r="CZ33" s="199">
        <v>0.37983347257403205</v>
      </c>
    </row>
    <row r="34" spans="1:104" x14ac:dyDescent="0.25">
      <c r="A34" s="536" t="s">
        <v>54</v>
      </c>
      <c r="B34" s="566">
        <v>1.2321733920337051E-2</v>
      </c>
      <c r="C34" s="566">
        <v>3.8907798671483488E-4</v>
      </c>
      <c r="D34" s="570">
        <v>21.465730883333332</v>
      </c>
      <c r="E34" s="571">
        <v>5.0999999999999995E-3</v>
      </c>
      <c r="F34" s="571"/>
      <c r="G34" s="571"/>
      <c r="H34" s="572">
        <v>3.1066469548666662</v>
      </c>
      <c r="I34" s="572">
        <v>2.4853175638933335E-2</v>
      </c>
      <c r="J34" s="106">
        <v>2.1355996279724656</v>
      </c>
      <c r="K34" s="106">
        <v>9.8237582886733399E-2</v>
      </c>
      <c r="L34" s="572">
        <v>10.252280708799999</v>
      </c>
      <c r="M34" s="572">
        <v>0.25630701771999997</v>
      </c>
      <c r="N34" s="108"/>
      <c r="O34" s="108"/>
      <c r="P34" s="108"/>
      <c r="Q34" s="108"/>
      <c r="R34" s="108"/>
      <c r="S34" s="108"/>
      <c r="T34" s="108"/>
      <c r="U34" s="209">
        <v>1.7602477029052929E-3</v>
      </c>
      <c r="V34" s="106">
        <v>0.93329264710144921</v>
      </c>
      <c r="W34" s="106"/>
      <c r="X34" s="106">
        <v>7.9657614227350418E-2</v>
      </c>
      <c r="Y34" s="106">
        <v>0.17576951670555271</v>
      </c>
      <c r="Z34" s="106">
        <v>0.51171852801597195</v>
      </c>
      <c r="AA34" s="108"/>
      <c r="AB34" s="108"/>
      <c r="AC34" s="108"/>
      <c r="AD34" s="108"/>
      <c r="AE34" s="108"/>
      <c r="AF34" s="108"/>
      <c r="AG34" s="113"/>
      <c r="AH34" s="113"/>
      <c r="AI34" s="113"/>
      <c r="AJ34" s="118">
        <v>389.41918104513496</v>
      </c>
      <c r="AK34" s="6">
        <v>17.709770577108149</v>
      </c>
      <c r="AL34" s="247">
        <v>1706.0036905506884</v>
      </c>
      <c r="AM34" s="201">
        <v>93.830202980287865</v>
      </c>
      <c r="AN34" s="248">
        <v>908970.3825685787</v>
      </c>
      <c r="AO34" s="201">
        <v>25451.1707119202</v>
      </c>
      <c r="AP34" s="342">
        <f t="shared" si="2"/>
        <v>0</v>
      </c>
      <c r="AQ34" s="248">
        <v>8942.2665366082601</v>
      </c>
      <c r="AR34" s="6">
        <v>259.32572956163955</v>
      </c>
      <c r="AS34" s="248">
        <v>247.24221034779217</v>
      </c>
      <c r="AT34" s="208">
        <v>8.9688776625809457</v>
      </c>
      <c r="AU34" s="248">
        <v>404.3626958698373</v>
      </c>
      <c r="AV34" s="201">
        <v>21.431222881101377</v>
      </c>
      <c r="AW34" s="248">
        <v>205.05951454943676</v>
      </c>
      <c r="AX34" s="208">
        <v>9.6377971838235279</v>
      </c>
      <c r="AY34" s="248">
        <v>150.27578152377973</v>
      </c>
      <c r="AZ34" s="208">
        <v>3.9071703196182734</v>
      </c>
      <c r="BA34" s="342">
        <f t="shared" si="4"/>
        <v>0</v>
      </c>
      <c r="BB34" s="248">
        <v>3851798.423533333</v>
      </c>
      <c r="BC34" s="208">
        <v>107850.35585893331</v>
      </c>
      <c r="BD34" s="342">
        <f t="shared" si="5"/>
        <v>256.30701771999998</v>
      </c>
      <c r="BE34" s="44">
        <v>8.0495792660344119</v>
      </c>
      <c r="BF34" s="29">
        <v>0.3004866000880782</v>
      </c>
      <c r="BG34" s="250">
        <v>37.088623396912197</v>
      </c>
      <c r="BH34" s="204">
        <v>1.1537541387514028</v>
      </c>
      <c r="BI34" s="245">
        <v>40.531761210858107</v>
      </c>
      <c r="BJ34" s="201">
        <v>1.2516106060844436</v>
      </c>
      <c r="BK34" s="248">
        <v>5006.1962700250306</v>
      </c>
      <c r="BL34" s="208">
        <v>270.33459858135166</v>
      </c>
      <c r="BM34" s="248">
        <v>36.364845002602152</v>
      </c>
      <c r="BN34" s="6">
        <v>1.3617787817023941</v>
      </c>
      <c r="BO34" s="44">
        <v>272.89180558615385</v>
      </c>
      <c r="BP34" s="6">
        <v>8.0410699569217261</v>
      </c>
      <c r="BQ34" s="44">
        <v>828.97499313896719</v>
      </c>
      <c r="BR34" s="6">
        <v>32.736368827833559</v>
      </c>
      <c r="BS34" s="247">
        <v>6.1995040359053482</v>
      </c>
      <c r="BT34" s="201">
        <v>0.2746363348837228</v>
      </c>
      <c r="BU34" s="247">
        <v>165.54049779289278</v>
      </c>
      <c r="BV34" s="208">
        <v>7.5783156074439697</v>
      </c>
      <c r="BW34" s="245">
        <v>9.7513680759509942</v>
      </c>
      <c r="BX34" s="6">
        <v>0.42170846990563227</v>
      </c>
      <c r="BY34" s="249" t="s">
        <v>117</v>
      </c>
      <c r="BZ34" s="6"/>
      <c r="CA34" s="245">
        <v>43.592462152788684</v>
      </c>
      <c r="CB34" s="6">
        <v>1.4347469492983975</v>
      </c>
      <c r="CC34" s="255" t="s">
        <v>116</v>
      </c>
      <c r="CD34" s="6"/>
      <c r="CE34" s="245">
        <v>25.329065126594681</v>
      </c>
      <c r="CF34" s="6">
        <v>0.81107873184196644</v>
      </c>
      <c r="CG34" s="249" t="s">
        <v>118</v>
      </c>
      <c r="CH34" s="6"/>
      <c r="CI34" s="245">
        <v>17.084603271925314</v>
      </c>
      <c r="CJ34" s="6">
        <v>0.55291531243788228</v>
      </c>
      <c r="CK34" s="247">
        <v>54.586598326032536</v>
      </c>
      <c r="CL34" s="208">
        <v>1.9651175397371714</v>
      </c>
      <c r="CM34" s="249" t="s">
        <v>119</v>
      </c>
      <c r="CN34" s="6"/>
      <c r="CO34" s="246" t="s">
        <v>115</v>
      </c>
      <c r="CP34" s="6"/>
      <c r="CQ34" s="249" t="s">
        <v>117</v>
      </c>
      <c r="CR34" s="6"/>
      <c r="CS34" s="249" t="s">
        <v>120</v>
      </c>
      <c r="CT34" s="6"/>
      <c r="CU34" s="248">
        <v>1458.3236539424279</v>
      </c>
      <c r="CV34" s="201">
        <v>71.457859043178971</v>
      </c>
      <c r="CW34" s="249" t="s">
        <v>118</v>
      </c>
      <c r="CX34" s="6"/>
      <c r="CY34" s="245">
        <v>14.538691074950879</v>
      </c>
      <c r="CZ34" s="6">
        <v>0.49642397034029428</v>
      </c>
    </row>
    <row r="35" spans="1:104" x14ac:dyDescent="0.25">
      <c r="A35" s="511" t="s">
        <v>70</v>
      </c>
      <c r="B35" s="527"/>
      <c r="C35" s="527"/>
      <c r="D35" s="531"/>
      <c r="E35" s="532"/>
      <c r="F35" s="532"/>
      <c r="G35" s="532"/>
      <c r="H35" s="533"/>
      <c r="I35" s="533"/>
      <c r="J35" s="528"/>
      <c r="K35" s="528"/>
      <c r="L35" s="533"/>
      <c r="M35" s="533"/>
      <c r="N35" s="73"/>
      <c r="O35" s="73"/>
      <c r="P35" s="73"/>
      <c r="Q35" s="73"/>
      <c r="R35" s="73"/>
      <c r="S35" s="73"/>
      <c r="T35" s="73"/>
      <c r="U35" s="534"/>
      <c r="V35" s="535"/>
      <c r="W35" s="535"/>
      <c r="X35" s="535"/>
      <c r="Y35" s="535"/>
      <c r="Z35" s="535"/>
      <c r="AA35" s="73"/>
      <c r="AB35" s="73"/>
      <c r="AC35" s="73"/>
      <c r="AD35" s="73"/>
      <c r="AE35" s="73"/>
      <c r="AF35" s="73"/>
      <c r="AG35" s="79"/>
      <c r="AH35" s="79"/>
      <c r="AI35" s="79"/>
      <c r="AJ35" s="280"/>
      <c r="AK35" s="244"/>
      <c r="AL35" s="281"/>
      <c r="AM35" s="282"/>
      <c r="AN35" s="281"/>
      <c r="AO35" s="282"/>
      <c r="AP35" s="343">
        <f t="shared" si="2"/>
        <v>0</v>
      </c>
      <c r="AQ35" s="281"/>
      <c r="AR35" s="244"/>
      <c r="AS35" s="281"/>
      <c r="AT35" s="283"/>
      <c r="AU35" s="281"/>
      <c r="AV35" s="282"/>
      <c r="AW35" s="281"/>
      <c r="AX35" s="283"/>
      <c r="AY35" s="281"/>
      <c r="AZ35" s="283"/>
      <c r="BA35" s="343">
        <f t="shared" si="4"/>
        <v>0</v>
      </c>
      <c r="BB35" s="281"/>
      <c r="BC35" s="283"/>
      <c r="BD35" s="343">
        <f t="shared" si="5"/>
        <v>0</v>
      </c>
      <c r="BE35" s="280"/>
      <c r="BF35" s="284"/>
      <c r="BG35" s="285"/>
      <c r="BH35" s="282"/>
      <c r="BI35" s="285"/>
      <c r="BJ35" s="282"/>
      <c r="BK35" s="281"/>
      <c r="BL35" s="283"/>
      <c r="BM35" s="281"/>
      <c r="BN35" s="244"/>
      <c r="BO35" s="280"/>
      <c r="BP35" s="244"/>
      <c r="BQ35" s="280"/>
      <c r="BR35" s="244"/>
      <c r="BS35" s="281"/>
      <c r="BT35" s="282"/>
      <c r="BU35" s="281"/>
      <c r="BV35" s="283"/>
      <c r="BW35" s="285"/>
      <c r="BX35" s="244"/>
      <c r="BY35" s="286"/>
      <c r="BZ35" s="244"/>
      <c r="CA35" s="285"/>
      <c r="CB35" s="244"/>
      <c r="CC35" s="286"/>
      <c r="CD35" s="244"/>
      <c r="CE35" s="285"/>
      <c r="CF35" s="244"/>
      <c r="CG35" s="286"/>
      <c r="CH35" s="244"/>
      <c r="CI35" s="285"/>
      <c r="CJ35" s="244"/>
      <c r="CK35" s="281"/>
      <c r="CL35" s="283"/>
      <c r="CM35" s="286"/>
      <c r="CN35" s="244"/>
      <c r="CO35" s="287"/>
      <c r="CP35" s="244"/>
      <c r="CQ35" s="286"/>
      <c r="CR35" s="244"/>
      <c r="CS35" s="286"/>
      <c r="CT35" s="244"/>
      <c r="CU35" s="281"/>
      <c r="CV35" s="282"/>
      <c r="CW35" s="286"/>
      <c r="CX35" s="244"/>
      <c r="CY35" s="285"/>
      <c r="CZ35" s="244"/>
    </row>
    <row r="36" spans="1:104" x14ac:dyDescent="0.25">
      <c r="A36" s="511" t="s">
        <v>55</v>
      </c>
      <c r="B36" s="529">
        <v>5.185563454516081E-2</v>
      </c>
      <c r="C36" s="529">
        <v>8.0813546229848972E-4</v>
      </c>
      <c r="D36" s="28">
        <v>225.29754487234041</v>
      </c>
      <c r="E36" s="214">
        <v>1.9E-3</v>
      </c>
      <c r="F36" s="214"/>
      <c r="G36" s="214"/>
      <c r="H36" s="19">
        <v>11.600015023999999</v>
      </c>
      <c r="I36" s="19">
        <v>0.11600015023999999</v>
      </c>
      <c r="J36" s="7">
        <v>9.6284551958456976</v>
      </c>
      <c r="K36" s="7">
        <v>0.22145446950445105</v>
      </c>
      <c r="L36" s="19">
        <v>13.964673199999998</v>
      </c>
      <c r="M36" s="19">
        <v>0.47479888879999993</v>
      </c>
      <c r="N36" s="73"/>
      <c r="O36" s="73"/>
      <c r="P36" s="73"/>
      <c r="Q36" s="73"/>
      <c r="R36" s="73"/>
      <c r="S36" s="73"/>
      <c r="T36" s="73"/>
      <c r="U36" s="210">
        <v>7.4079477921658301E-3</v>
      </c>
      <c r="V36" s="7">
        <v>9.7955454292321917</v>
      </c>
      <c r="W36" s="7"/>
      <c r="X36" s="7">
        <v>0.29743628266666666</v>
      </c>
      <c r="Y36" s="7">
        <v>0.79246544821775289</v>
      </c>
      <c r="Z36" s="7">
        <v>0.69701388570002487</v>
      </c>
      <c r="AA36" s="73"/>
      <c r="AB36" s="73"/>
      <c r="AC36" s="73"/>
      <c r="AD36" s="73"/>
      <c r="AE36" s="73"/>
      <c r="AF36" s="73"/>
      <c r="AG36" s="79"/>
      <c r="AH36" s="79"/>
      <c r="AI36" s="79"/>
      <c r="AJ36" s="47">
        <v>314.02453938386697</v>
      </c>
      <c r="AK36" s="111">
        <v>7.5589600233853753</v>
      </c>
      <c r="AL36" s="253">
        <v>1694.9060741839764</v>
      </c>
      <c r="AM36" s="202">
        <v>54.236994373887249</v>
      </c>
      <c r="AN36" s="253">
        <v>628039.88336170197</v>
      </c>
      <c r="AO36" s="202">
        <v>18841.19650085106</v>
      </c>
      <c r="AP36" s="344">
        <f t="shared" si="2"/>
        <v>0</v>
      </c>
      <c r="AQ36" s="253">
        <v>5414.3015195610687</v>
      </c>
      <c r="AR36" s="111">
        <v>265.30077445849236</v>
      </c>
      <c r="AS36" s="253">
        <v>395.90026421303878</v>
      </c>
      <c r="AT36" s="206">
        <v>10.996662038684839</v>
      </c>
      <c r="AU36" s="253">
        <v>171.6926142652672</v>
      </c>
      <c r="AV36" s="202">
        <v>5.1507784279580164</v>
      </c>
      <c r="AW36" s="266">
        <v>214.44777916027076</v>
      </c>
      <c r="AX36" s="206">
        <v>4.7770365216336605</v>
      </c>
      <c r="AY36" s="253">
        <v>7789.7483709198814</v>
      </c>
      <c r="AZ36" s="206">
        <v>179.16421253115723</v>
      </c>
      <c r="BA36" s="344">
        <f t="shared" si="4"/>
        <v>0</v>
      </c>
      <c r="BB36" s="253">
        <v>2257667.3460000004</v>
      </c>
      <c r="BC36" s="206">
        <v>20319.006114000003</v>
      </c>
      <c r="BD36" s="344">
        <f t="shared" si="5"/>
        <v>474.79888879999993</v>
      </c>
      <c r="BE36" s="253">
        <v>243.72038784088176</v>
      </c>
      <c r="BF36" s="202">
        <v>4.8846245785639262</v>
      </c>
      <c r="BG36" s="270">
        <v>167.16768103526618</v>
      </c>
      <c r="BH36" s="271">
        <v>3.3278019410233473</v>
      </c>
      <c r="BI36" s="266">
        <v>211.88596011944372</v>
      </c>
      <c r="BJ36" s="202">
        <v>5.409489736719304</v>
      </c>
      <c r="BK36" s="253">
        <v>4419.0667032640949</v>
      </c>
      <c r="BL36" s="206">
        <v>66.286000548961425</v>
      </c>
      <c r="BM36" s="253">
        <v>32.297944594268181</v>
      </c>
      <c r="BN36" s="111">
        <v>0.49546175216791044</v>
      </c>
      <c r="BO36" s="47">
        <v>176.63745781183724</v>
      </c>
      <c r="BP36" s="111">
        <v>1.5962194638210578</v>
      </c>
      <c r="BQ36" s="47">
        <v>708.29007319568154</v>
      </c>
      <c r="BR36" s="111">
        <v>16.996320105117917</v>
      </c>
      <c r="BS36" s="253">
        <v>18.594315323152131</v>
      </c>
      <c r="BT36" s="202">
        <v>0.37820966967773506</v>
      </c>
      <c r="BU36" s="253">
        <v>234.57215195610689</v>
      </c>
      <c r="BV36" s="206">
        <v>5.1605873430343525</v>
      </c>
      <c r="BW36" s="256">
        <v>8.9711415186067143</v>
      </c>
      <c r="BX36" s="111">
        <v>0.22193153872840177</v>
      </c>
      <c r="BY36" s="255" t="s">
        <v>117</v>
      </c>
      <c r="BZ36" s="111"/>
      <c r="CA36" s="256">
        <v>27.31543840635203</v>
      </c>
      <c r="CB36" s="111">
        <v>0.55333623338387417</v>
      </c>
      <c r="CC36" s="256">
        <v>5.0040602922665052</v>
      </c>
      <c r="CD36" s="111">
        <v>0.14848764800714187</v>
      </c>
      <c r="CE36" s="256">
        <v>41.833350153029663</v>
      </c>
      <c r="CF36" s="111">
        <v>0.63800263635810028</v>
      </c>
      <c r="CG36" s="255" t="s">
        <v>118</v>
      </c>
      <c r="CH36" s="111"/>
      <c r="CI36" s="253">
        <v>131.55699874442487</v>
      </c>
      <c r="CJ36" s="111">
        <v>2.7504692284722307</v>
      </c>
      <c r="CK36" s="258">
        <v>315.55670205152671</v>
      </c>
      <c r="CL36" s="206">
        <v>12.937824784112594</v>
      </c>
      <c r="CM36" s="255" t="s">
        <v>119</v>
      </c>
      <c r="CN36" s="111"/>
      <c r="CO36" s="47">
        <v>4.8875889656775771</v>
      </c>
      <c r="CP36" s="111">
        <v>6.9169024648398969E-2</v>
      </c>
      <c r="CQ36" s="255" t="s">
        <v>117</v>
      </c>
      <c r="CR36" s="111"/>
      <c r="CS36" s="255" t="s">
        <v>120</v>
      </c>
      <c r="CT36" s="111"/>
      <c r="CU36" s="266">
        <v>905.89764688427306</v>
      </c>
      <c r="CV36" s="202">
        <v>35.330008228486648</v>
      </c>
      <c r="CW36" s="255" t="s">
        <v>118</v>
      </c>
      <c r="CX36" s="111"/>
      <c r="CY36" s="256">
        <v>15.500366176434094</v>
      </c>
      <c r="CZ36" s="111">
        <v>0.35759081941208931</v>
      </c>
    </row>
    <row r="37" spans="1:104" x14ac:dyDescent="0.25">
      <c r="A37" s="511" t="s">
        <v>56</v>
      </c>
      <c r="B37" s="529">
        <v>2.4398411065877354E-2</v>
      </c>
      <c r="C37" s="529">
        <v>1.208539336192044E-3</v>
      </c>
      <c r="D37" s="28">
        <v>170.14725066666665</v>
      </c>
      <c r="E37" s="214">
        <v>2.8E-3</v>
      </c>
      <c r="F37" s="214"/>
      <c r="G37" s="214"/>
      <c r="H37" s="19">
        <v>4.019998157157894</v>
      </c>
      <c r="I37" s="19">
        <v>6.4319970514526315E-2</v>
      </c>
      <c r="J37" s="7">
        <v>3.7963296208068811</v>
      </c>
      <c r="K37" s="7">
        <v>0.26953940307728852</v>
      </c>
      <c r="L37" s="19">
        <v>11.164959513157893</v>
      </c>
      <c r="M37" s="19">
        <v>0.21213423074999993</v>
      </c>
      <c r="N37" s="73"/>
      <c r="O37" s="73"/>
      <c r="P37" s="73"/>
      <c r="Q37" s="73"/>
      <c r="R37" s="73"/>
      <c r="S37" s="73"/>
      <c r="T37" s="73"/>
      <c r="U37" s="210">
        <v>3.4854872951253363E-3</v>
      </c>
      <c r="V37" s="7">
        <v>7.3977065507246369</v>
      </c>
      <c r="W37" s="7"/>
      <c r="X37" s="7">
        <v>0.10307687582456139</v>
      </c>
      <c r="Y37" s="7">
        <v>0.3124551128236116</v>
      </c>
      <c r="Z37" s="7">
        <v>0.55727274834828511</v>
      </c>
      <c r="AA37" s="73"/>
      <c r="AB37" s="73"/>
      <c r="AC37" s="73"/>
      <c r="AD37" s="73"/>
      <c r="AE37" s="73"/>
      <c r="AF37" s="73"/>
      <c r="AG37" s="79"/>
      <c r="AH37" s="79"/>
      <c r="AI37" s="79"/>
      <c r="AJ37" s="47">
        <v>387.97421515553953</v>
      </c>
      <c r="AK37" s="111">
        <v>9.5604771068424483</v>
      </c>
      <c r="AL37" s="253">
        <v>1661.9530965390129</v>
      </c>
      <c r="AM37" s="202">
        <v>48.196639799631377</v>
      </c>
      <c r="AN37" s="253">
        <v>666176.32459259254</v>
      </c>
      <c r="AO37" s="202">
        <v>17320.584439407408</v>
      </c>
      <c r="AP37" s="344">
        <f t="shared" si="2"/>
        <v>0</v>
      </c>
      <c r="AQ37" s="253">
        <v>9733.7615634650829</v>
      </c>
      <c r="AR37" s="111">
        <v>272.5453237770223</v>
      </c>
      <c r="AS37" s="258">
        <v>445.89612145356335</v>
      </c>
      <c r="AT37" s="206">
        <v>18.092741492973097</v>
      </c>
      <c r="AU37" s="253">
        <v>229.8477471636289</v>
      </c>
      <c r="AV37" s="202">
        <v>16.319190048617653</v>
      </c>
      <c r="AW37" s="266">
        <v>208.77641929141919</v>
      </c>
      <c r="AX37" s="202">
        <v>3.5491991279541257</v>
      </c>
      <c r="AY37" s="253">
        <v>6400.3839149293472</v>
      </c>
      <c r="AZ37" s="206">
        <v>428.82572230026631</v>
      </c>
      <c r="BA37" s="344">
        <f t="shared" si="4"/>
        <v>0</v>
      </c>
      <c r="BB37" s="258">
        <v>5304100.347066666</v>
      </c>
      <c r="BC37" s="206">
        <v>148514.80971786662</v>
      </c>
      <c r="BD37" s="344">
        <f t="shared" si="5"/>
        <v>212.13423074999994</v>
      </c>
      <c r="BE37" s="253">
        <v>225.57167050791875</v>
      </c>
      <c r="BF37" s="202">
        <v>7.6563632051489012</v>
      </c>
      <c r="BG37" s="272">
        <v>86.321234670168522</v>
      </c>
      <c r="BH37" s="271">
        <v>2.7672320979208456</v>
      </c>
      <c r="BI37" s="256">
        <v>38.968137514356989</v>
      </c>
      <c r="BJ37" s="202">
        <v>1.5352214211230832</v>
      </c>
      <c r="BK37" s="253">
        <v>9506.7658950235509</v>
      </c>
      <c r="BL37" s="206">
        <v>180.62855200544746</v>
      </c>
      <c r="BM37" s="253">
        <v>36.585011007674673</v>
      </c>
      <c r="BN37" s="111">
        <v>1.4082411110395225</v>
      </c>
      <c r="BO37" s="47">
        <v>360.77146350910073</v>
      </c>
      <c r="BP37" s="111">
        <v>13.426832642399575</v>
      </c>
      <c r="BQ37" s="47">
        <v>1118.6610736071866</v>
      </c>
      <c r="BR37" s="111">
        <v>37.129756578016128</v>
      </c>
      <c r="BS37" s="253">
        <v>19.243404783866406</v>
      </c>
      <c r="BT37" s="202">
        <v>0.74021482610475653</v>
      </c>
      <c r="BU37" s="258">
        <v>225.12266151955765</v>
      </c>
      <c r="BV37" s="206">
        <v>15.533463644849478</v>
      </c>
      <c r="BW37" s="256">
        <v>12.770560513303556</v>
      </c>
      <c r="BX37" s="111">
        <v>0.68481706473254023</v>
      </c>
      <c r="BY37" s="255" t="s">
        <v>117</v>
      </c>
      <c r="BZ37" s="111"/>
      <c r="CA37" s="256">
        <v>28.59823396321891</v>
      </c>
      <c r="CB37" s="111">
        <v>0.99857911956532774</v>
      </c>
      <c r="CC37" s="255" t="s">
        <v>116</v>
      </c>
      <c r="CD37" s="111"/>
      <c r="CE37" s="256">
        <v>44.591980143332805</v>
      </c>
      <c r="CF37" s="111">
        <v>1.7066286238008477</v>
      </c>
      <c r="CG37" s="256">
        <v>1.3456661643271524</v>
      </c>
      <c r="CH37" s="111">
        <v>5.9131420703559485E-2</v>
      </c>
      <c r="CI37" s="47">
        <v>8.9846334011469455</v>
      </c>
      <c r="CJ37" s="111">
        <v>0.30722643095082858</v>
      </c>
      <c r="CK37" s="258">
        <v>2630.8936319475733</v>
      </c>
      <c r="CL37" s="206">
        <v>55.24876627089904</v>
      </c>
      <c r="CM37" s="255" t="s">
        <v>119</v>
      </c>
      <c r="CN37" s="111"/>
      <c r="CO37" s="47">
        <v>1.1300356896932167</v>
      </c>
      <c r="CP37" s="111">
        <v>4.0391970072329073E-2</v>
      </c>
      <c r="CQ37" s="255" t="s">
        <v>117</v>
      </c>
      <c r="CR37" s="111"/>
      <c r="CS37" s="255" t="s">
        <v>120</v>
      </c>
      <c r="CT37" s="111"/>
      <c r="CU37" s="266">
        <v>1836.0150352652058</v>
      </c>
      <c r="CV37" s="202">
        <v>110.16090211591236</v>
      </c>
      <c r="CW37" s="255" t="s">
        <v>118</v>
      </c>
      <c r="CX37" s="111"/>
      <c r="CY37" s="256">
        <v>10.863713654935871</v>
      </c>
      <c r="CZ37" s="111">
        <v>0.50477829979308331</v>
      </c>
    </row>
    <row r="38" spans="1:104" ht="15.75" thickBot="1" x14ac:dyDescent="0.3">
      <c r="A38" s="542" t="s">
        <v>57</v>
      </c>
      <c r="B38" s="565">
        <v>0.1936682177844084</v>
      </c>
      <c r="C38" s="565">
        <v>2.418390697284258E-3</v>
      </c>
      <c r="D38" s="25">
        <v>69.076819999999998</v>
      </c>
      <c r="E38" s="215">
        <v>3.2000000000000002E-3</v>
      </c>
      <c r="F38" s="215"/>
      <c r="G38" s="215"/>
      <c r="H38" s="20">
        <v>8.2140665549999987</v>
      </c>
      <c r="I38" s="20">
        <v>0.16428133109999998</v>
      </c>
      <c r="J38" s="11">
        <v>8.5749999999999993</v>
      </c>
      <c r="K38" s="11">
        <v>0.15434999999999999</v>
      </c>
      <c r="L38" s="20">
        <v>9.5398361939999994</v>
      </c>
      <c r="M38" s="20">
        <v>0.21941623246199998</v>
      </c>
      <c r="N38" s="64"/>
      <c r="O38" s="64"/>
      <c r="P38" s="64"/>
      <c r="Q38" s="64"/>
      <c r="R38" s="64"/>
      <c r="S38" s="64"/>
      <c r="T38" s="64"/>
      <c r="U38" s="211">
        <v>2.7666888254915485E-2</v>
      </c>
      <c r="V38" s="11">
        <v>3.0033400000000001</v>
      </c>
      <c r="W38" s="11"/>
      <c r="X38" s="11">
        <v>0.21061709115384611</v>
      </c>
      <c r="Y38" s="11">
        <v>0.70576131687242794</v>
      </c>
      <c r="Z38" s="11">
        <v>0.47615853226853005</v>
      </c>
      <c r="AA38" s="64"/>
      <c r="AB38" s="64"/>
      <c r="AC38" s="64"/>
      <c r="AD38" s="64"/>
      <c r="AE38" s="64"/>
      <c r="AF38" s="64"/>
      <c r="AG38" s="85"/>
      <c r="AH38" s="85"/>
      <c r="AI38" s="86"/>
      <c r="AJ38" s="264">
        <v>348.85176140637765</v>
      </c>
      <c r="AK38" s="199">
        <v>7.9365175697654857</v>
      </c>
      <c r="AL38" s="267">
        <v>1617.625</v>
      </c>
      <c r="AM38" s="203">
        <v>103.52800000000001</v>
      </c>
      <c r="AN38" s="261">
        <v>693034.35654545447</v>
      </c>
      <c r="AO38" s="203">
        <v>31186.546044545452</v>
      </c>
      <c r="AP38" s="341">
        <f t="shared" si="2"/>
        <v>0</v>
      </c>
      <c r="AQ38" s="261">
        <v>18868.9375</v>
      </c>
      <c r="AR38" s="199">
        <v>641.54387499999996</v>
      </c>
      <c r="AS38" s="261">
        <v>381.6875</v>
      </c>
      <c r="AT38" s="207">
        <v>9.160499999999999</v>
      </c>
      <c r="AU38" s="261">
        <v>294.8125</v>
      </c>
      <c r="AV38" s="203">
        <v>8.8443749999999994</v>
      </c>
      <c r="AW38" s="261">
        <v>219.375</v>
      </c>
      <c r="AX38" s="203">
        <v>5.7037500000000003</v>
      </c>
      <c r="AY38" s="261">
        <v>19605.25</v>
      </c>
      <c r="AZ38" s="207">
        <v>588.15750000000003</v>
      </c>
      <c r="BA38" s="341">
        <f t="shared" si="4"/>
        <v>0</v>
      </c>
      <c r="BB38" s="267">
        <v>2776909.8840000001</v>
      </c>
      <c r="BC38" s="207">
        <v>49984.377911999996</v>
      </c>
      <c r="BD38" s="341">
        <f t="shared" si="5"/>
        <v>219.41623246199998</v>
      </c>
      <c r="BE38" s="261">
        <v>589.27235941267918</v>
      </c>
      <c r="BF38" s="203">
        <v>4.7318788942447689</v>
      </c>
      <c r="BG38" s="273">
        <v>240.13936085829724</v>
      </c>
      <c r="BH38" s="274">
        <v>2.6478369175680889</v>
      </c>
      <c r="BI38" s="263">
        <v>96.894288359752423</v>
      </c>
      <c r="BJ38" s="203">
        <v>2.3120761491471797</v>
      </c>
      <c r="BK38" s="261">
        <v>6547.3125</v>
      </c>
      <c r="BL38" s="207">
        <v>111.30431249999999</v>
      </c>
      <c r="BM38" s="261">
        <v>68.733643244390748</v>
      </c>
      <c r="BN38" s="199">
        <v>0.9532216413154212</v>
      </c>
      <c r="BO38" s="264">
        <v>200.64784799347291</v>
      </c>
      <c r="BP38" s="199">
        <v>3.0965882239043636</v>
      </c>
      <c r="BQ38" s="264">
        <v>750.36872622709484</v>
      </c>
      <c r="BR38" s="199">
        <v>7.8448478813344726</v>
      </c>
      <c r="BS38" s="267">
        <v>134.4077531179131</v>
      </c>
      <c r="BT38" s="203">
        <v>2.4370045923869394</v>
      </c>
      <c r="BU38" s="267">
        <v>221.14656994183949</v>
      </c>
      <c r="BV38" s="207">
        <v>4.5186954049195007</v>
      </c>
      <c r="BW38" s="263">
        <v>57.896248531931839</v>
      </c>
      <c r="BX38" s="199">
        <v>1.1048441875897885</v>
      </c>
      <c r="BY38" s="265" t="s">
        <v>117</v>
      </c>
      <c r="BZ38" s="199"/>
      <c r="CA38" s="263">
        <v>27.909390081002922</v>
      </c>
      <c r="CB38" s="199">
        <v>0.54881938996693802</v>
      </c>
      <c r="CC38" s="265" t="s">
        <v>116</v>
      </c>
      <c r="CD38" s="199"/>
      <c r="CE38" s="263">
        <v>17.944854051870564</v>
      </c>
      <c r="CF38" s="199">
        <v>0.33627530281481777</v>
      </c>
      <c r="CG38" s="263">
        <v>1.2256078572522029</v>
      </c>
      <c r="CH38" s="199">
        <v>2.9674745888614625E-2</v>
      </c>
      <c r="CI38" s="259">
        <v>18.938930755688027</v>
      </c>
      <c r="CJ38" s="199">
        <v>0.22747302980881026</v>
      </c>
      <c r="CK38" s="267">
        <v>338.625</v>
      </c>
      <c r="CL38" s="207">
        <v>4.0634999999999994</v>
      </c>
      <c r="CM38" s="265" t="s">
        <v>119</v>
      </c>
      <c r="CN38" s="199"/>
      <c r="CO38" s="264">
        <v>1.4490933567719366</v>
      </c>
      <c r="CP38" s="199">
        <v>5.2505165559594572E-2</v>
      </c>
      <c r="CQ38" s="265" t="s">
        <v>117</v>
      </c>
      <c r="CR38" s="199"/>
      <c r="CS38" s="263">
        <v>2.7337872689212164</v>
      </c>
      <c r="CT38" s="199">
        <v>4.5488956136448377E-2</v>
      </c>
      <c r="CU38" s="262">
        <v>1491.75</v>
      </c>
      <c r="CV38" s="203">
        <v>38.785499999999999</v>
      </c>
      <c r="CW38" s="265" t="s">
        <v>118</v>
      </c>
      <c r="CX38" s="199"/>
      <c r="CY38" s="263">
        <v>16.711163964420624</v>
      </c>
      <c r="CZ38" s="199">
        <v>0.31920226930013679</v>
      </c>
    </row>
    <row r="39" spans="1:104" x14ac:dyDescent="0.25">
      <c r="A39" s="536" t="s">
        <v>58</v>
      </c>
      <c r="B39" s="566">
        <v>0.42422873172862274</v>
      </c>
      <c r="C39" s="566">
        <v>2.1698982449684059E-2</v>
      </c>
      <c r="D39" s="106">
        <v>5.3987505000000002</v>
      </c>
      <c r="E39" s="209">
        <v>3.5000000000000001E-3</v>
      </c>
      <c r="F39" s="209"/>
      <c r="G39" s="209"/>
      <c r="H39" s="106">
        <v>21.210292351999996</v>
      </c>
      <c r="I39" s="106">
        <v>0.50904701644799988</v>
      </c>
      <c r="J39" s="106">
        <v>36.674880547297299</v>
      </c>
      <c r="K39" s="106">
        <v>1.5403449829864866</v>
      </c>
      <c r="L39" s="106">
        <v>13.416552319999999</v>
      </c>
      <c r="M39" s="106">
        <v>0.46957933119999995</v>
      </c>
      <c r="N39" s="567"/>
      <c r="O39" s="567"/>
      <c r="P39" s="567"/>
      <c r="Q39" s="567"/>
      <c r="R39" s="567"/>
      <c r="S39" s="567"/>
      <c r="T39" s="567"/>
      <c r="U39" s="209">
        <v>6.0604104532660394E-2</v>
      </c>
      <c r="V39" s="106">
        <v>0.23472828260869566</v>
      </c>
      <c r="W39" s="106"/>
      <c r="X39" s="106">
        <v>0.54385365005128194</v>
      </c>
      <c r="Y39" s="106">
        <v>3.0185086870203537</v>
      </c>
      <c r="Z39" s="106">
        <v>0.66965571849263783</v>
      </c>
      <c r="AA39" s="567"/>
      <c r="AB39" s="567"/>
      <c r="AC39" s="567"/>
      <c r="AD39" s="567"/>
      <c r="AE39" s="567"/>
      <c r="AF39" s="567"/>
      <c r="AG39" s="113"/>
      <c r="AH39" s="113"/>
      <c r="AI39" s="113"/>
      <c r="AJ39" s="44">
        <v>47.204567775034121</v>
      </c>
      <c r="AK39" s="6">
        <v>2.0930853014467972</v>
      </c>
      <c r="AL39" s="247">
        <v>1675.1743154362416</v>
      </c>
      <c r="AM39" s="201">
        <v>51.930403778523498</v>
      </c>
      <c r="AN39" s="248">
        <v>26051.03810526316</v>
      </c>
      <c r="AO39" s="201">
        <v>521.0207621052632</v>
      </c>
      <c r="AP39" s="339">
        <f t="shared" si="2"/>
        <v>0</v>
      </c>
      <c r="AQ39" s="248">
        <v>10437.280244966443</v>
      </c>
      <c r="AR39" s="6">
        <v>448.80305053355704</v>
      </c>
      <c r="AS39" s="248">
        <v>928.04353020134226</v>
      </c>
      <c r="AT39" s="208">
        <v>27.841305906040269</v>
      </c>
      <c r="AU39" s="248">
        <v>339.95041946308726</v>
      </c>
      <c r="AV39" s="201">
        <v>15.977669714765103</v>
      </c>
      <c r="AW39" s="248">
        <v>335.22067449664428</v>
      </c>
      <c r="AX39" s="208">
        <v>7.0396341644295299</v>
      </c>
      <c r="AY39" s="248">
        <v>2008.1990369127518</v>
      </c>
      <c r="AZ39" s="208">
        <v>60.245971107382559</v>
      </c>
      <c r="BA39" s="339">
        <f t="shared" si="4"/>
        <v>0</v>
      </c>
      <c r="BB39" s="248">
        <v>200338.81389473684</v>
      </c>
      <c r="BC39" s="208">
        <v>4607.7927195789471</v>
      </c>
      <c r="BD39" s="339">
        <f t="shared" si="5"/>
        <v>469.57933119999996</v>
      </c>
      <c r="BE39" s="248">
        <v>377.33147089549783</v>
      </c>
      <c r="BF39" s="201">
        <v>1.5543408728190153</v>
      </c>
      <c r="BG39" s="248">
        <v>717.14758053691276</v>
      </c>
      <c r="BH39" s="201">
        <v>27.968755640939598</v>
      </c>
      <c r="BI39" s="248">
        <v>414.612822147651</v>
      </c>
      <c r="BJ39" s="201">
        <v>17.413738530201343</v>
      </c>
      <c r="BK39" s="248">
        <v>10083.22505033557</v>
      </c>
      <c r="BL39" s="208">
        <v>352.91287676174494</v>
      </c>
      <c r="BM39" s="248">
        <v>119.01872718158948</v>
      </c>
      <c r="BN39" s="6">
        <v>5.6281017865169414</v>
      </c>
      <c r="BO39" s="44">
        <v>114.82606759136027</v>
      </c>
      <c r="BP39" s="6">
        <v>7.3516451711325574</v>
      </c>
      <c r="BQ39" s="44">
        <v>195.02886374870255</v>
      </c>
      <c r="BR39" s="6">
        <v>5.6871840896232921</v>
      </c>
      <c r="BS39" s="247">
        <v>354.81037462373092</v>
      </c>
      <c r="BT39" s="201">
        <v>18.016111371302962</v>
      </c>
      <c r="BU39" s="247">
        <v>369.51132550335569</v>
      </c>
      <c r="BV39" s="208">
        <v>8.8682718120805362</v>
      </c>
      <c r="BW39" s="248">
        <v>155.66637864120383</v>
      </c>
      <c r="BX39" s="201">
        <v>6.0001999592094526</v>
      </c>
      <c r="BY39" s="245">
        <v>1.990151642395503</v>
      </c>
      <c r="BZ39" s="6">
        <v>4.3291032305872675E-2</v>
      </c>
      <c r="CA39" s="245">
        <v>28.839868390837353</v>
      </c>
      <c r="CB39" s="6">
        <v>1.065959614827322</v>
      </c>
      <c r="CC39" s="245">
        <v>1.67069433608686</v>
      </c>
      <c r="CD39" s="6">
        <v>7.9209359043148922E-2</v>
      </c>
      <c r="CE39" s="245">
        <v>38.4305609739909</v>
      </c>
      <c r="CF39" s="6">
        <v>1.1337023422181458</v>
      </c>
      <c r="CG39" s="245">
        <v>1.8512091091042482</v>
      </c>
      <c r="CH39" s="6">
        <v>6.3848131127786201E-2</v>
      </c>
      <c r="CI39" s="44">
        <v>51.531356496913538</v>
      </c>
      <c r="CJ39" s="6">
        <v>2.1775827076518817</v>
      </c>
      <c r="CK39" s="247">
        <v>930.91516107382552</v>
      </c>
      <c r="CL39" s="208">
        <v>34.443860959731545</v>
      </c>
      <c r="CM39" s="249" t="s">
        <v>119</v>
      </c>
      <c r="CN39" s="6"/>
      <c r="CO39" s="246" t="s">
        <v>115</v>
      </c>
      <c r="CP39" s="6"/>
      <c r="CQ39" s="249" t="s">
        <v>117</v>
      </c>
      <c r="CR39" s="6"/>
      <c r="CS39" s="245">
        <v>4.3730212918024876</v>
      </c>
      <c r="CT39" s="6">
        <v>0.15484024547776415</v>
      </c>
      <c r="CU39" s="248">
        <v>2163.4360234899327</v>
      </c>
      <c r="CV39" s="201">
        <v>56.249336610738254</v>
      </c>
      <c r="CW39" s="245">
        <v>3.3743352592702252</v>
      </c>
      <c r="CX39" s="6">
        <v>0.13251803462812059</v>
      </c>
      <c r="CY39" s="245">
        <v>16.497779047017954</v>
      </c>
      <c r="CZ39" s="6">
        <v>0.85855821399683452</v>
      </c>
    </row>
    <row r="40" spans="1:104" x14ac:dyDescent="0.25">
      <c r="A40" s="511" t="s">
        <v>59</v>
      </c>
      <c r="B40" s="529">
        <v>0.16353334840823064</v>
      </c>
      <c r="C40" s="529">
        <v>5.1293848921495667E-3</v>
      </c>
      <c r="D40" s="7">
        <v>13.473756481886699</v>
      </c>
      <c r="E40" s="210">
        <v>3.8999999999999998E-3</v>
      </c>
      <c r="F40" s="210"/>
      <c r="G40" s="210"/>
      <c r="H40" s="7">
        <v>10.208495096800002</v>
      </c>
      <c r="I40" s="7">
        <v>0.26542087251680002</v>
      </c>
      <c r="J40" s="7">
        <v>11.7190721395575</v>
      </c>
      <c r="K40" s="7">
        <v>0.49220102986141501</v>
      </c>
      <c r="L40" s="7">
        <v>14.794989237600001</v>
      </c>
      <c r="M40" s="7">
        <v>0.44384967712800005</v>
      </c>
      <c r="N40" s="42"/>
      <c r="O40" s="42"/>
      <c r="P40" s="42"/>
      <c r="Q40" s="42"/>
      <c r="R40" s="42"/>
      <c r="S40" s="42"/>
      <c r="T40" s="42"/>
      <c r="U40" s="210">
        <v>2.3361906915461521E-2</v>
      </c>
      <c r="V40" s="7">
        <v>0.58581549921246523</v>
      </c>
      <c r="W40" s="7"/>
      <c r="X40" s="7">
        <v>0.26175628453333338</v>
      </c>
      <c r="Y40" s="7">
        <v>0.96453268638333334</v>
      </c>
      <c r="Z40" s="7">
        <v>0.73845716184676824</v>
      </c>
      <c r="AA40" s="42"/>
      <c r="AB40" s="42"/>
      <c r="AC40" s="42"/>
      <c r="AD40" s="42"/>
      <c r="AE40" s="42"/>
      <c r="AF40" s="42"/>
      <c r="AG40" s="79"/>
      <c r="AH40" s="79"/>
      <c r="AI40" s="79"/>
      <c r="AJ40" s="47">
        <v>101.2560227113938</v>
      </c>
      <c r="AK40" s="111">
        <v>2.6142697882011832</v>
      </c>
      <c r="AL40" s="253">
        <v>1789.3146656941403</v>
      </c>
      <c r="AM40" s="202">
        <v>62.626013299294911</v>
      </c>
      <c r="AN40" s="253">
        <v>382361.56199999992</v>
      </c>
      <c r="AO40" s="202">
        <v>13765.016231999998</v>
      </c>
      <c r="AP40" s="337">
        <f t="shared" si="2"/>
        <v>0</v>
      </c>
      <c r="AQ40" s="253">
        <v>9509.9257719426205</v>
      </c>
      <c r="AR40" s="111">
        <v>532.55584322878667</v>
      </c>
      <c r="AS40" s="253">
        <v>675.41324337466563</v>
      </c>
      <c r="AT40" s="206">
        <v>17.560744327741308</v>
      </c>
      <c r="AU40" s="253">
        <v>233.02305616338438</v>
      </c>
      <c r="AV40" s="202">
        <v>7.4567377972283007</v>
      </c>
      <c r="AW40" s="266">
        <v>365.86933265608644</v>
      </c>
      <c r="AX40" s="206">
        <v>18.123849039244828</v>
      </c>
      <c r="AY40" s="253">
        <v>1595.4336299538049</v>
      </c>
      <c r="AZ40" s="206">
        <v>57.435610678336978</v>
      </c>
      <c r="BA40" s="337">
        <f t="shared" si="4"/>
        <v>0</v>
      </c>
      <c r="BB40" s="258">
        <v>7029349.4339999985</v>
      </c>
      <c r="BC40" s="206">
        <v>154645.68754799999</v>
      </c>
      <c r="BD40" s="337">
        <f t="shared" si="5"/>
        <v>443.84967712800005</v>
      </c>
      <c r="BE40" s="253">
        <v>130.67146005942547</v>
      </c>
      <c r="BF40" s="202">
        <v>4.2188977734071784</v>
      </c>
      <c r="BG40" s="266">
        <v>349.10780209093116</v>
      </c>
      <c r="BH40" s="202">
        <v>17.455390104546559</v>
      </c>
      <c r="BI40" s="253">
        <v>402.39460247994163</v>
      </c>
      <c r="BJ40" s="202">
        <v>20.11973012399708</v>
      </c>
      <c r="BK40" s="253">
        <v>11325.700931193775</v>
      </c>
      <c r="BL40" s="206">
        <v>464.3537381789447</v>
      </c>
      <c r="BM40" s="253">
        <v>55.758358457681389</v>
      </c>
      <c r="BN40" s="111">
        <v>2.793940814089205</v>
      </c>
      <c r="BO40" s="47">
        <v>382.8904773437153</v>
      </c>
      <c r="BP40" s="111">
        <v>20.859088138399731</v>
      </c>
      <c r="BQ40" s="47">
        <v>214.74390658350347</v>
      </c>
      <c r="BR40" s="111">
        <v>3.3294836881829712</v>
      </c>
      <c r="BS40" s="253">
        <v>190.6625900266221</v>
      </c>
      <c r="BT40" s="202">
        <v>8.9804335587720061</v>
      </c>
      <c r="BU40" s="258">
        <v>418.97813761244834</v>
      </c>
      <c r="BV40" s="206">
        <v>15.921169229273037</v>
      </c>
      <c r="BW40" s="256">
        <v>66.772556604756005</v>
      </c>
      <c r="BX40" s="202">
        <v>3.0687858778998343</v>
      </c>
      <c r="BY40" s="255" t="s">
        <v>117</v>
      </c>
      <c r="BZ40" s="111"/>
      <c r="CA40" s="256">
        <v>12.767935023787899</v>
      </c>
      <c r="CB40" s="111">
        <v>0.6738159797823664</v>
      </c>
      <c r="CC40" s="256">
        <v>1.4532623617823852</v>
      </c>
      <c r="CD40" s="111">
        <v>7.9112634820979619E-2</v>
      </c>
      <c r="CE40" s="256">
        <v>21.323040453002264</v>
      </c>
      <c r="CF40" s="111">
        <v>1.2198037087264777</v>
      </c>
      <c r="CG40" s="256">
        <v>2.1316372881181072</v>
      </c>
      <c r="CH40" s="111">
        <v>0.10984698203078432</v>
      </c>
      <c r="CI40" s="47">
        <v>32.241582172399774</v>
      </c>
      <c r="CJ40" s="111">
        <v>1.8615185224917845</v>
      </c>
      <c r="CK40" s="258">
        <v>875.63504254801842</v>
      </c>
      <c r="CL40" s="206">
        <v>28.895956404084604</v>
      </c>
      <c r="CM40" s="255" t="s">
        <v>119</v>
      </c>
      <c r="CN40" s="111"/>
      <c r="CO40" s="47">
        <v>1.0677225759773947</v>
      </c>
      <c r="CP40" s="111">
        <v>5.095431511000461E-2</v>
      </c>
      <c r="CQ40" s="255" t="s">
        <v>117</v>
      </c>
      <c r="CR40" s="111"/>
      <c r="CS40" s="256">
        <v>1.9316675890665935</v>
      </c>
      <c r="CT40" s="111">
        <v>3.8047111435606282E-2</v>
      </c>
      <c r="CU40" s="266">
        <v>2348.1554121079503</v>
      </c>
      <c r="CV40" s="202">
        <v>103.31883813274982</v>
      </c>
      <c r="CW40" s="256">
        <v>1.0654308102170849</v>
      </c>
      <c r="CX40" s="111">
        <v>3.8772169917276333E-2</v>
      </c>
      <c r="CY40" s="256">
        <v>7.269445225063234</v>
      </c>
      <c r="CZ40" s="111">
        <v>0.36531490562404278</v>
      </c>
    </row>
    <row r="41" spans="1:104" x14ac:dyDescent="0.25">
      <c r="A41" s="511" t="s">
        <v>60</v>
      </c>
      <c r="B41" s="529">
        <v>0.16770868970346173</v>
      </c>
      <c r="C41" s="529">
        <v>3.3455747680139732E-3</v>
      </c>
      <c r="D41" s="7">
        <v>9.0095575555555545</v>
      </c>
      <c r="E41" s="210">
        <v>1.2999999999999999E-3</v>
      </c>
      <c r="F41" s="210"/>
      <c r="G41" s="210"/>
      <c r="H41" s="7">
        <v>14.377567300000001</v>
      </c>
      <c r="I41" s="7">
        <v>0.18690837490000001</v>
      </c>
      <c r="J41" s="7">
        <v>13.637525777777777</v>
      </c>
      <c r="K41" s="7">
        <v>0.21820041244444446</v>
      </c>
      <c r="L41" s="7">
        <v>13.631307639999999</v>
      </c>
      <c r="M41" s="7">
        <v>0.10905046112</v>
      </c>
      <c r="N41" s="42"/>
      <c r="O41" s="42"/>
      <c r="P41" s="42"/>
      <c r="Q41" s="42"/>
      <c r="R41" s="42"/>
      <c r="S41" s="42"/>
      <c r="T41" s="42"/>
      <c r="U41" s="210">
        <v>2.3958384243351675E-2</v>
      </c>
      <c r="V41" s="7">
        <v>0.3917198937198067</v>
      </c>
      <c r="W41" s="7"/>
      <c r="X41" s="7">
        <v>0.36865557179487179</v>
      </c>
      <c r="Y41" s="7">
        <v>1.1224301051668952</v>
      </c>
      <c r="Z41" s="7">
        <v>0.680374726229099</v>
      </c>
      <c r="AA41" s="42"/>
      <c r="AB41" s="42"/>
      <c r="AC41" s="42"/>
      <c r="AD41" s="42"/>
      <c r="AE41" s="42"/>
      <c r="AF41" s="42"/>
      <c r="AG41" s="79"/>
      <c r="AH41" s="79"/>
      <c r="AI41" s="79"/>
      <c r="AJ41" s="47">
        <v>61.665774564765073</v>
      </c>
      <c r="AK41" s="111">
        <v>2.6264453338873341</v>
      </c>
      <c r="AL41" s="253">
        <v>1605.3642222222222</v>
      </c>
      <c r="AM41" s="202">
        <v>62.609204666666663</v>
      </c>
      <c r="AN41" s="253">
        <v>1589877.4675</v>
      </c>
      <c r="AO41" s="202">
        <v>55645.711362500006</v>
      </c>
      <c r="AP41" s="337">
        <f t="shared" si="2"/>
        <v>0</v>
      </c>
      <c r="AQ41" s="253">
        <v>19361.906585158551</v>
      </c>
      <c r="AR41" s="111">
        <v>1413.4191807165741</v>
      </c>
      <c r="AS41" s="253">
        <v>815.55996554424428</v>
      </c>
      <c r="AT41" s="206">
        <v>15.49563934534064</v>
      </c>
      <c r="AU41" s="253">
        <v>282.44405011746278</v>
      </c>
      <c r="AV41" s="202">
        <v>4.2366607517619421</v>
      </c>
      <c r="AW41" s="266">
        <v>363.82731909839924</v>
      </c>
      <c r="AX41" s="206">
        <v>27.775262411362686</v>
      </c>
      <c r="AY41" s="253">
        <v>1520.7711104150353</v>
      </c>
      <c r="AZ41" s="206">
        <v>24.332337766640567</v>
      </c>
      <c r="BA41" s="337">
        <f t="shared" si="4"/>
        <v>0</v>
      </c>
      <c r="BB41" s="253">
        <v>6080150.2659999998</v>
      </c>
      <c r="BC41" s="206">
        <v>164164.05718199999</v>
      </c>
      <c r="BD41" s="337">
        <f t="shared" si="5"/>
        <v>109.05046111999999</v>
      </c>
      <c r="BE41" s="253">
        <v>127.45164204272908</v>
      </c>
      <c r="BF41" s="202">
        <v>1.5509359008768617</v>
      </c>
      <c r="BG41" s="266">
        <v>285.92503367267028</v>
      </c>
      <c r="BH41" s="202">
        <v>2.8592503367267028</v>
      </c>
      <c r="BI41" s="266">
        <v>366.35709945184027</v>
      </c>
      <c r="BJ41" s="202">
        <v>4.7827565975325905</v>
      </c>
      <c r="BK41" s="253">
        <v>805.34689115113542</v>
      </c>
      <c r="BL41" s="206">
        <v>15.301590931871571</v>
      </c>
      <c r="BM41" s="253">
        <v>71.079802232949561</v>
      </c>
      <c r="BN41" s="111">
        <v>3.3289735510412419</v>
      </c>
      <c r="BO41" s="47">
        <v>248.86349064319006</v>
      </c>
      <c r="BP41" s="111">
        <v>19.387997146023789</v>
      </c>
      <c r="BQ41" s="47">
        <v>145.16701668378639</v>
      </c>
      <c r="BR41" s="111">
        <v>9.338188396551212</v>
      </c>
      <c r="BS41" s="253">
        <v>255.13208532582743</v>
      </c>
      <c r="BT41" s="202">
        <v>16.161047917015473</v>
      </c>
      <c r="BU41" s="253">
        <v>386.84892717306184</v>
      </c>
      <c r="BV41" s="206">
        <v>7.3501296162881751</v>
      </c>
      <c r="BW41" s="256">
        <v>86.952872535496155</v>
      </c>
      <c r="BX41" s="202">
        <v>6.0267746183977202</v>
      </c>
      <c r="BY41" s="256">
        <v>1.2169682270226063</v>
      </c>
      <c r="BZ41" s="111">
        <v>0.10964512136966123</v>
      </c>
      <c r="CA41" s="256">
        <v>15.833010930303786</v>
      </c>
      <c r="CB41" s="111">
        <v>1.1476387823185288</v>
      </c>
      <c r="CC41" s="256">
        <v>1.5064498204907766</v>
      </c>
      <c r="CD41" s="111">
        <v>9.6479217921168078E-2</v>
      </c>
      <c r="CE41" s="256">
        <v>24.09314073660488</v>
      </c>
      <c r="CF41" s="111">
        <v>1.4228568292076422</v>
      </c>
      <c r="CG41" s="256">
        <v>1.9588904119625608</v>
      </c>
      <c r="CH41" s="111">
        <v>0.11036966305308459</v>
      </c>
      <c r="CI41" s="47">
        <v>44.594292236121632</v>
      </c>
      <c r="CJ41" s="111">
        <v>2.7672231289217017</v>
      </c>
      <c r="CK41" s="258">
        <v>1199.8277777777778</v>
      </c>
      <c r="CL41" s="206">
        <v>28.795866666666665</v>
      </c>
      <c r="CM41" s="255" t="s">
        <v>119</v>
      </c>
      <c r="CN41" s="111"/>
      <c r="CO41" s="47">
        <v>1.3205555439229577</v>
      </c>
      <c r="CP41" s="111">
        <v>8.4609126451947528E-2</v>
      </c>
      <c r="CQ41" s="255" t="s">
        <v>117</v>
      </c>
      <c r="CR41" s="111"/>
      <c r="CS41" s="256">
        <v>1.79784041663218</v>
      </c>
      <c r="CT41" s="111">
        <v>6.8088670897328146E-2</v>
      </c>
      <c r="CU41" s="266">
        <v>2075.1408888888891</v>
      </c>
      <c r="CV41" s="202">
        <v>37.352536000000008</v>
      </c>
      <c r="CW41" s="256">
        <v>1.4674079916963321</v>
      </c>
      <c r="CX41" s="111">
        <v>6.9688580871354378E-2</v>
      </c>
      <c r="CY41" s="256">
        <v>10.308495593995454</v>
      </c>
      <c r="CZ41" s="111">
        <v>0.6129911056481927</v>
      </c>
    </row>
    <row r="42" spans="1:104" x14ac:dyDescent="0.25">
      <c r="A42" s="511" t="s">
        <v>61</v>
      </c>
      <c r="B42" s="529">
        <v>0.10407989033715437</v>
      </c>
      <c r="C42" s="529">
        <v>6.117802555783796E-3</v>
      </c>
      <c r="D42" s="7">
        <v>15.868024166411688</v>
      </c>
      <c r="E42" s="210">
        <v>1.8E-3</v>
      </c>
      <c r="F42" s="210"/>
      <c r="G42" s="210"/>
      <c r="H42" s="7">
        <v>14.53902008</v>
      </c>
      <c r="I42" s="7">
        <v>0.69787296383999997</v>
      </c>
      <c r="J42" s="7">
        <v>10.597318200872024</v>
      </c>
      <c r="K42" s="7">
        <v>8.4778545606976202E-2</v>
      </c>
      <c r="L42" s="7">
        <v>22.61003096</v>
      </c>
      <c r="M42" s="7">
        <v>0.85918117648000003</v>
      </c>
      <c r="N42" s="42"/>
      <c r="O42" s="42"/>
      <c r="P42" s="42"/>
      <c r="Q42" s="42"/>
      <c r="R42" s="42"/>
      <c r="S42" s="42"/>
      <c r="T42" s="42"/>
      <c r="U42" s="210">
        <v>1.4868555762450624E-2</v>
      </c>
      <c r="V42" s="7">
        <v>0.68991409419181249</v>
      </c>
      <c r="W42" s="7"/>
      <c r="X42" s="7">
        <v>0.37279538666666667</v>
      </c>
      <c r="Y42" s="7">
        <v>0.87220725933103083</v>
      </c>
      <c r="Z42" s="7">
        <v>1.1285266264037934</v>
      </c>
      <c r="AA42" s="42"/>
      <c r="AB42" s="42"/>
      <c r="AC42" s="42"/>
      <c r="AD42" s="42"/>
      <c r="AE42" s="42"/>
      <c r="AF42" s="42"/>
      <c r="AG42" s="82"/>
      <c r="AH42" s="82"/>
      <c r="AI42" s="82"/>
      <c r="AJ42" s="47">
        <v>35.086367318182262</v>
      </c>
      <c r="AK42" s="111">
        <v>2.3045747951063577E-2</v>
      </c>
      <c r="AL42" s="253">
        <v>1813.2020014295927</v>
      </c>
      <c r="AM42" s="202">
        <v>70.714878055754113</v>
      </c>
      <c r="AN42" s="253">
        <v>122757.21808695653</v>
      </c>
      <c r="AO42" s="202">
        <v>5892.3464681739142</v>
      </c>
      <c r="AP42" s="337">
        <f t="shared" si="2"/>
        <v>0</v>
      </c>
      <c r="AQ42" s="253">
        <v>8547.4419177984273</v>
      </c>
      <c r="AR42" s="111">
        <v>384.63488630092922</v>
      </c>
      <c r="AS42" s="258">
        <v>435.66787919942811</v>
      </c>
      <c r="AT42" s="206">
        <v>5.2280145503931372</v>
      </c>
      <c r="AU42" s="253">
        <v>204.44620872051465</v>
      </c>
      <c r="AV42" s="202">
        <v>4.9067090092923511</v>
      </c>
      <c r="AW42" s="266">
        <v>216.6740933449413</v>
      </c>
      <c r="AX42" s="202">
        <v>10.712332013337768</v>
      </c>
      <c r="AY42" s="253">
        <v>1734.565889206576</v>
      </c>
      <c r="AZ42" s="206">
        <v>53.771542565403863</v>
      </c>
      <c r="BA42" s="337">
        <f t="shared" si="4"/>
        <v>0</v>
      </c>
      <c r="BB42" s="258">
        <v>8186446.3029999994</v>
      </c>
      <c r="BC42" s="206">
        <v>245593.38908999998</v>
      </c>
      <c r="BD42" s="337">
        <f t="shared" si="5"/>
        <v>859.18117647999998</v>
      </c>
      <c r="BE42" s="253">
        <v>105.56340710111215</v>
      </c>
      <c r="BF42" s="202">
        <v>1.4729128866992263</v>
      </c>
      <c r="BG42" s="266">
        <v>227.87953967119373</v>
      </c>
      <c r="BH42" s="202">
        <v>2.5066749363831313</v>
      </c>
      <c r="BI42" s="266">
        <v>140.73970787786544</v>
      </c>
      <c r="BJ42" s="202">
        <v>6.5357097129853265</v>
      </c>
      <c r="BK42" s="253">
        <v>10229.768173913044</v>
      </c>
      <c r="BL42" s="206">
        <v>347.81211791304349</v>
      </c>
      <c r="BM42" s="37">
        <v>36.759734485818875</v>
      </c>
      <c r="BN42" s="111">
        <v>1.6432253453959211</v>
      </c>
      <c r="BO42" s="47">
        <v>427.72600306931287</v>
      </c>
      <c r="BP42" s="111">
        <v>19.048075643267005</v>
      </c>
      <c r="BQ42" s="47">
        <v>158.13495505909842</v>
      </c>
      <c r="BR42" s="111">
        <v>7.4843249770458513</v>
      </c>
      <c r="BS42" s="253">
        <v>149.84952991286798</v>
      </c>
      <c r="BT42" s="202">
        <v>6.9640115068926738</v>
      </c>
      <c r="BU42" s="258">
        <v>244.5709860614725</v>
      </c>
      <c r="BV42" s="206">
        <v>5.8697036654753401</v>
      </c>
      <c r="BW42" s="256">
        <v>66.783821526797382</v>
      </c>
      <c r="BX42" s="202">
        <v>3.627323278633491</v>
      </c>
      <c r="BY42" s="255" t="s">
        <v>117</v>
      </c>
      <c r="BZ42" s="111"/>
      <c r="CA42" s="256">
        <v>13.215345523298812</v>
      </c>
      <c r="CB42" s="111">
        <v>0.32435595886727492</v>
      </c>
      <c r="CC42" s="256">
        <v>1.4493931819547825</v>
      </c>
      <c r="CD42" s="111">
        <v>6.8996525185454752E-2</v>
      </c>
      <c r="CE42" s="256">
        <v>18.303366226588796</v>
      </c>
      <c r="CF42" s="111">
        <v>1.1476228767032393</v>
      </c>
      <c r="CG42" s="256">
        <v>2.1245804230054977</v>
      </c>
      <c r="CH42" s="111">
        <v>0.10830535532146174</v>
      </c>
      <c r="CI42" s="47">
        <v>25.66584609003073</v>
      </c>
      <c r="CJ42" s="111">
        <v>1.5209908822036613</v>
      </c>
      <c r="CK42" s="258">
        <v>3315.028815939957</v>
      </c>
      <c r="CL42" s="206">
        <v>92.820806846318789</v>
      </c>
      <c r="CM42" s="255" t="s">
        <v>119</v>
      </c>
      <c r="CN42" s="111"/>
      <c r="CO42" s="254" t="s">
        <v>115</v>
      </c>
      <c r="CP42" s="111"/>
      <c r="CQ42" s="255" t="s">
        <v>117</v>
      </c>
      <c r="CR42" s="111"/>
      <c r="CS42" s="255" t="s">
        <v>120</v>
      </c>
      <c r="CT42" s="111"/>
      <c r="CU42" s="266">
        <v>2159.2662012151536</v>
      </c>
      <c r="CV42" s="202">
        <v>66.937252237669767</v>
      </c>
      <c r="CW42" s="255" t="s">
        <v>118</v>
      </c>
      <c r="CX42" s="111"/>
      <c r="CY42" s="256">
        <v>5.550688459853875</v>
      </c>
      <c r="CZ42" s="111">
        <v>0.24511741314641333</v>
      </c>
    </row>
    <row r="43" spans="1:104" ht="15.75" thickBot="1" x14ac:dyDescent="0.3">
      <c r="A43" s="542" t="s">
        <v>62</v>
      </c>
      <c r="B43" s="565">
        <v>0.14769936553995483</v>
      </c>
      <c r="C43" s="565">
        <v>8.7411928559715663E-3</v>
      </c>
      <c r="D43" s="11">
        <v>13.679548890503877</v>
      </c>
      <c r="E43" s="211">
        <v>3.8999999999999998E-3</v>
      </c>
      <c r="F43" s="211"/>
      <c r="G43" s="211"/>
      <c r="H43" s="11">
        <v>19.747192294000001</v>
      </c>
      <c r="I43" s="11">
        <v>0.51342699964400007</v>
      </c>
      <c r="J43" s="11">
        <v>11.225680029069766</v>
      </c>
      <c r="K43" s="11">
        <v>0.33677040087209303</v>
      </c>
      <c r="L43" s="11">
        <v>15.453833584000002</v>
      </c>
      <c r="M43" s="11">
        <v>0.47906884110400011</v>
      </c>
      <c r="N43" s="64"/>
      <c r="O43" s="64"/>
      <c r="P43" s="64"/>
      <c r="Q43" s="64"/>
      <c r="R43" s="64"/>
      <c r="S43" s="64"/>
      <c r="T43" s="64"/>
      <c r="U43" s="211">
        <v>2.109990936285069E-2</v>
      </c>
      <c r="V43" s="11">
        <v>0.59476299523929899</v>
      </c>
      <c r="W43" s="11"/>
      <c r="X43" s="11">
        <v>0.50633826394871795</v>
      </c>
      <c r="Y43" s="11">
        <v>0.92392428222796419</v>
      </c>
      <c r="Z43" s="11">
        <v>0.77134183099575748</v>
      </c>
      <c r="AA43" s="64"/>
      <c r="AB43" s="64"/>
      <c r="AC43" s="64"/>
      <c r="AD43" s="64"/>
      <c r="AE43" s="64"/>
      <c r="AF43" s="64"/>
      <c r="AG43" s="85"/>
      <c r="AH43" s="85"/>
      <c r="AI43" s="86"/>
      <c r="AJ43" s="264">
        <v>11.034259244627913</v>
      </c>
      <c r="AK43" s="199">
        <v>0.88892535261168859</v>
      </c>
      <c r="AL43" s="267">
        <v>1637.7291375968994</v>
      </c>
      <c r="AM43" s="203">
        <v>119.55422704457365</v>
      </c>
      <c r="AN43" s="261">
        <v>105911.47421052631</v>
      </c>
      <c r="AO43" s="203">
        <v>5083.7507621052628</v>
      </c>
      <c r="AP43" s="341">
        <f t="shared" si="2"/>
        <v>0</v>
      </c>
      <c r="AQ43" s="261">
        <v>17032.470615310078</v>
      </c>
      <c r="AR43" s="199">
        <v>493.94164784399226</v>
      </c>
      <c r="AS43" s="261">
        <v>968.63372577519374</v>
      </c>
      <c r="AT43" s="207">
        <v>34.870814127906975</v>
      </c>
      <c r="AU43" s="261">
        <v>225.87018410852716</v>
      </c>
      <c r="AV43" s="203">
        <v>7.0019757073643412</v>
      </c>
      <c r="AW43" s="261">
        <v>234.9511949921791</v>
      </c>
      <c r="AX43" s="203">
        <v>15.211854967615976</v>
      </c>
      <c r="AY43" s="261">
        <v>1449.5202034883721</v>
      </c>
      <c r="AZ43" s="207">
        <v>40.586565697674416</v>
      </c>
      <c r="BA43" s="341">
        <f t="shared" si="4"/>
        <v>0</v>
      </c>
      <c r="BB43" s="267">
        <v>8139612.2808000008</v>
      </c>
      <c r="BC43" s="207">
        <v>244188.36842400004</v>
      </c>
      <c r="BD43" s="341">
        <f t="shared" si="5"/>
        <v>479.06884110400011</v>
      </c>
      <c r="BE43" s="259">
        <v>75.852462958527369</v>
      </c>
      <c r="BF43" s="203">
        <v>2.6667784994215653</v>
      </c>
      <c r="BG43" s="262">
        <v>188.01430232558138</v>
      </c>
      <c r="BH43" s="203">
        <v>5.4524147674418604</v>
      </c>
      <c r="BI43" s="262">
        <v>231.01314276935176</v>
      </c>
      <c r="BJ43" s="203">
        <v>11.566624220182785</v>
      </c>
      <c r="BK43" s="261">
        <v>9862.5276792635668</v>
      </c>
      <c r="BL43" s="207">
        <v>414.22616252906982</v>
      </c>
      <c r="BM43" s="261">
        <v>82.52957435217003</v>
      </c>
      <c r="BN43" s="199">
        <v>6.8334526538623814</v>
      </c>
      <c r="BO43" s="264">
        <v>235.71438136558234</v>
      </c>
      <c r="BP43" s="199">
        <v>14.869266071245427</v>
      </c>
      <c r="BQ43" s="264">
        <v>118.6795901308473</v>
      </c>
      <c r="BR43" s="199">
        <v>7.3844556491685012</v>
      </c>
      <c r="BS43" s="267">
        <v>366.13251200680941</v>
      </c>
      <c r="BT43" s="203">
        <v>25.033713542115539</v>
      </c>
      <c r="BU43" s="267">
        <v>385.61421996124028</v>
      </c>
      <c r="BV43" s="207">
        <v>10.797198158914728</v>
      </c>
      <c r="BW43" s="262">
        <v>100.19365591400961</v>
      </c>
      <c r="BX43" s="203">
        <v>6.9114544487928899</v>
      </c>
      <c r="BY43" s="263">
        <v>1.1121884392924219</v>
      </c>
      <c r="BZ43" s="199">
        <v>5.9693016943510264E-2</v>
      </c>
      <c r="CA43" s="263">
        <v>19.489856268852765</v>
      </c>
      <c r="CB43" s="199">
        <v>1.4842253656157016</v>
      </c>
      <c r="CC43" s="263">
        <v>1.5246560750647093</v>
      </c>
      <c r="CD43" s="199">
        <v>0.11087424537696954</v>
      </c>
      <c r="CE43" s="263">
        <v>20.340739059868959</v>
      </c>
      <c r="CF43" s="199">
        <v>1.0217378385730653</v>
      </c>
      <c r="CG43" s="263">
        <v>2.0861175910341396</v>
      </c>
      <c r="CH43" s="199">
        <v>9.2899020770022794E-2</v>
      </c>
      <c r="CI43" s="264">
        <v>54.113808561915484</v>
      </c>
      <c r="CJ43" s="199">
        <v>2.7342080716186024</v>
      </c>
      <c r="CK43" s="267">
        <v>2434.0164195736434</v>
      </c>
      <c r="CL43" s="207">
        <v>119.26680455910854</v>
      </c>
      <c r="CM43" s="265" t="s">
        <v>119</v>
      </c>
      <c r="CN43" s="199"/>
      <c r="CO43" s="260" t="s">
        <v>115</v>
      </c>
      <c r="CP43" s="199"/>
      <c r="CQ43" s="265" t="s">
        <v>117</v>
      </c>
      <c r="CR43" s="199"/>
      <c r="CS43" s="263">
        <v>1.7637708353282429</v>
      </c>
      <c r="CT43" s="199">
        <v>9.6522953455605784E-2</v>
      </c>
      <c r="CU43" s="262">
        <v>2569.1395348837209</v>
      </c>
      <c r="CV43" s="203">
        <v>97.627302325581383</v>
      </c>
      <c r="CW43" s="263">
        <v>2.3088270991335444</v>
      </c>
      <c r="CX43" s="199">
        <v>0.13122364499523251</v>
      </c>
      <c r="CY43" s="263">
        <v>16.292240027053399</v>
      </c>
      <c r="CZ43" s="199">
        <v>1.0339747916700133</v>
      </c>
    </row>
    <row r="44" spans="1:104" x14ac:dyDescent="0.25">
      <c r="A44" s="573"/>
      <c r="B44" s="573"/>
      <c r="C44" s="573"/>
      <c r="D44" s="573"/>
      <c r="E44" s="573"/>
      <c r="F44" s="573"/>
      <c r="G44" s="573"/>
      <c r="H44" s="573"/>
      <c r="I44" s="573"/>
      <c r="J44" s="574"/>
      <c r="K44" s="574"/>
      <c r="L44" s="573"/>
      <c r="M44" s="573"/>
      <c r="N44" s="574"/>
      <c r="O44" s="574"/>
      <c r="P44" s="574"/>
      <c r="Q44" s="574"/>
      <c r="R44" s="574"/>
      <c r="S44" s="574"/>
      <c r="T44" s="574"/>
      <c r="U44" s="574"/>
      <c r="V44" s="574"/>
      <c r="W44" s="574"/>
      <c r="X44" s="574"/>
      <c r="Y44" s="574"/>
      <c r="Z44" s="574"/>
      <c r="AA44" s="574"/>
      <c r="AB44" s="574"/>
      <c r="AC44" s="574"/>
      <c r="AD44" s="574"/>
      <c r="AE44" s="574"/>
      <c r="AF44" s="574"/>
      <c r="AG44" s="574"/>
      <c r="AH44" s="574"/>
      <c r="AI44" s="574"/>
      <c r="AU44" s="276"/>
      <c r="CQ44" s="277"/>
      <c r="CV44" s="276"/>
    </row>
    <row r="45" spans="1:104" x14ac:dyDescent="0.25">
      <c r="J45" s="59"/>
      <c r="K45" s="59"/>
    </row>
    <row r="46" spans="1:104" x14ac:dyDescent="0.25">
      <c r="J46" s="59"/>
      <c r="K46" s="59"/>
    </row>
    <row r="47" spans="1:104" x14ac:dyDescent="0.25">
      <c r="AN47" s="346">
        <f>AVERAGE(AN4:AN43)</f>
        <v>203653.50660477538</v>
      </c>
      <c r="AP47" s="345">
        <f>AVERAGE(AP4:AP43)</f>
        <v>190.92500000000001</v>
      </c>
      <c r="AY47" s="346">
        <f>AVERAGE(AY4:AY43)</f>
        <v>5286.9629689882204</v>
      </c>
      <c r="BA47" s="345">
        <f>AVERAGE(BA4:BA43)</f>
        <v>1626.0389002476588</v>
      </c>
      <c r="BB47" s="346">
        <f>AVERAGE(BB4:BB43)</f>
        <v>1412415.311978735</v>
      </c>
      <c r="BD47" s="345">
        <f>AVERAGE(BD4:BD43)</f>
        <v>296.82542244386536</v>
      </c>
    </row>
  </sheetData>
  <mergeCells count="4">
    <mergeCell ref="B1:L1"/>
    <mergeCell ref="A2:A3"/>
    <mergeCell ref="N1:P1"/>
    <mergeCell ref="Q1:T1"/>
  </mergeCells>
  <conditionalFormatting sqref="CD1">
    <cfRule type="cellIs" dxfId="7" priority="4" operator="greaterThan">
      <formula>10</formula>
    </cfRule>
  </conditionalFormatting>
  <conditionalFormatting sqref="CF1">
    <cfRule type="cellIs" dxfId="6" priority="3" operator="greaterThan">
      <formula>10</formula>
    </cfRule>
  </conditionalFormatting>
  <conditionalFormatting sqref="CH1">
    <cfRule type="cellIs" dxfId="5" priority="2" operator="greaterThan">
      <formula>10</formula>
    </cfRule>
  </conditionalFormatting>
  <conditionalFormatting sqref="CJ1">
    <cfRule type="cellIs" dxfId="4" priority="1" operator="greaterThan">
      <formula>10</formula>
    </cfRule>
  </conditionalFormatting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R22"/>
  <sheetViews>
    <sheetView zoomScale="70" zoomScaleNormal="70" workbookViewId="0">
      <selection activeCell="D3" sqref="D3"/>
    </sheetView>
  </sheetViews>
  <sheetFormatPr defaultRowHeight="15" x14ac:dyDescent="0.25"/>
  <cols>
    <col min="1" max="1" width="18.140625" customWidth="1"/>
    <col min="2" max="3" width="24.5703125" customWidth="1"/>
    <col min="4" max="4" width="11.140625" customWidth="1"/>
    <col min="5" max="5" width="25.42578125" customWidth="1"/>
    <col min="6" max="6" width="10.85546875" customWidth="1"/>
    <col min="7" max="7" width="23.7109375" customWidth="1"/>
    <col min="8" max="8" width="23.42578125" customWidth="1"/>
    <col min="9" max="9" width="11.7109375" bestFit="1" customWidth="1"/>
    <col min="15" max="15" width="12.85546875" customWidth="1"/>
  </cols>
  <sheetData>
    <row r="1" spans="1:18" x14ac:dyDescent="0.25">
      <c r="A1" t="s">
        <v>194</v>
      </c>
      <c r="B1" t="s">
        <v>224</v>
      </c>
      <c r="C1" t="s">
        <v>228</v>
      </c>
      <c r="D1" t="s">
        <v>227</v>
      </c>
      <c r="E1" t="s">
        <v>228</v>
      </c>
      <c r="F1" t="s">
        <v>226</v>
      </c>
      <c r="G1" t="s">
        <v>228</v>
      </c>
      <c r="H1" t="s">
        <v>225</v>
      </c>
      <c r="I1" t="s">
        <v>228</v>
      </c>
    </row>
    <row r="2" spans="1:18" x14ac:dyDescent="0.25">
      <c r="A2" t="s">
        <v>195</v>
      </c>
      <c r="B2" t="s">
        <v>222</v>
      </c>
      <c r="C2" t="s">
        <v>221</v>
      </c>
      <c r="D2" t="s">
        <v>222</v>
      </c>
      <c r="E2" t="s">
        <v>221</v>
      </c>
      <c r="F2" t="s">
        <v>222</v>
      </c>
      <c r="G2" t="s">
        <v>221</v>
      </c>
      <c r="H2" t="s">
        <v>222</v>
      </c>
      <c r="I2" t="s">
        <v>221</v>
      </c>
    </row>
    <row r="3" spans="1:18" x14ac:dyDescent="0.25">
      <c r="A3">
        <v>0</v>
      </c>
      <c r="B3" s="577">
        <v>6.2169999999999996</v>
      </c>
      <c r="C3" s="629">
        <v>3.0479999999999999E-3</v>
      </c>
      <c r="D3" s="577">
        <v>5.0949999999999998</v>
      </c>
      <c r="E3" s="631">
        <v>3.0479999999999999E-3</v>
      </c>
      <c r="F3" s="579">
        <v>7.8</v>
      </c>
      <c r="G3" s="632">
        <v>0.36575999999999997</v>
      </c>
      <c r="H3" s="580">
        <v>59.4</v>
      </c>
      <c r="I3" s="633">
        <v>3.3528000000000002E-2</v>
      </c>
    </row>
    <row r="4" spans="1:18" x14ac:dyDescent="0.25">
      <c r="A4">
        <v>7.62</v>
      </c>
      <c r="B4" s="577">
        <v>5.593</v>
      </c>
      <c r="C4" s="629">
        <v>3.0479999999999999E-3</v>
      </c>
      <c r="D4" s="577">
        <v>3.8410000000000002</v>
      </c>
      <c r="E4" s="629">
        <v>6.0959999999999999E-3</v>
      </c>
      <c r="F4" s="579">
        <v>21.6</v>
      </c>
      <c r="G4" s="632">
        <v>0.24384</v>
      </c>
      <c r="H4" s="580">
        <v>30.6</v>
      </c>
      <c r="I4" s="633">
        <v>3.6575999999999997E-2</v>
      </c>
    </row>
    <row r="5" spans="1:18" x14ac:dyDescent="0.25">
      <c r="A5">
        <v>15.24</v>
      </c>
      <c r="B5" s="577">
        <v>2.323</v>
      </c>
      <c r="C5" s="629">
        <v>6.0959999999999999E-3</v>
      </c>
      <c r="D5" s="577">
        <v>3.5459999999999998</v>
      </c>
      <c r="E5" s="629">
        <v>6.0959999999999999E-3</v>
      </c>
      <c r="F5" s="579">
        <v>22</v>
      </c>
      <c r="G5" s="632">
        <v>0.21335999999999999</v>
      </c>
      <c r="H5" s="580">
        <v>34.624000000000002</v>
      </c>
      <c r="I5" s="633">
        <v>5.7911999999999998E-2</v>
      </c>
    </row>
    <row r="6" spans="1:18" x14ac:dyDescent="0.25">
      <c r="A6">
        <v>22.86</v>
      </c>
      <c r="B6" s="577">
        <v>1.2070000000000001</v>
      </c>
      <c r="C6" s="629">
        <v>9.1439999999999994E-3</v>
      </c>
      <c r="D6" s="577">
        <v>3.4049999999999998</v>
      </c>
      <c r="E6" s="629">
        <v>6.0959999999999999E-3</v>
      </c>
      <c r="F6" s="579">
        <v>34.4</v>
      </c>
      <c r="G6" s="632">
        <v>3.048E-2</v>
      </c>
      <c r="H6" s="580">
        <v>18.064</v>
      </c>
      <c r="I6" s="633">
        <v>7.0104E-2</v>
      </c>
    </row>
    <row r="7" spans="1:18" x14ac:dyDescent="0.25">
      <c r="A7">
        <v>30.48</v>
      </c>
      <c r="B7" s="578">
        <v>1.845</v>
      </c>
      <c r="C7" s="630">
        <v>6.0959999999999999E-3</v>
      </c>
      <c r="D7" s="578">
        <v>3.1629999999999998</v>
      </c>
      <c r="E7" s="630">
        <v>9.1439999999999994E-3</v>
      </c>
      <c r="F7" s="579">
        <v>29.4</v>
      </c>
      <c r="G7" s="632">
        <v>0.24384</v>
      </c>
      <c r="H7" s="579">
        <v>35.555</v>
      </c>
      <c r="I7" s="633">
        <v>5.4864000000000003E-2</v>
      </c>
      <c r="O7" s="577">
        <v>3.0479999999999999E-3</v>
      </c>
      <c r="P7" s="598">
        <v>3.0479999999999999E-3</v>
      </c>
      <c r="Q7" s="579">
        <v>0.36575999999999997</v>
      </c>
      <c r="R7">
        <v>3.3528000000000002E-2</v>
      </c>
    </row>
    <row r="8" spans="1:18" x14ac:dyDescent="0.25">
      <c r="A8" s="576"/>
      <c r="B8" s="577"/>
      <c r="C8" s="577"/>
      <c r="O8" s="577">
        <v>3.0479999999999999E-3</v>
      </c>
      <c r="P8" s="577">
        <v>6.0959999999999999E-3</v>
      </c>
      <c r="Q8" s="579">
        <v>0.24384</v>
      </c>
      <c r="R8">
        <v>3.6575999999999997E-2</v>
      </c>
    </row>
    <row r="9" spans="1:18" x14ac:dyDescent="0.25">
      <c r="A9" s="576"/>
      <c r="B9" s="577">
        <f>AVERAGE(B3:B7)</f>
        <v>3.4369999999999998</v>
      </c>
      <c r="C9" s="577"/>
      <c r="D9" s="577">
        <f t="shared" ref="D9:H9" si="0">AVERAGE(D3:D7)</f>
        <v>3.8099999999999996</v>
      </c>
      <c r="E9" s="577"/>
      <c r="F9" s="577">
        <f t="shared" si="0"/>
        <v>23.040000000000003</v>
      </c>
      <c r="G9" s="577"/>
      <c r="H9" s="577">
        <f t="shared" si="0"/>
        <v>35.648600000000002</v>
      </c>
      <c r="I9" s="577"/>
      <c r="O9" s="577">
        <v>6.0959999999999999E-3</v>
      </c>
      <c r="P9" s="577">
        <v>6.0959999999999999E-3</v>
      </c>
      <c r="Q9" s="579">
        <v>0.21335999999999999</v>
      </c>
      <c r="R9">
        <v>5.7911999999999998E-2</v>
      </c>
    </row>
    <row r="10" spans="1:18" x14ac:dyDescent="0.25">
      <c r="A10" s="576"/>
      <c r="B10" s="577"/>
      <c r="C10" s="577"/>
      <c r="O10" s="577">
        <v>9.1439999999999994E-3</v>
      </c>
      <c r="P10" s="577">
        <v>6.0959999999999999E-3</v>
      </c>
      <c r="Q10" s="579">
        <v>3.048E-2</v>
      </c>
      <c r="R10">
        <v>7.0104E-2</v>
      </c>
    </row>
    <row r="11" spans="1:18" x14ac:dyDescent="0.25">
      <c r="A11" s="576"/>
      <c r="B11" s="577"/>
      <c r="C11" s="577"/>
      <c r="O11" s="578">
        <v>6.0959999999999999E-3</v>
      </c>
      <c r="P11" s="578">
        <v>9.1439999999999994E-3</v>
      </c>
      <c r="Q11" s="579">
        <v>0.24384</v>
      </c>
      <c r="R11">
        <v>5.4864000000000003E-2</v>
      </c>
    </row>
    <row r="12" spans="1:18" x14ac:dyDescent="0.25">
      <c r="A12" s="576"/>
      <c r="B12" s="578"/>
      <c r="C12" s="578"/>
    </row>
    <row r="13" spans="1:18" x14ac:dyDescent="0.25">
      <c r="A13" s="576"/>
      <c r="B13" s="579"/>
      <c r="C13" s="579"/>
    </row>
    <row r="14" spans="1:18" x14ac:dyDescent="0.25">
      <c r="A14" s="576"/>
      <c r="B14" s="579"/>
      <c r="C14" s="579"/>
    </row>
    <row r="15" spans="1:18" x14ac:dyDescent="0.25">
      <c r="A15" s="576"/>
      <c r="B15" s="579"/>
      <c r="C15" s="579"/>
    </row>
    <row r="16" spans="1:18" x14ac:dyDescent="0.25">
      <c r="A16" s="576"/>
      <c r="B16" s="579"/>
      <c r="C16" s="579"/>
    </row>
    <row r="17" spans="1:3" x14ac:dyDescent="0.25">
      <c r="A17" s="576"/>
      <c r="B17" s="579"/>
      <c r="C17" s="579"/>
    </row>
    <row r="18" spans="1:3" x14ac:dyDescent="0.25">
      <c r="A18" s="576"/>
      <c r="B18" s="580"/>
      <c r="C18" s="580"/>
    </row>
    <row r="19" spans="1:3" x14ac:dyDescent="0.25">
      <c r="A19" s="576"/>
      <c r="B19" s="580"/>
      <c r="C19" s="580"/>
    </row>
    <row r="20" spans="1:3" x14ac:dyDescent="0.25">
      <c r="A20" s="576"/>
      <c r="B20" s="580"/>
      <c r="C20" s="580"/>
    </row>
    <row r="21" spans="1:3" x14ac:dyDescent="0.25">
      <c r="A21" s="576"/>
      <c r="B21" s="580"/>
      <c r="C21" s="580"/>
    </row>
    <row r="22" spans="1:3" x14ac:dyDescent="0.25">
      <c r="A22" s="576"/>
      <c r="B22" s="579"/>
      <c r="C22" s="579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workbookViewId="0">
      <selection activeCell="B3" sqref="B3:B7"/>
    </sheetView>
  </sheetViews>
  <sheetFormatPr defaultRowHeight="15" x14ac:dyDescent="0.25"/>
  <cols>
    <col min="3" max="7" width="27.7109375" customWidth="1"/>
  </cols>
  <sheetData>
    <row r="1" spans="1:6" x14ac:dyDescent="0.25">
      <c r="A1" t="s">
        <v>210</v>
      </c>
    </row>
    <row r="2" spans="1:6" x14ac:dyDescent="0.25">
      <c r="B2" s="2" t="s">
        <v>195</v>
      </c>
      <c r="C2" s="2" t="s">
        <v>190</v>
      </c>
      <c r="D2" s="2" t="s">
        <v>191</v>
      </c>
      <c r="E2" s="2" t="s">
        <v>192</v>
      </c>
      <c r="F2" s="2" t="s">
        <v>193</v>
      </c>
    </row>
    <row r="3" spans="1:6" x14ac:dyDescent="0.25">
      <c r="B3">
        <v>0</v>
      </c>
      <c r="C3" s="581" t="str">
        <f>'-ITER'!V4</f>
        <v>&lt;0.15</v>
      </c>
      <c r="D3" s="581" t="str">
        <f>'-ITER'!V9</f>
        <v>&lt;0.15</v>
      </c>
      <c r="E3" s="584" t="str">
        <f>'-ITER'!V15</f>
        <v>&lt;0.15</v>
      </c>
      <c r="F3" s="585" t="str">
        <f>'-ITER'!V19</f>
        <v>&lt;0.15</v>
      </c>
    </row>
    <row r="4" spans="1:6" x14ac:dyDescent="0.25">
      <c r="B4">
        <v>7.62</v>
      </c>
      <c r="C4" s="581" t="str">
        <f>'-ITER'!V5</f>
        <v>&lt;0.15</v>
      </c>
      <c r="D4" s="581" t="str">
        <f>'-ITER'!V10</f>
        <v>&lt;0.15</v>
      </c>
      <c r="E4" s="584" t="str">
        <f>'-ITER'!V16</f>
        <v>&lt;0.15</v>
      </c>
      <c r="F4" s="585" t="str">
        <f>'-ITER'!V20</f>
        <v>&lt;0.15</v>
      </c>
    </row>
    <row r="5" spans="1:6" x14ac:dyDescent="0.25">
      <c r="B5">
        <v>15.24</v>
      </c>
      <c r="C5" s="581" t="str">
        <f>'-ITER'!V6</f>
        <v>&lt;0.15</v>
      </c>
      <c r="D5" s="581" t="str">
        <f>'-ITER'!V11</f>
        <v>&lt;0.15</v>
      </c>
      <c r="E5" s="584" t="str">
        <f>'-ITER'!V17</f>
        <v>&lt;0.15</v>
      </c>
      <c r="F5" s="585" t="str">
        <f>'-ITER'!V21</f>
        <v>&lt;0.15</v>
      </c>
    </row>
    <row r="6" spans="1:6" x14ac:dyDescent="0.25">
      <c r="B6">
        <v>22.86</v>
      </c>
      <c r="C6" s="581" t="str">
        <f>'-ITER'!V7</f>
        <v>&lt;0.15</v>
      </c>
      <c r="D6" s="581" t="str">
        <f>'-ITER'!V12</f>
        <v>&lt;0.15</v>
      </c>
      <c r="E6" s="584" t="str">
        <f>'-ITER'!V18</f>
        <v>&lt;0.15</v>
      </c>
      <c r="F6" s="585" t="str">
        <f>'-ITER'!V22</f>
        <v>&lt;0.15</v>
      </c>
    </row>
    <row r="7" spans="1:6" x14ac:dyDescent="0.25">
      <c r="B7">
        <v>30.48</v>
      </c>
      <c r="C7" s="581" t="str">
        <f>'-ITER'!V8</f>
        <v>&lt;0.15</v>
      </c>
      <c r="D7" s="581" t="str">
        <f>'-ITER'!V13</f>
        <v>&lt;0.15</v>
      </c>
      <c r="E7" s="584" t="str">
        <f>'-ITER'!V19</f>
        <v>&lt;0.15</v>
      </c>
      <c r="F7" s="585" t="str">
        <f>'-ITER'!V23</f>
        <v>&lt;0.15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2"/>
  <sheetViews>
    <sheetView zoomScale="70" zoomScaleNormal="70" workbookViewId="0">
      <selection activeCell="C52" sqref="C52"/>
    </sheetView>
  </sheetViews>
  <sheetFormatPr defaultRowHeight="15" x14ac:dyDescent="0.25"/>
  <cols>
    <col min="1" max="1" width="18.140625" customWidth="1"/>
    <col min="2" max="3" width="24.5703125" customWidth="1"/>
    <col min="4" max="5" width="11.140625" customWidth="1"/>
    <col min="6" max="7" width="10.85546875" customWidth="1"/>
    <col min="8" max="8" width="23.42578125" customWidth="1"/>
  </cols>
  <sheetData>
    <row r="1" spans="1:17" x14ac:dyDescent="0.25">
      <c r="A1" t="s">
        <v>194</v>
      </c>
      <c r="B1" t="s">
        <v>224</v>
      </c>
      <c r="C1" t="s">
        <v>228</v>
      </c>
      <c r="D1" t="s">
        <v>227</v>
      </c>
      <c r="E1" t="s">
        <v>228</v>
      </c>
      <c r="F1" t="s">
        <v>226</v>
      </c>
      <c r="G1" t="s">
        <v>228</v>
      </c>
      <c r="H1" t="s">
        <v>225</v>
      </c>
      <c r="I1" t="s">
        <v>228</v>
      </c>
    </row>
    <row r="2" spans="1:17" x14ac:dyDescent="0.25">
      <c r="A2" t="s">
        <v>195</v>
      </c>
      <c r="B2" t="s">
        <v>231</v>
      </c>
      <c r="C2" t="s">
        <v>221</v>
      </c>
      <c r="D2" t="s">
        <v>231</v>
      </c>
      <c r="E2" t="s">
        <v>221</v>
      </c>
      <c r="F2" t="s">
        <v>231</v>
      </c>
      <c r="G2" t="s">
        <v>221</v>
      </c>
      <c r="H2" t="s">
        <v>231</v>
      </c>
      <c r="I2" t="s">
        <v>221</v>
      </c>
      <c r="N2" s="2" t="s">
        <v>190</v>
      </c>
      <c r="O2" s="2" t="s">
        <v>191</v>
      </c>
      <c r="P2" s="2" t="s">
        <v>192</v>
      </c>
      <c r="Q2" s="2" t="s">
        <v>193</v>
      </c>
    </row>
    <row r="3" spans="1:17" x14ac:dyDescent="0.25">
      <c r="A3">
        <v>0</v>
      </c>
      <c r="B3" s="581">
        <v>0.28999999999999998</v>
      </c>
      <c r="C3" s="577">
        <v>3.0479999999999999E-3</v>
      </c>
      <c r="D3" s="581">
        <v>0.76</v>
      </c>
      <c r="E3" s="598">
        <v>3.0479999999999999E-3</v>
      </c>
      <c r="F3" s="584">
        <v>0.03</v>
      </c>
      <c r="G3" s="579">
        <v>0.36575999999999997</v>
      </c>
      <c r="H3" s="585">
        <v>0.04</v>
      </c>
      <c r="I3">
        <v>3.3528000000000002E-2</v>
      </c>
      <c r="N3" s="581">
        <v>0.28999999999999998</v>
      </c>
      <c r="O3" s="581">
        <v>0.76</v>
      </c>
      <c r="P3" s="582">
        <v>0.03</v>
      </c>
      <c r="Q3" s="583">
        <v>0.04</v>
      </c>
    </row>
    <row r="4" spans="1:17" x14ac:dyDescent="0.25">
      <c r="A4">
        <v>7.62</v>
      </c>
      <c r="B4" s="581">
        <v>0.15</v>
      </c>
      <c r="C4" s="577">
        <v>3.0479999999999999E-3</v>
      </c>
      <c r="D4" s="581">
        <v>0.36</v>
      </c>
      <c r="E4" s="577">
        <v>6.0959999999999999E-3</v>
      </c>
      <c r="F4" s="584">
        <v>0.04</v>
      </c>
      <c r="G4" s="579">
        <v>0.24384</v>
      </c>
      <c r="H4" s="585">
        <v>0.03</v>
      </c>
      <c r="I4">
        <v>3.6575999999999997E-2</v>
      </c>
      <c r="N4" s="581">
        <v>0.15</v>
      </c>
      <c r="O4" s="581">
        <v>0.36</v>
      </c>
      <c r="P4" s="582">
        <v>0.04</v>
      </c>
      <c r="Q4" s="583">
        <v>0.03</v>
      </c>
    </row>
    <row r="5" spans="1:17" x14ac:dyDescent="0.25">
      <c r="A5">
        <v>15.24</v>
      </c>
      <c r="B5" s="581">
        <v>0.17</v>
      </c>
      <c r="C5" s="577">
        <v>6.0959999999999999E-3</v>
      </c>
      <c r="D5" s="581">
        <v>0.6</v>
      </c>
      <c r="E5" s="577">
        <v>6.0959999999999999E-3</v>
      </c>
      <c r="F5" s="584">
        <v>0.08</v>
      </c>
      <c r="G5" s="579">
        <v>0.21335999999999999</v>
      </c>
      <c r="H5" s="585">
        <v>0.01</v>
      </c>
      <c r="I5">
        <v>5.7911999999999998E-2</v>
      </c>
      <c r="N5" s="581">
        <v>0.17</v>
      </c>
      <c r="O5" s="581">
        <v>0.6</v>
      </c>
      <c r="P5" s="582">
        <v>0.08</v>
      </c>
      <c r="Q5" s="583">
        <v>0.01</v>
      </c>
    </row>
    <row r="6" spans="1:17" x14ac:dyDescent="0.25">
      <c r="A6">
        <v>22.86</v>
      </c>
      <c r="B6" s="581">
        <v>0.18</v>
      </c>
      <c r="C6" s="577">
        <v>9.1439999999999994E-3</v>
      </c>
      <c r="D6" s="581">
        <v>0.7</v>
      </c>
      <c r="E6" s="577">
        <v>6.0959999999999999E-3</v>
      </c>
      <c r="F6" s="584">
        <v>0.18</v>
      </c>
      <c r="G6" s="579">
        <v>3.048E-2</v>
      </c>
      <c r="H6" s="585">
        <v>0.01</v>
      </c>
      <c r="I6">
        <v>7.0104E-2</v>
      </c>
      <c r="N6" s="581">
        <v>0.18</v>
      </c>
      <c r="O6" s="581">
        <v>0.7</v>
      </c>
      <c r="P6" s="582">
        <v>0.18</v>
      </c>
      <c r="Q6" s="583">
        <v>0.01</v>
      </c>
    </row>
    <row r="7" spans="1:17" x14ac:dyDescent="0.25">
      <c r="A7">
        <v>30.48</v>
      </c>
      <c r="B7" s="581">
        <v>0.15</v>
      </c>
      <c r="C7" s="578">
        <v>6.0959999999999999E-3</v>
      </c>
      <c r="D7" s="581">
        <v>0.72</v>
      </c>
      <c r="E7" s="578">
        <v>9.1439999999999994E-3</v>
      </c>
      <c r="F7" s="584">
        <v>0.24</v>
      </c>
      <c r="G7" s="579">
        <v>0.24384</v>
      </c>
      <c r="H7" s="585">
        <v>0.02</v>
      </c>
      <c r="I7">
        <v>5.4864000000000003E-2</v>
      </c>
      <c r="N7" s="581">
        <v>0.15</v>
      </c>
      <c r="O7" s="581">
        <v>0.72</v>
      </c>
      <c r="P7" s="582">
        <v>0.24</v>
      </c>
      <c r="Q7" s="583">
        <v>0.02</v>
      </c>
    </row>
    <row r="8" spans="1:17" x14ac:dyDescent="0.25">
      <c r="A8" s="576"/>
      <c r="B8" s="577"/>
      <c r="C8" s="577"/>
    </row>
    <row r="9" spans="1:17" x14ac:dyDescent="0.25">
      <c r="A9" s="576"/>
      <c r="B9" s="599"/>
      <c r="C9" s="599"/>
    </row>
    <row r="10" spans="1:17" x14ac:dyDescent="0.25">
      <c r="A10" s="576"/>
      <c r="B10" s="599"/>
      <c r="C10" s="599"/>
    </row>
    <row r="11" spans="1:17" x14ac:dyDescent="0.25">
      <c r="A11" s="576"/>
      <c r="B11" s="599"/>
      <c r="C11" s="599"/>
    </row>
    <row r="12" spans="1:17" x14ac:dyDescent="0.25">
      <c r="A12" s="576"/>
      <c r="B12" s="599"/>
      <c r="C12" s="599"/>
    </row>
    <row r="13" spans="1:17" x14ac:dyDescent="0.25">
      <c r="A13" s="576"/>
      <c r="B13" s="599"/>
      <c r="C13" s="599"/>
    </row>
    <row r="14" spans="1:17" x14ac:dyDescent="0.25">
      <c r="A14" s="576"/>
      <c r="B14" s="579"/>
      <c r="C14" s="579"/>
    </row>
    <row r="15" spans="1:17" x14ac:dyDescent="0.25">
      <c r="A15" s="576"/>
      <c r="B15" s="579"/>
      <c r="C15" s="579"/>
    </row>
    <row r="16" spans="1:17" x14ac:dyDescent="0.25">
      <c r="A16" s="576"/>
      <c r="B16" s="579"/>
      <c r="C16" s="579"/>
    </row>
    <row r="17" spans="1:3" x14ac:dyDescent="0.25">
      <c r="A17" s="576"/>
      <c r="B17" s="579"/>
      <c r="C17" s="579"/>
    </row>
    <row r="18" spans="1:3" x14ac:dyDescent="0.25">
      <c r="A18" s="576"/>
      <c r="B18" s="580"/>
      <c r="C18" s="580"/>
    </row>
    <row r="19" spans="1:3" x14ac:dyDescent="0.25">
      <c r="A19" s="576"/>
      <c r="B19" s="580"/>
      <c r="C19" s="580"/>
    </row>
    <row r="20" spans="1:3" x14ac:dyDescent="0.25">
      <c r="A20" s="576"/>
      <c r="B20" s="580"/>
      <c r="C20" s="580"/>
    </row>
    <row r="21" spans="1:3" x14ac:dyDescent="0.25">
      <c r="A21" s="576"/>
      <c r="B21" s="580"/>
      <c r="C21" s="580"/>
    </row>
    <row r="22" spans="1:3" x14ac:dyDescent="0.25">
      <c r="A22" s="576"/>
      <c r="B22" s="579"/>
      <c r="C22" s="579"/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"/>
  <sheetViews>
    <sheetView workbookViewId="0">
      <selection activeCell="C3" sqref="C3:F7"/>
    </sheetView>
  </sheetViews>
  <sheetFormatPr defaultRowHeight="15" x14ac:dyDescent="0.25"/>
  <cols>
    <col min="3" max="7" width="27.7109375" customWidth="1"/>
  </cols>
  <sheetData>
    <row r="1" spans="1:6" x14ac:dyDescent="0.25">
      <c r="A1" t="s">
        <v>209</v>
      </c>
    </row>
    <row r="2" spans="1:6" x14ac:dyDescent="0.25">
      <c r="B2" s="2" t="s">
        <v>195</v>
      </c>
      <c r="C2" s="2" t="s">
        <v>190</v>
      </c>
      <c r="D2" s="2" t="s">
        <v>191</v>
      </c>
      <c r="E2" s="2" t="s">
        <v>192</v>
      </c>
      <c r="F2" s="2" t="s">
        <v>193</v>
      </c>
    </row>
    <row r="3" spans="1:6" x14ac:dyDescent="0.25">
      <c r="B3" s="576">
        <v>0</v>
      </c>
      <c r="C3" s="581">
        <f>'-ITER'!AF4</f>
        <v>0.28999999999999998</v>
      </c>
      <c r="D3" s="581">
        <f>'-ITER'!AF9</f>
        <v>0.76</v>
      </c>
      <c r="E3" s="584">
        <f>'-ITER'!AF14</f>
        <v>0.03</v>
      </c>
      <c r="F3" s="585">
        <f>'-ITER'!AF19</f>
        <v>0.04</v>
      </c>
    </row>
    <row r="4" spans="1:6" x14ac:dyDescent="0.25">
      <c r="B4" s="576">
        <v>25</v>
      </c>
      <c r="C4" s="581">
        <f>'-ITER'!AF5</f>
        <v>0.15</v>
      </c>
      <c r="D4" s="581">
        <f>'-ITER'!AF10</f>
        <v>0.36</v>
      </c>
      <c r="E4" s="584">
        <f>'-ITER'!AF15</f>
        <v>0.04</v>
      </c>
      <c r="F4" s="585">
        <f>'-ITER'!AF20</f>
        <v>0.03</v>
      </c>
    </row>
    <row r="5" spans="1:6" x14ac:dyDescent="0.25">
      <c r="B5" s="576">
        <v>50</v>
      </c>
      <c r="C5" s="581">
        <f>'-ITER'!AF6</f>
        <v>0.17</v>
      </c>
      <c r="D5" s="581">
        <f>'-ITER'!AF11</f>
        <v>0.6</v>
      </c>
      <c r="E5" s="584">
        <f>'-ITER'!AF16</f>
        <v>0.08</v>
      </c>
      <c r="F5" s="585">
        <f>'-ITER'!AF21</f>
        <v>0.01</v>
      </c>
    </row>
    <row r="6" spans="1:6" x14ac:dyDescent="0.25">
      <c r="B6" s="576">
        <v>75</v>
      </c>
      <c r="C6" s="581">
        <f>'-ITER'!AF7</f>
        <v>0.18</v>
      </c>
      <c r="D6" s="581">
        <f>'-ITER'!AF12</f>
        <v>0.7</v>
      </c>
      <c r="E6" s="584">
        <f>'-ITER'!AF17</f>
        <v>0.18</v>
      </c>
      <c r="F6" s="585">
        <f>'-ITER'!AF22</f>
        <v>0.01</v>
      </c>
    </row>
    <row r="7" spans="1:6" x14ac:dyDescent="0.25">
      <c r="B7" s="576">
        <v>100</v>
      </c>
      <c r="C7" s="581">
        <f>'-ITER'!AF8</f>
        <v>0.15</v>
      </c>
      <c r="D7" s="581">
        <f>'-ITER'!AF13</f>
        <v>0.72</v>
      </c>
      <c r="E7" s="584">
        <f>'-ITER'!AF18</f>
        <v>0.24</v>
      </c>
      <c r="F7" s="585">
        <f>'-ITER'!AF23</f>
        <v>0.02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2"/>
  <sheetViews>
    <sheetView zoomScale="70" zoomScaleNormal="70" workbookViewId="0">
      <selection activeCell="H3" activeCellId="3" sqref="B3:B7 D3:D7 F3:F7 H3:H7"/>
    </sheetView>
  </sheetViews>
  <sheetFormatPr defaultRowHeight="15" x14ac:dyDescent="0.25"/>
  <cols>
    <col min="1" max="1" width="18.140625" customWidth="1"/>
    <col min="2" max="3" width="24.5703125" customWidth="1"/>
    <col min="4" max="5" width="11.140625" customWidth="1"/>
    <col min="6" max="7" width="10.85546875" customWidth="1"/>
    <col min="8" max="8" width="23.42578125" customWidth="1"/>
  </cols>
  <sheetData>
    <row r="1" spans="1:17" x14ac:dyDescent="0.25">
      <c r="A1" t="s">
        <v>194</v>
      </c>
      <c r="B1" t="s">
        <v>224</v>
      </c>
      <c r="C1" t="s">
        <v>228</v>
      </c>
      <c r="D1" t="s">
        <v>227</v>
      </c>
      <c r="E1" t="s">
        <v>228</v>
      </c>
      <c r="F1" t="s">
        <v>226</v>
      </c>
      <c r="G1" t="s">
        <v>228</v>
      </c>
      <c r="H1" t="s">
        <v>225</v>
      </c>
      <c r="I1" t="s">
        <v>228</v>
      </c>
    </row>
    <row r="2" spans="1:17" x14ac:dyDescent="0.25">
      <c r="A2" t="s">
        <v>195</v>
      </c>
      <c r="B2" t="s">
        <v>231</v>
      </c>
      <c r="C2" t="s">
        <v>221</v>
      </c>
      <c r="D2" t="s">
        <v>231</v>
      </c>
      <c r="E2" t="s">
        <v>221</v>
      </c>
      <c r="F2" t="s">
        <v>231</v>
      </c>
      <c r="G2" t="s">
        <v>221</v>
      </c>
      <c r="H2" t="s">
        <v>231</v>
      </c>
      <c r="I2" t="s">
        <v>221</v>
      </c>
      <c r="N2" s="2" t="s">
        <v>190</v>
      </c>
      <c r="O2" s="2" t="s">
        <v>191</v>
      </c>
      <c r="P2" s="2" t="s">
        <v>192</v>
      </c>
      <c r="Q2" s="2" t="s">
        <v>193</v>
      </c>
    </row>
    <row r="3" spans="1:17" x14ac:dyDescent="0.25">
      <c r="A3">
        <v>0</v>
      </c>
      <c r="B3" s="581">
        <v>0.28999999999999998</v>
      </c>
      <c r="C3" s="577">
        <v>3.0479999999999999E-3</v>
      </c>
      <c r="D3" s="581">
        <v>0.76</v>
      </c>
      <c r="E3" s="598">
        <v>3.0479999999999999E-3</v>
      </c>
      <c r="F3" s="584">
        <v>0.03</v>
      </c>
      <c r="G3" s="579">
        <v>0.36575999999999997</v>
      </c>
      <c r="H3" s="585">
        <v>0.04</v>
      </c>
      <c r="I3">
        <v>3.3528000000000002E-2</v>
      </c>
      <c r="N3" s="581">
        <v>0.28999999999999998</v>
      </c>
      <c r="O3" s="581">
        <v>0.76</v>
      </c>
      <c r="P3" s="582">
        <v>0.03</v>
      </c>
      <c r="Q3" s="583">
        <v>0.04</v>
      </c>
    </row>
    <row r="4" spans="1:17" x14ac:dyDescent="0.25">
      <c r="A4">
        <v>7.62</v>
      </c>
      <c r="B4" s="581">
        <v>0.15</v>
      </c>
      <c r="C4" s="577">
        <v>3.0479999999999999E-3</v>
      </c>
      <c r="D4" s="581">
        <v>0.36</v>
      </c>
      <c r="E4" s="577">
        <v>6.0959999999999999E-3</v>
      </c>
      <c r="F4" s="584">
        <v>0.04</v>
      </c>
      <c r="G4" s="579">
        <v>0.24384</v>
      </c>
      <c r="H4" s="585">
        <v>0.03</v>
      </c>
      <c r="I4">
        <v>3.6575999999999997E-2</v>
      </c>
      <c r="N4" s="581">
        <v>0.15</v>
      </c>
      <c r="O4" s="581">
        <v>0.36</v>
      </c>
      <c r="P4" s="582">
        <v>0.04</v>
      </c>
      <c r="Q4" s="583">
        <v>0.03</v>
      </c>
    </row>
    <row r="5" spans="1:17" x14ac:dyDescent="0.25">
      <c r="A5">
        <v>15.24</v>
      </c>
      <c r="B5" s="581">
        <v>0.17</v>
      </c>
      <c r="C5" s="577">
        <v>6.0959999999999999E-3</v>
      </c>
      <c r="D5" s="581">
        <v>0.6</v>
      </c>
      <c r="E5" s="577">
        <v>6.0959999999999999E-3</v>
      </c>
      <c r="F5" s="584">
        <v>0.08</v>
      </c>
      <c r="G5" s="579">
        <v>0.21335999999999999</v>
      </c>
      <c r="H5" s="585">
        <v>0.01</v>
      </c>
      <c r="I5">
        <v>5.7911999999999998E-2</v>
      </c>
      <c r="N5" s="581">
        <v>0.17</v>
      </c>
      <c r="O5" s="581">
        <v>0.6</v>
      </c>
      <c r="P5" s="582">
        <v>0.08</v>
      </c>
      <c r="Q5" s="583">
        <v>0.01</v>
      </c>
    </row>
    <row r="6" spans="1:17" x14ac:dyDescent="0.25">
      <c r="A6">
        <v>22.86</v>
      </c>
      <c r="B6" s="581">
        <v>0.18</v>
      </c>
      <c r="C6" s="577">
        <v>9.1439999999999994E-3</v>
      </c>
      <c r="D6" s="581">
        <v>0.7</v>
      </c>
      <c r="E6" s="577">
        <v>6.0959999999999999E-3</v>
      </c>
      <c r="F6" s="584">
        <v>0.18</v>
      </c>
      <c r="G6" s="579">
        <v>3.048E-2</v>
      </c>
      <c r="H6" s="585">
        <v>0.01</v>
      </c>
      <c r="I6">
        <v>7.0104E-2</v>
      </c>
      <c r="N6" s="581">
        <v>0.18</v>
      </c>
      <c r="O6" s="581">
        <v>0.7</v>
      </c>
      <c r="P6" s="582">
        <v>0.18</v>
      </c>
      <c r="Q6" s="583">
        <v>0.01</v>
      </c>
    </row>
    <row r="7" spans="1:17" x14ac:dyDescent="0.25">
      <c r="A7">
        <v>30.48</v>
      </c>
      <c r="B7" s="581">
        <v>0.15</v>
      </c>
      <c r="C7" s="578">
        <v>6.0959999999999999E-3</v>
      </c>
      <c r="D7" s="581">
        <v>0.72</v>
      </c>
      <c r="E7" s="578">
        <v>9.1439999999999994E-3</v>
      </c>
      <c r="F7" s="584">
        <v>0.24</v>
      </c>
      <c r="G7" s="579">
        <v>0.24384</v>
      </c>
      <c r="H7" s="585">
        <v>0.02</v>
      </c>
      <c r="I7">
        <v>5.4864000000000003E-2</v>
      </c>
      <c r="N7" s="581">
        <v>0.15</v>
      </c>
      <c r="O7" s="581">
        <v>0.72</v>
      </c>
      <c r="P7" s="582">
        <v>0.24</v>
      </c>
      <c r="Q7" s="583">
        <v>0.02</v>
      </c>
    </row>
    <row r="8" spans="1:17" x14ac:dyDescent="0.25">
      <c r="A8" s="576"/>
      <c r="B8" s="577"/>
      <c r="C8" s="577"/>
    </row>
    <row r="9" spans="1:17" x14ac:dyDescent="0.25">
      <c r="A9" s="576"/>
      <c r="B9" s="599"/>
      <c r="C9" s="599"/>
    </row>
    <row r="10" spans="1:17" x14ac:dyDescent="0.25">
      <c r="A10" s="576"/>
      <c r="B10" s="599"/>
      <c r="C10" s="599"/>
    </row>
    <row r="11" spans="1:17" x14ac:dyDescent="0.25">
      <c r="A11" s="576"/>
      <c r="B11" s="599"/>
      <c r="C11" s="599"/>
    </row>
    <row r="12" spans="1:17" x14ac:dyDescent="0.25">
      <c r="A12" s="576"/>
      <c r="B12" s="599"/>
      <c r="C12" s="599"/>
    </row>
    <row r="13" spans="1:17" x14ac:dyDescent="0.25">
      <c r="A13" s="576"/>
      <c r="B13" s="599"/>
      <c r="C13" s="599"/>
    </row>
    <row r="14" spans="1:17" x14ac:dyDescent="0.25">
      <c r="A14" s="576"/>
      <c r="B14" s="579"/>
      <c r="C14" s="579"/>
    </row>
    <row r="15" spans="1:17" x14ac:dyDescent="0.25">
      <c r="A15" s="576"/>
      <c r="B15" s="579"/>
      <c r="C15" s="579"/>
    </row>
    <row r="16" spans="1:17" x14ac:dyDescent="0.25">
      <c r="A16" s="576"/>
      <c r="B16" s="579"/>
      <c r="C16" s="579"/>
    </row>
    <row r="17" spans="1:3" x14ac:dyDescent="0.25">
      <c r="A17" s="576"/>
      <c r="B17" s="579"/>
      <c r="C17" s="579"/>
    </row>
    <row r="18" spans="1:3" x14ac:dyDescent="0.25">
      <c r="A18" s="576"/>
      <c r="B18" s="580"/>
      <c r="C18" s="580"/>
    </row>
    <row r="19" spans="1:3" x14ac:dyDescent="0.25">
      <c r="A19" s="576"/>
      <c r="B19" s="580"/>
      <c r="C19" s="580"/>
    </row>
    <row r="20" spans="1:3" x14ac:dyDescent="0.25">
      <c r="A20" s="576"/>
      <c r="B20" s="580"/>
      <c r="C20" s="580"/>
    </row>
    <row r="21" spans="1:3" x14ac:dyDescent="0.25">
      <c r="A21" s="576"/>
      <c r="B21" s="580"/>
      <c r="C21" s="580"/>
    </row>
    <row r="22" spans="1:3" x14ac:dyDescent="0.25">
      <c r="A22" s="576"/>
      <c r="B22" s="579"/>
      <c r="C22" s="579"/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42"/>
  <sheetViews>
    <sheetView topLeftCell="E18" workbookViewId="0">
      <selection activeCell="T38" sqref="T38"/>
    </sheetView>
  </sheetViews>
  <sheetFormatPr defaultRowHeight="15" x14ac:dyDescent="0.25"/>
  <cols>
    <col min="2" max="2" width="12.7109375" customWidth="1"/>
    <col min="3" max="3" width="17.7109375" style="613" customWidth="1"/>
    <col min="4" max="5" width="12.7109375" style="613" customWidth="1"/>
    <col min="6" max="7" width="9.140625" style="612"/>
    <col min="15" max="15" width="9.85546875" customWidth="1"/>
  </cols>
  <sheetData>
    <row r="1" spans="1:27" x14ac:dyDescent="0.25">
      <c r="C1" s="279"/>
      <c r="D1" s="279"/>
      <c r="E1" s="279"/>
      <c r="F1" s="279"/>
      <c r="G1" s="279"/>
    </row>
    <row r="2" spans="1:27" x14ac:dyDescent="0.25">
      <c r="C2" s="279"/>
      <c r="D2" s="279"/>
      <c r="E2" s="279"/>
      <c r="F2" s="279"/>
      <c r="G2" s="279"/>
      <c r="I2" t="s">
        <v>228</v>
      </c>
      <c r="Q2" t="s">
        <v>243</v>
      </c>
      <c r="R2" t="s">
        <v>243</v>
      </c>
      <c r="S2" t="s">
        <v>243</v>
      </c>
      <c r="T2" t="s">
        <v>243</v>
      </c>
      <c r="U2" t="s">
        <v>243</v>
      </c>
    </row>
    <row r="3" spans="1:27" x14ac:dyDescent="0.25">
      <c r="A3" t="s">
        <v>226</v>
      </c>
      <c r="B3" t="s">
        <v>233</v>
      </c>
      <c r="C3" s="614" t="s">
        <v>240</v>
      </c>
      <c r="D3" s="614"/>
      <c r="E3" s="618" t="s">
        <v>242</v>
      </c>
      <c r="F3" s="615" t="s">
        <v>232</v>
      </c>
      <c r="G3" s="615"/>
      <c r="I3" t="s">
        <v>221</v>
      </c>
      <c r="K3" t="s">
        <v>236</v>
      </c>
      <c r="L3" t="s">
        <v>237</v>
      </c>
      <c r="M3" t="s">
        <v>238</v>
      </c>
      <c r="N3" t="s">
        <v>235</v>
      </c>
      <c r="O3" t="s">
        <v>239</v>
      </c>
      <c r="Q3" t="s">
        <v>244</v>
      </c>
      <c r="R3" t="s">
        <v>245</v>
      </c>
      <c r="S3" t="s">
        <v>246</v>
      </c>
      <c r="T3" t="s">
        <v>247</v>
      </c>
      <c r="U3" t="s">
        <v>248</v>
      </c>
      <c r="W3" s="581"/>
      <c r="X3" s="581"/>
      <c r="Y3" s="584"/>
      <c r="Z3" s="585"/>
      <c r="AA3" s="580"/>
    </row>
    <row r="4" spans="1:27" x14ac:dyDescent="0.25">
      <c r="B4">
        <v>0</v>
      </c>
      <c r="C4" s="614">
        <v>1.8940272000000001E-2</v>
      </c>
      <c r="D4" s="614" t="s">
        <v>241</v>
      </c>
      <c r="E4" s="618">
        <f>C4*1000</f>
        <v>18.940272</v>
      </c>
      <c r="F4" s="615">
        <v>0.56820816000000007</v>
      </c>
      <c r="G4" s="615" t="s">
        <v>234</v>
      </c>
      <c r="I4" s="606">
        <v>0.36575999999999997</v>
      </c>
      <c r="K4" s="579">
        <v>7.8</v>
      </c>
      <c r="L4" s="596">
        <v>0.51</v>
      </c>
      <c r="M4" s="582">
        <v>0.4</v>
      </c>
      <c r="N4" s="582">
        <v>280</v>
      </c>
      <c r="O4" s="584">
        <v>0.03</v>
      </c>
      <c r="Q4">
        <f>K4*$E4*3600*24/1000000</f>
        <v>12.764228106240001</v>
      </c>
      <c r="R4">
        <f>L4*$E4*3600*24/1000000</f>
        <v>0.83458414540800008</v>
      </c>
      <c r="S4">
        <f t="shared" ref="R4:U8" si="0">M4*$E4*3600*24/1000000</f>
        <v>0.65457580031999996</v>
      </c>
      <c r="T4">
        <f t="shared" si="0"/>
        <v>458.20306022400007</v>
      </c>
      <c r="U4">
        <f t="shared" si="0"/>
        <v>4.9093185024000001E-2</v>
      </c>
      <c r="W4" s="581"/>
      <c r="X4" s="581"/>
      <c r="Y4" s="584"/>
      <c r="Z4" s="585"/>
      <c r="AA4" s="580"/>
    </row>
    <row r="5" spans="1:27" x14ac:dyDescent="0.25">
      <c r="B5">
        <v>7.62</v>
      </c>
      <c r="C5" s="614">
        <v>1.4199108000000002E-2</v>
      </c>
      <c r="D5" s="614" t="s">
        <v>241</v>
      </c>
      <c r="E5" s="618">
        <f t="shared" ref="E5:E8" si="1">C5*1000</f>
        <v>14.199108000000003</v>
      </c>
      <c r="F5" s="615">
        <v>0.42597324000000003</v>
      </c>
      <c r="G5" s="615" t="s">
        <v>234</v>
      </c>
      <c r="I5" s="606">
        <v>0.24384</v>
      </c>
      <c r="K5" s="579">
        <v>21.6</v>
      </c>
      <c r="L5" s="596">
        <v>0.41199999999999998</v>
      </c>
      <c r="M5" s="582">
        <v>2.2000000000000002</v>
      </c>
      <c r="N5" s="582">
        <v>363.4535020080321</v>
      </c>
      <c r="O5" s="584">
        <v>0.04</v>
      </c>
      <c r="Q5">
        <f t="shared" ref="Q5:Q8" si="2">K5*$E5*3600*24/1000000</f>
        <v>26.498943313920009</v>
      </c>
      <c r="R5">
        <f t="shared" si="0"/>
        <v>0.50544280765439997</v>
      </c>
      <c r="S5">
        <f t="shared" si="0"/>
        <v>2.6989664486400011</v>
      </c>
      <c r="T5">
        <f t="shared" si="0"/>
        <v>445.88582161835899</v>
      </c>
      <c r="U5">
        <f t="shared" si="0"/>
        <v>4.9072117248000008E-2</v>
      </c>
      <c r="W5" s="581"/>
      <c r="X5" s="581"/>
      <c r="Y5" s="584"/>
      <c r="Z5" s="585"/>
      <c r="AA5" s="580"/>
    </row>
    <row r="6" spans="1:27" x14ac:dyDescent="0.25">
      <c r="B6">
        <v>15.24</v>
      </c>
      <c r="C6" s="614">
        <v>1.0805693400000002E-2</v>
      </c>
      <c r="D6" s="614" t="s">
        <v>241</v>
      </c>
      <c r="E6" s="618">
        <f t="shared" si="1"/>
        <v>10.805693400000001</v>
      </c>
      <c r="F6" s="615">
        <v>0.32417080200000004</v>
      </c>
      <c r="G6" s="615" t="s">
        <v>234</v>
      </c>
      <c r="I6" s="606">
        <v>0.21335999999999999</v>
      </c>
      <c r="K6" s="579">
        <v>22</v>
      </c>
      <c r="L6" s="596">
        <v>1.081</v>
      </c>
      <c r="M6" s="582">
        <v>0.6</v>
      </c>
      <c r="N6" s="582">
        <v>389.53770643482</v>
      </c>
      <c r="O6" s="584">
        <v>0.08</v>
      </c>
      <c r="Q6">
        <f t="shared" si="2"/>
        <v>20.539462014720002</v>
      </c>
      <c r="R6">
        <f t="shared" si="0"/>
        <v>1.0092344744505601</v>
      </c>
      <c r="S6">
        <f t="shared" si="0"/>
        <v>0.56016714585600003</v>
      </c>
      <c r="T6">
        <f t="shared" si="0"/>
        <v>363.67704202814258</v>
      </c>
      <c r="U6">
        <f t="shared" si="0"/>
        <v>7.4688952780799997E-2</v>
      </c>
      <c r="W6" s="581"/>
      <c r="X6" s="581"/>
      <c r="Y6" s="584"/>
      <c r="Z6" s="585"/>
      <c r="AA6" s="580"/>
    </row>
    <row r="7" spans="1:27" x14ac:dyDescent="0.25">
      <c r="B7">
        <v>22.86</v>
      </c>
      <c r="C7" s="614">
        <v>1.8648806999999996E-2</v>
      </c>
      <c r="D7" s="614" t="s">
        <v>241</v>
      </c>
      <c r="E7" s="618">
        <f t="shared" si="1"/>
        <v>18.648806999999998</v>
      </c>
      <c r="F7" s="615">
        <v>0.55946420999999991</v>
      </c>
      <c r="G7" s="615" t="s">
        <v>234</v>
      </c>
      <c r="I7" s="606">
        <v>3.048E-2</v>
      </c>
      <c r="K7" s="579">
        <v>34.4</v>
      </c>
      <c r="L7" s="596">
        <v>0.50900000000000001</v>
      </c>
      <c r="M7" s="582">
        <v>2.6</v>
      </c>
      <c r="N7" s="582">
        <v>372.68581467600887</v>
      </c>
      <c r="O7" s="584">
        <v>0.18</v>
      </c>
      <c r="Q7">
        <f t="shared" si="2"/>
        <v>55.427238213119992</v>
      </c>
      <c r="R7">
        <f t="shared" si="0"/>
        <v>0.82012977472319992</v>
      </c>
      <c r="S7">
        <f t="shared" si="0"/>
        <v>4.1892680044799997</v>
      </c>
      <c r="T7">
        <f t="shared" si="0"/>
        <v>600.49259967144872</v>
      </c>
      <c r="U7">
        <f t="shared" si="0"/>
        <v>0.29002624646399999</v>
      </c>
      <c r="W7" s="581"/>
      <c r="X7" s="581"/>
      <c r="Y7" s="584"/>
      <c r="Z7" s="585"/>
      <c r="AA7" s="579"/>
    </row>
    <row r="8" spans="1:27" s="509" customFormat="1" x14ac:dyDescent="0.25">
      <c r="B8" s="509">
        <v>30.48</v>
      </c>
      <c r="C8" s="614">
        <v>1.455801E-2</v>
      </c>
      <c r="D8" s="614" t="s">
        <v>241</v>
      </c>
      <c r="E8" s="618">
        <f t="shared" si="1"/>
        <v>14.558009999999999</v>
      </c>
      <c r="F8" s="615">
        <v>0.43674029999999997</v>
      </c>
      <c r="G8" s="615" t="s">
        <v>234</v>
      </c>
      <c r="I8" s="606">
        <v>0.24384</v>
      </c>
      <c r="K8" s="579">
        <v>29.4</v>
      </c>
      <c r="L8" s="596">
        <v>0.47299999999999998</v>
      </c>
      <c r="M8" s="582">
        <v>0.4</v>
      </c>
      <c r="N8" s="582">
        <v>315.04432426116841</v>
      </c>
      <c r="O8" s="584">
        <v>0.24</v>
      </c>
      <c r="Q8">
        <f t="shared" si="2"/>
        <v>36.979674681599988</v>
      </c>
      <c r="R8">
        <f t="shared" si="0"/>
        <v>0.59494510627199992</v>
      </c>
      <c r="S8">
        <f t="shared" si="0"/>
        <v>0.50312482559999994</v>
      </c>
      <c r="T8">
        <f t="shared" si="0"/>
        <v>396.26655175042544</v>
      </c>
      <c r="U8">
        <f t="shared" si="0"/>
        <v>0.30187489535999995</v>
      </c>
    </row>
    <row r="9" spans="1:27" s="601" customFormat="1" ht="15.75" thickBot="1" x14ac:dyDescent="0.3">
      <c r="C9" s="616"/>
      <c r="D9" s="616"/>
      <c r="E9" s="616"/>
      <c r="F9" s="616"/>
      <c r="G9" s="616"/>
      <c r="I9" s="602"/>
      <c r="M9" s="603"/>
      <c r="N9" s="605"/>
      <c r="O9" s="602"/>
    </row>
    <row r="10" spans="1:27" s="509" customFormat="1" x14ac:dyDescent="0.25">
      <c r="C10" s="617"/>
      <c r="D10" s="617"/>
      <c r="E10" s="617"/>
      <c r="F10" s="617"/>
      <c r="G10" s="617"/>
      <c r="I10" s="579"/>
      <c r="M10" s="578"/>
      <c r="N10" s="582"/>
      <c r="O10" s="579"/>
      <c r="Q10"/>
      <c r="R10"/>
      <c r="S10"/>
      <c r="T10"/>
      <c r="U10"/>
    </row>
    <row r="11" spans="1:27" x14ac:dyDescent="0.25">
      <c r="C11" s="279"/>
      <c r="D11" s="279"/>
      <c r="E11" s="279"/>
      <c r="F11" s="279"/>
      <c r="G11" s="279"/>
      <c r="I11" t="s">
        <v>228</v>
      </c>
      <c r="Q11" t="s">
        <v>243</v>
      </c>
      <c r="R11" t="s">
        <v>243</v>
      </c>
      <c r="S11" t="s">
        <v>243</v>
      </c>
      <c r="T11" t="s">
        <v>243</v>
      </c>
      <c r="U11" t="s">
        <v>243</v>
      </c>
    </row>
    <row r="12" spans="1:27" x14ac:dyDescent="0.25">
      <c r="A12" t="s">
        <v>225</v>
      </c>
      <c r="B12" t="s">
        <v>233</v>
      </c>
      <c r="C12" s="614" t="s">
        <v>240</v>
      </c>
      <c r="D12" s="614"/>
      <c r="E12" s="618" t="s">
        <v>242</v>
      </c>
      <c r="F12" s="615" t="s">
        <v>232</v>
      </c>
      <c r="G12" s="615"/>
      <c r="I12" t="s">
        <v>221</v>
      </c>
      <c r="Q12" t="s">
        <v>244</v>
      </c>
      <c r="R12" t="s">
        <v>245</v>
      </c>
      <c r="S12" t="s">
        <v>246</v>
      </c>
      <c r="T12" t="s">
        <v>247</v>
      </c>
      <c r="U12" t="s">
        <v>248</v>
      </c>
    </row>
    <row r="13" spans="1:27" x14ac:dyDescent="0.25">
      <c r="B13">
        <v>0</v>
      </c>
      <c r="C13" s="614">
        <v>4.1494710000000001E-3</v>
      </c>
      <c r="D13" s="614" t="s">
        <v>241</v>
      </c>
      <c r="E13" s="618">
        <f>C13*1000</f>
        <v>4.1494710000000001</v>
      </c>
      <c r="F13" s="615">
        <v>0.12448413</v>
      </c>
      <c r="G13" s="615" t="s">
        <v>234</v>
      </c>
      <c r="I13" s="607">
        <v>3.3528000000000002E-2</v>
      </c>
      <c r="K13" s="580">
        <v>59.4</v>
      </c>
      <c r="L13" s="509">
        <v>3.3528000000000002E-2</v>
      </c>
      <c r="M13" s="583">
        <v>1</v>
      </c>
      <c r="N13" s="583">
        <v>518.39910891089119</v>
      </c>
      <c r="O13" s="585">
        <v>0.04</v>
      </c>
      <c r="Q13">
        <f t="shared" ref="Q13:Q34" si="3">K13*$E13*3600*24/1000000</f>
        <v>21.295749087360001</v>
      </c>
      <c r="R13">
        <f t="shared" ref="R13:R34" si="4">L13*$E13*3600*24/1000000</f>
        <v>1.2020267262643202E-2</v>
      </c>
      <c r="S13">
        <f t="shared" ref="S13:S34" si="5">M13*$E13*3600*24/1000000</f>
        <v>0.35851429439999999</v>
      </c>
      <c r="T13">
        <f t="shared" ref="T13:T34" si="6">N13*$E13*3600*24/1000000</f>
        <v>185.85349074877692</v>
      </c>
      <c r="U13">
        <f t="shared" ref="U13:U34" si="7">O13*$E13*3600*24/1000000</f>
        <v>1.4340571776000002E-2</v>
      </c>
    </row>
    <row r="14" spans="1:27" x14ac:dyDescent="0.25">
      <c r="B14">
        <v>7.62</v>
      </c>
      <c r="C14" s="614">
        <v>5.2326540000000006E-3</v>
      </c>
      <c r="D14" s="614" t="s">
        <v>241</v>
      </c>
      <c r="E14" s="618">
        <f t="shared" ref="E14:E17" si="8">C14*1000</f>
        <v>5.232654000000001</v>
      </c>
      <c r="F14" s="615">
        <v>0.15697962000000001</v>
      </c>
      <c r="G14" s="615" t="s">
        <v>234</v>
      </c>
      <c r="I14" s="607">
        <v>3.6575999999999997E-2</v>
      </c>
      <c r="K14" s="580">
        <v>30.6</v>
      </c>
      <c r="L14" s="509">
        <v>3.6575999999999997E-2</v>
      </c>
      <c r="M14" s="583">
        <v>0.9</v>
      </c>
      <c r="N14" s="583">
        <v>441.03764210404347</v>
      </c>
      <c r="O14" s="585">
        <v>0.03</v>
      </c>
      <c r="Q14">
        <f t="shared" si="3"/>
        <v>13.834299951360002</v>
      </c>
      <c r="R14">
        <f t="shared" si="4"/>
        <v>1.6536057353625601E-2</v>
      </c>
      <c r="S14">
        <f t="shared" si="5"/>
        <v>0.40689117504000011</v>
      </c>
      <c r="T14">
        <f t="shared" si="6"/>
        <v>199.39369381398362</v>
      </c>
      <c r="U14">
        <f t="shared" si="7"/>
        <v>1.3563039168000003E-2</v>
      </c>
    </row>
    <row r="15" spans="1:27" x14ac:dyDescent="0.25">
      <c r="B15">
        <v>15.24</v>
      </c>
      <c r="C15" s="614">
        <v>6.9966840000000013E-3</v>
      </c>
      <c r="D15" s="614" t="s">
        <v>241</v>
      </c>
      <c r="E15" s="618">
        <f t="shared" si="8"/>
        <v>6.996684000000001</v>
      </c>
      <c r="F15" s="615">
        <v>0.20990052000000003</v>
      </c>
      <c r="G15" s="615" t="s">
        <v>234</v>
      </c>
      <c r="I15" s="607">
        <v>5.7911999999999998E-2</v>
      </c>
      <c r="K15" s="580">
        <v>34.624000000000002</v>
      </c>
      <c r="L15" s="509">
        <v>5.7911999999999998E-2</v>
      </c>
      <c r="M15" s="583">
        <v>1.2</v>
      </c>
      <c r="N15" s="583">
        <v>682.18329727111256</v>
      </c>
      <c r="O15" s="585">
        <v>0.01</v>
      </c>
      <c r="Q15">
        <f t="shared" si="3"/>
        <v>20.930675340902404</v>
      </c>
      <c r="R15">
        <f t="shared" si="4"/>
        <v>3.5008585673011197E-2</v>
      </c>
      <c r="S15">
        <f t="shared" si="5"/>
        <v>0.72541619712000005</v>
      </c>
      <c r="T15">
        <f t="shared" si="6"/>
        <v>412.38901103766085</v>
      </c>
      <c r="U15">
        <f t="shared" si="7"/>
        <v>6.0451349760000011E-3</v>
      </c>
    </row>
    <row r="16" spans="1:27" x14ac:dyDescent="0.25">
      <c r="B16">
        <v>22.86</v>
      </c>
      <c r="C16" s="614">
        <v>4.3075860000000004E-3</v>
      </c>
      <c r="D16" s="614" t="s">
        <v>241</v>
      </c>
      <c r="E16" s="618">
        <f t="shared" si="8"/>
        <v>4.3075860000000006</v>
      </c>
      <c r="F16" s="615">
        <v>0.12922758000000001</v>
      </c>
      <c r="G16" s="615" t="s">
        <v>234</v>
      </c>
      <c r="I16" s="607">
        <v>7.0104E-2</v>
      </c>
      <c r="K16" s="580">
        <v>18.064</v>
      </c>
      <c r="L16" s="509">
        <v>7.0104E-2</v>
      </c>
      <c r="M16" s="583">
        <v>0.6</v>
      </c>
      <c r="N16" s="583">
        <v>682.85401273885338</v>
      </c>
      <c r="O16" s="585">
        <v>0.01</v>
      </c>
      <c r="Q16">
        <f t="shared" si="3"/>
        <v>6.7229769747455999</v>
      </c>
      <c r="R16">
        <f t="shared" si="4"/>
        <v>2.6090986372761603E-2</v>
      </c>
      <c r="S16">
        <f t="shared" si="5"/>
        <v>0.22330525824000003</v>
      </c>
      <c r="T16">
        <f t="shared" si="6"/>
        <v>254.14148609144988</v>
      </c>
      <c r="U16">
        <f t="shared" si="7"/>
        <v>3.7217543040000004E-3</v>
      </c>
    </row>
    <row r="17" spans="1:21" s="509" customFormat="1" x14ac:dyDescent="0.25">
      <c r="B17" s="509">
        <v>30.48</v>
      </c>
      <c r="C17" s="614">
        <v>9.9654359999999994E-3</v>
      </c>
      <c r="D17" s="614" t="s">
        <v>241</v>
      </c>
      <c r="E17" s="618">
        <f t="shared" si="8"/>
        <v>9.9654359999999986</v>
      </c>
      <c r="F17" s="615">
        <v>0.29896307999999999</v>
      </c>
      <c r="G17" s="615" t="s">
        <v>234</v>
      </c>
      <c r="I17" s="608">
        <v>5.4864000000000003E-2</v>
      </c>
      <c r="J17" s="614" t="s">
        <v>240</v>
      </c>
      <c r="K17" s="579">
        <v>35.555</v>
      </c>
      <c r="L17" s="509">
        <v>5.4864000000000003E-2</v>
      </c>
      <c r="M17" s="583">
        <v>0.7</v>
      </c>
      <c r="N17" s="583">
        <v>644.66597687892579</v>
      </c>
      <c r="O17" s="585">
        <v>0.02</v>
      </c>
      <c r="Q17">
        <f t="shared" si="3"/>
        <v>30.613341051071995</v>
      </c>
      <c r="R17">
        <f t="shared" si="4"/>
        <v>4.7238654012825586E-2</v>
      </c>
      <c r="S17">
        <f t="shared" si="5"/>
        <v>0.60270956927999997</v>
      </c>
      <c r="T17">
        <f t="shared" si="6"/>
        <v>555.0662189345253</v>
      </c>
      <c r="U17">
        <f t="shared" si="7"/>
        <v>1.7220273407999996E-2</v>
      </c>
    </row>
    <row r="18" spans="1:21" s="509" customFormat="1" x14ac:dyDescent="0.25">
      <c r="C18" s="617"/>
      <c r="D18" s="617"/>
      <c r="E18" s="617"/>
      <c r="F18" s="617"/>
      <c r="G18" s="617"/>
      <c r="N18" s="583"/>
      <c r="Q18"/>
      <c r="R18"/>
      <c r="S18"/>
      <c r="T18"/>
      <c r="U18"/>
    </row>
    <row r="19" spans="1:21" s="601" customFormat="1" ht="15.75" thickBot="1" x14ac:dyDescent="0.3">
      <c r="C19" s="616"/>
      <c r="D19" s="616"/>
      <c r="E19" s="616"/>
      <c r="F19" s="616"/>
      <c r="G19" s="616"/>
      <c r="N19" s="604"/>
    </row>
    <row r="20" spans="1:21" x14ac:dyDescent="0.25">
      <c r="C20" s="279"/>
      <c r="D20" s="279"/>
      <c r="E20" s="279"/>
      <c r="F20" s="279"/>
      <c r="G20" s="279"/>
      <c r="I20" t="s">
        <v>228</v>
      </c>
      <c r="Q20" t="s">
        <v>243</v>
      </c>
      <c r="R20" t="s">
        <v>243</v>
      </c>
      <c r="S20" t="s">
        <v>243</v>
      </c>
      <c r="T20" t="s">
        <v>243</v>
      </c>
      <c r="U20" t="s">
        <v>243</v>
      </c>
    </row>
    <row r="21" spans="1:21" x14ac:dyDescent="0.25">
      <c r="A21" t="s">
        <v>224</v>
      </c>
      <c r="B21" t="s">
        <v>233</v>
      </c>
      <c r="C21" s="614" t="s">
        <v>240</v>
      </c>
      <c r="D21" s="614"/>
      <c r="E21" s="618" t="s">
        <v>242</v>
      </c>
      <c r="F21" s="615" t="s">
        <v>232</v>
      </c>
      <c r="G21" s="615"/>
      <c r="I21" t="s">
        <v>221</v>
      </c>
      <c r="Q21" t="s">
        <v>244</v>
      </c>
      <c r="R21" t="s">
        <v>245</v>
      </c>
      <c r="S21" t="s">
        <v>246</v>
      </c>
      <c r="T21" t="s">
        <v>247</v>
      </c>
      <c r="U21" t="s">
        <v>248</v>
      </c>
    </row>
    <row r="22" spans="1:21" x14ac:dyDescent="0.25">
      <c r="B22">
        <v>0</v>
      </c>
      <c r="C22" s="614">
        <v>6.9342000000000001E-5</v>
      </c>
      <c r="D22" s="614" t="s">
        <v>241</v>
      </c>
      <c r="E22" s="618">
        <f>C22*1000</f>
        <v>6.9342000000000001E-2</v>
      </c>
      <c r="F22" s="615">
        <v>2.08026E-3</v>
      </c>
      <c r="G22" s="615" t="s">
        <v>234</v>
      </c>
      <c r="I22" s="609">
        <v>3.0479999999999999E-3</v>
      </c>
      <c r="K22" s="577">
        <v>6.2169999999999996</v>
      </c>
      <c r="L22" s="600">
        <v>3.9895641160177902</v>
      </c>
      <c r="M22" s="581">
        <v>0.8</v>
      </c>
      <c r="N22" s="581">
        <v>502.26807422133862</v>
      </c>
      <c r="O22" s="581">
        <v>0.28999999999999998</v>
      </c>
      <c r="Q22">
        <f t="shared" si="3"/>
        <v>3.724697208959999E-2</v>
      </c>
      <c r="R22">
        <f t="shared" si="4"/>
        <v>2.3902072266203046E-2</v>
      </c>
      <c r="S22">
        <f t="shared" si="5"/>
        <v>4.7929190400000004E-3</v>
      </c>
      <c r="T22">
        <f t="shared" si="6"/>
        <v>3.0091627701494841</v>
      </c>
      <c r="U22">
        <f t="shared" si="7"/>
        <v>1.7374331519999999E-3</v>
      </c>
    </row>
    <row r="23" spans="1:21" x14ac:dyDescent="0.25">
      <c r="B23">
        <v>7.62</v>
      </c>
      <c r="C23" s="614">
        <v>4.6100999999999998E-5</v>
      </c>
      <c r="D23" s="614" t="s">
        <v>241</v>
      </c>
      <c r="E23" s="618">
        <f t="shared" ref="E23:E26" si="9">C23*1000</f>
        <v>4.6100999999999996E-2</v>
      </c>
      <c r="F23" s="615">
        <v>1.3830299999999999E-3</v>
      </c>
      <c r="G23" s="615" t="s">
        <v>234</v>
      </c>
      <c r="I23" s="609">
        <v>3.0479999999999999E-3</v>
      </c>
      <c r="K23" s="577">
        <v>5.593</v>
      </c>
      <c r="L23" s="600">
        <v>10.3516359196975</v>
      </c>
      <c r="M23" s="581">
        <v>2</v>
      </c>
      <c r="N23" s="581">
        <v>496.75624499900971</v>
      </c>
      <c r="O23" s="581">
        <v>0.15</v>
      </c>
      <c r="Q23">
        <f t="shared" si="3"/>
        <v>2.2277625955199998E-2</v>
      </c>
      <c r="R23">
        <f t="shared" si="4"/>
        <v>4.1231874314935392E-2</v>
      </c>
      <c r="S23">
        <f t="shared" si="5"/>
        <v>7.9662527999999986E-3</v>
      </c>
      <c r="T23">
        <f t="shared" si="6"/>
        <v>1.9786429138204233</v>
      </c>
      <c r="U23">
        <f t="shared" si="7"/>
        <v>5.9746895999999994E-4</v>
      </c>
    </row>
    <row r="24" spans="1:21" x14ac:dyDescent="0.25">
      <c r="B24">
        <v>15.24</v>
      </c>
      <c r="C24" s="614">
        <v>1.96596E-4</v>
      </c>
      <c r="D24" s="614" t="s">
        <v>241</v>
      </c>
      <c r="E24" s="618">
        <f t="shared" si="9"/>
        <v>0.19659599999999999</v>
      </c>
      <c r="F24" s="615">
        <v>5.8978800000000003E-3</v>
      </c>
      <c r="G24" s="615" t="s">
        <v>234</v>
      </c>
      <c r="I24" s="609">
        <v>6.0959999999999999E-3</v>
      </c>
      <c r="K24" s="577">
        <v>2.323</v>
      </c>
      <c r="L24" s="600">
        <v>7.1855290919649599</v>
      </c>
      <c r="M24" s="581">
        <v>2.6</v>
      </c>
      <c r="N24" s="581">
        <v>498.50577506613757</v>
      </c>
      <c r="O24" s="581">
        <v>0.17</v>
      </c>
      <c r="Q24">
        <f t="shared" si="3"/>
        <v>3.9458232691199996E-2</v>
      </c>
      <c r="R24">
        <f t="shared" si="4"/>
        <v>0.12205263836424471</v>
      </c>
      <c r="S24">
        <f t="shared" si="5"/>
        <v>4.4163325439999998E-2</v>
      </c>
      <c r="T24">
        <f t="shared" si="6"/>
        <v>8.4675664530635668</v>
      </c>
      <c r="U24">
        <f t="shared" si="7"/>
        <v>2.8876020480000006E-3</v>
      </c>
    </row>
    <row r="25" spans="1:21" x14ac:dyDescent="0.25">
      <c r="B25">
        <v>22.86</v>
      </c>
      <c r="C25" s="614">
        <v>1.3944600000000005E-4</v>
      </c>
      <c r="D25" s="614" t="s">
        <v>241</v>
      </c>
      <c r="E25" s="618">
        <f t="shared" si="9"/>
        <v>0.13944600000000004</v>
      </c>
      <c r="F25" s="615">
        <v>4.1833800000000013E-3</v>
      </c>
      <c r="G25" s="615" t="s">
        <v>234</v>
      </c>
      <c r="I25" s="609">
        <v>9.1439999999999994E-3</v>
      </c>
      <c r="K25" s="577">
        <v>1.2070000000000001</v>
      </c>
      <c r="L25" s="600">
        <v>8.3798176244601308</v>
      </c>
      <c r="M25" s="581">
        <v>1</v>
      </c>
      <c r="N25" s="581">
        <v>495.29925636007829</v>
      </c>
      <c r="O25" s="581">
        <v>0.18</v>
      </c>
      <c r="Q25">
        <f t="shared" si="3"/>
        <v>1.4542098220800007E-2</v>
      </c>
      <c r="R25">
        <f t="shared" si="4"/>
        <v>0.10096116898698441</v>
      </c>
      <c r="S25">
        <f t="shared" si="5"/>
        <v>1.2048134400000002E-2</v>
      </c>
      <c r="T25">
        <f t="shared" si="6"/>
        <v>5.9674320088462798</v>
      </c>
      <c r="U25">
        <f t="shared" si="7"/>
        <v>2.1686641920000008E-3</v>
      </c>
    </row>
    <row r="26" spans="1:21" x14ac:dyDescent="0.25">
      <c r="B26">
        <v>30.48</v>
      </c>
      <c r="C26" s="614">
        <v>2.0345399999999999E-4</v>
      </c>
      <c r="D26" s="614" t="s">
        <v>241</v>
      </c>
      <c r="E26" s="618">
        <f t="shared" si="9"/>
        <v>0.203454</v>
      </c>
      <c r="F26" s="615">
        <v>6.1036199999999997E-3</v>
      </c>
      <c r="G26" s="615" t="s">
        <v>234</v>
      </c>
      <c r="I26" s="610">
        <v>6.0959999999999999E-3</v>
      </c>
      <c r="K26" s="578">
        <v>1.845</v>
      </c>
      <c r="L26" s="600">
        <v>7.1615385833197793</v>
      </c>
      <c r="M26" s="581">
        <v>2.7</v>
      </c>
      <c r="N26" s="581">
        <v>493.56928236614505</v>
      </c>
      <c r="O26" s="581">
        <v>0.15</v>
      </c>
      <c r="Q26">
        <f t="shared" si="3"/>
        <v>3.2432195232E-2</v>
      </c>
      <c r="R26">
        <f t="shared" si="4"/>
        <v>0.12588857316841615</v>
      </c>
      <c r="S26">
        <f t="shared" si="5"/>
        <v>4.7461749120000001E-2</v>
      </c>
      <c r="T26">
        <f t="shared" si="6"/>
        <v>8.6761709085186727</v>
      </c>
      <c r="U26">
        <f t="shared" si="7"/>
        <v>2.63676384E-3</v>
      </c>
    </row>
    <row r="27" spans="1:21" s="601" customFormat="1" ht="15.75" thickBot="1" x14ac:dyDescent="0.3">
      <c r="C27" s="616"/>
      <c r="D27" s="616"/>
      <c r="E27" s="616"/>
      <c r="F27" s="616"/>
      <c r="G27" s="616"/>
      <c r="I27" s="603"/>
    </row>
    <row r="28" spans="1:21" x14ac:dyDescent="0.25">
      <c r="C28" s="279"/>
      <c r="D28" s="279"/>
      <c r="E28" s="279"/>
      <c r="F28" s="279"/>
      <c r="G28" s="279"/>
      <c r="I28" t="s">
        <v>228</v>
      </c>
      <c r="Q28" t="s">
        <v>243</v>
      </c>
      <c r="R28" t="s">
        <v>243</v>
      </c>
      <c r="S28" t="s">
        <v>243</v>
      </c>
      <c r="T28" t="s">
        <v>243</v>
      </c>
      <c r="U28" t="s">
        <v>243</v>
      </c>
    </row>
    <row r="29" spans="1:21" x14ac:dyDescent="0.25">
      <c r="A29" t="s">
        <v>227</v>
      </c>
      <c r="B29" t="s">
        <v>233</v>
      </c>
      <c r="C29" s="614" t="s">
        <v>240</v>
      </c>
      <c r="D29" s="614"/>
      <c r="E29" s="618" t="s">
        <v>242</v>
      </c>
      <c r="F29" s="615" t="s">
        <v>232</v>
      </c>
      <c r="G29" s="615"/>
      <c r="I29" t="s">
        <v>221</v>
      </c>
      <c r="Q29" t="s">
        <v>244</v>
      </c>
      <c r="R29" t="s">
        <v>245</v>
      </c>
      <c r="S29" t="s">
        <v>246</v>
      </c>
      <c r="T29" t="s">
        <v>247</v>
      </c>
      <c r="U29" t="s">
        <v>248</v>
      </c>
    </row>
    <row r="30" spans="1:21" x14ac:dyDescent="0.25">
      <c r="B30">
        <v>0</v>
      </c>
      <c r="C30" s="614">
        <v>7.2390000000000003E-5</v>
      </c>
      <c r="D30" s="614" t="s">
        <v>241</v>
      </c>
      <c r="E30" s="618">
        <f>C30*1000</f>
        <v>7.239000000000001E-2</v>
      </c>
      <c r="F30" s="615">
        <v>2.1716999999999999E-3</v>
      </c>
      <c r="G30" s="615" t="s">
        <v>234</v>
      </c>
      <c r="I30" s="611">
        <v>3.0479999999999999E-3</v>
      </c>
      <c r="K30" s="577">
        <v>5.0949999999999998</v>
      </c>
      <c r="L30" s="600">
        <v>50.8043201714068</v>
      </c>
      <c r="M30" s="581">
        <v>4.2</v>
      </c>
      <c r="N30" s="581">
        <v>762.78304074145581</v>
      </c>
      <c r="O30" s="581">
        <v>0.76</v>
      </c>
      <c r="Q30">
        <f>K30*$E30*3600*24/1000000</f>
        <v>3.1866657120000003E-2</v>
      </c>
      <c r="R30">
        <f t="shared" si="4"/>
        <v>0.31775541729478324</v>
      </c>
      <c r="S30">
        <f t="shared" si="5"/>
        <v>2.6268883200000002E-2</v>
      </c>
      <c r="T30">
        <f t="shared" si="6"/>
        <v>4.7708234771852736</v>
      </c>
      <c r="U30">
        <f t="shared" si="7"/>
        <v>4.7534169600000004E-3</v>
      </c>
    </row>
    <row r="31" spans="1:21" x14ac:dyDescent="0.25">
      <c r="B31">
        <v>7.62</v>
      </c>
      <c r="C31" s="614">
        <v>7.7724000000000003E-5</v>
      </c>
      <c r="D31" s="614" t="s">
        <v>241</v>
      </c>
      <c r="E31" s="618">
        <f t="shared" ref="E31:E34" si="10">C31*1000</f>
        <v>7.7724000000000001E-2</v>
      </c>
      <c r="F31" s="615">
        <v>2.3317200000000002E-3</v>
      </c>
      <c r="G31" s="615" t="s">
        <v>234</v>
      </c>
      <c r="I31" s="609">
        <v>6.0959999999999999E-3</v>
      </c>
      <c r="K31" s="577">
        <v>3.8410000000000002</v>
      </c>
      <c r="L31" s="600">
        <v>50.414718984087202</v>
      </c>
      <c r="M31" s="581">
        <v>1.5</v>
      </c>
      <c r="N31" s="581">
        <v>760.59935335296052</v>
      </c>
      <c r="O31" s="581">
        <v>0.36</v>
      </c>
      <c r="Q31">
        <f t="shared" si="3"/>
        <v>2.57936731776E-2</v>
      </c>
      <c r="R31">
        <f t="shared" si="4"/>
        <v>0.33855266462277839</v>
      </c>
      <c r="S31">
        <f t="shared" si="5"/>
        <v>1.00730304E-2</v>
      </c>
      <c r="T31">
        <f>N31*$E31*3600*24/1000000</f>
        <v>5.1076936056964763</v>
      </c>
      <c r="U31">
        <f t="shared" si="7"/>
        <v>2.4175272960000002E-3</v>
      </c>
    </row>
    <row r="32" spans="1:21" x14ac:dyDescent="0.25">
      <c r="B32">
        <v>15.24</v>
      </c>
      <c r="C32" s="614">
        <v>1.1277600000000001E-4</v>
      </c>
      <c r="D32" s="614" t="s">
        <v>241</v>
      </c>
      <c r="E32" s="618">
        <f t="shared" si="10"/>
        <v>0.112776</v>
      </c>
      <c r="F32" s="615">
        <v>3.3832800000000002E-3</v>
      </c>
      <c r="G32" s="615" t="s">
        <v>234</v>
      </c>
      <c r="I32" s="609">
        <v>6.0959999999999999E-3</v>
      </c>
      <c r="K32" s="577">
        <v>3.5459999999999998</v>
      </c>
      <c r="L32" s="600">
        <v>48.9178257660745</v>
      </c>
      <c r="M32" s="581">
        <v>1.4</v>
      </c>
      <c r="N32" s="581">
        <v>757.72704062009416</v>
      </c>
      <c r="O32" s="581">
        <v>0.6</v>
      </c>
      <c r="Q32">
        <f t="shared" si="3"/>
        <v>3.4551679334399996E-2</v>
      </c>
      <c r="R32">
        <f t="shared" si="4"/>
        <v>0.47664778048659234</v>
      </c>
      <c r="S32">
        <f t="shared" si="5"/>
        <v>1.3641384959999999E-2</v>
      </c>
      <c r="T32">
        <f t="shared" si="6"/>
        <v>7.3831758969287593</v>
      </c>
      <c r="U32">
        <f t="shared" si="7"/>
        <v>5.8463078399999995E-3</v>
      </c>
    </row>
    <row r="33" spans="2:21" x14ac:dyDescent="0.25">
      <c r="B33">
        <v>22.86</v>
      </c>
      <c r="C33" s="614">
        <v>1.0058400000000002E-4</v>
      </c>
      <c r="D33" s="614" t="s">
        <v>241</v>
      </c>
      <c r="E33" s="618">
        <f t="shared" si="10"/>
        <v>0.10058400000000002</v>
      </c>
      <c r="F33" s="615">
        <v>3.017520000000001E-3</v>
      </c>
      <c r="G33" s="615" t="s">
        <v>234</v>
      </c>
      <c r="I33" s="609">
        <v>6.0959999999999999E-3</v>
      </c>
      <c r="K33" s="577">
        <v>3.4049999999999998</v>
      </c>
      <c r="L33" s="600">
        <v>48.775438885627004</v>
      </c>
      <c r="M33" s="581">
        <v>0.6</v>
      </c>
      <c r="N33" s="581">
        <v>758.95882606988607</v>
      </c>
      <c r="O33" s="581">
        <v>0.7</v>
      </c>
      <c r="Q33">
        <f t="shared" si="3"/>
        <v>2.9591008128000005E-2</v>
      </c>
      <c r="R33">
        <f t="shared" si="4"/>
        <v>0.42388088355693282</v>
      </c>
      <c r="S33">
        <f t="shared" si="5"/>
        <v>5.2142745600000017E-3</v>
      </c>
      <c r="T33">
        <f t="shared" si="6"/>
        <v>6.5956994981061223</v>
      </c>
      <c r="U33">
        <f t="shared" si="7"/>
        <v>6.083320320000001E-3</v>
      </c>
    </row>
    <row r="34" spans="2:21" x14ac:dyDescent="0.25">
      <c r="B34">
        <v>30.48</v>
      </c>
      <c r="C34" s="614">
        <v>1.8745200000000001E-4</v>
      </c>
      <c r="D34" s="614" t="s">
        <v>241</v>
      </c>
      <c r="E34" s="618">
        <f t="shared" si="10"/>
        <v>0.18745200000000001</v>
      </c>
      <c r="F34" s="615">
        <v>5.6235600000000005E-3</v>
      </c>
      <c r="G34" s="615" t="s">
        <v>234</v>
      </c>
      <c r="I34" s="610">
        <v>9.1439999999999994E-3</v>
      </c>
      <c r="K34" s="578">
        <v>3.1629999999999998</v>
      </c>
      <c r="L34" s="600">
        <v>48.124751574430796</v>
      </c>
      <c r="M34" s="581">
        <v>0.7</v>
      </c>
      <c r="N34" s="581">
        <v>752.68473707909152</v>
      </c>
      <c r="O34" s="581">
        <v>0.72</v>
      </c>
      <c r="Q34">
        <f t="shared" si="3"/>
        <v>5.1227482406400009E-2</v>
      </c>
      <c r="R34">
        <f t="shared" si="4"/>
        <v>0.77942139253604947</v>
      </c>
      <c r="S34">
        <f t="shared" si="5"/>
        <v>1.1337096960000001E-2</v>
      </c>
      <c r="T34">
        <f t="shared" si="6"/>
        <v>12.190371206539668</v>
      </c>
      <c r="U34">
        <f t="shared" si="7"/>
        <v>1.1661014015999999E-2</v>
      </c>
    </row>
    <row r="35" spans="2:21" x14ac:dyDescent="0.25">
      <c r="C35" s="279"/>
      <c r="D35" s="279"/>
      <c r="E35" s="279"/>
      <c r="F35" s="279"/>
      <c r="G35" s="279"/>
      <c r="I35" s="578"/>
    </row>
    <row r="36" spans="2:21" x14ac:dyDescent="0.25">
      <c r="C36" s="279"/>
      <c r="D36" s="279"/>
      <c r="E36" s="279"/>
      <c r="F36" s="279"/>
      <c r="G36" s="279"/>
    </row>
    <row r="37" spans="2:21" x14ac:dyDescent="0.25">
      <c r="C37" s="279"/>
      <c r="D37" s="279"/>
      <c r="E37" s="279"/>
      <c r="F37" s="279"/>
      <c r="G37" s="279"/>
    </row>
    <row r="38" spans="2:21" x14ac:dyDescent="0.25">
      <c r="C38" s="279"/>
      <c r="D38" s="279"/>
      <c r="E38" s="279"/>
      <c r="F38" s="279"/>
      <c r="G38" s="279"/>
    </row>
    <row r="39" spans="2:21" x14ac:dyDescent="0.25">
      <c r="C39" s="279"/>
      <c r="D39" s="279"/>
      <c r="E39" s="279"/>
      <c r="F39" s="279"/>
      <c r="G39" s="279"/>
    </row>
    <row r="40" spans="2:21" x14ac:dyDescent="0.25">
      <c r="C40" s="279"/>
      <c r="D40" s="279"/>
      <c r="E40" s="279"/>
      <c r="F40" s="279"/>
      <c r="G40" s="279"/>
    </row>
    <row r="41" spans="2:21" x14ac:dyDescent="0.25">
      <c r="C41" s="279"/>
      <c r="D41" s="279"/>
      <c r="E41" s="279"/>
      <c r="F41" s="279"/>
      <c r="G41" s="279"/>
    </row>
    <row r="42" spans="2:21" x14ac:dyDescent="0.25">
      <c r="C42" s="279"/>
      <c r="D42" s="279"/>
      <c r="E42" s="279"/>
      <c r="F42" s="279"/>
      <c r="G42" s="279"/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"/>
  <sheetViews>
    <sheetView workbookViewId="0">
      <selection activeCell="D3" sqref="D3:D7"/>
    </sheetView>
  </sheetViews>
  <sheetFormatPr defaultRowHeight="15" x14ac:dyDescent="0.25"/>
  <cols>
    <col min="3" max="7" width="27.7109375" customWidth="1"/>
  </cols>
  <sheetData>
    <row r="1" spans="1:6" x14ac:dyDescent="0.25">
      <c r="A1" t="s">
        <v>208</v>
      </c>
    </row>
    <row r="2" spans="1:6" x14ac:dyDescent="0.25">
      <c r="B2" s="2" t="s">
        <v>195</v>
      </c>
      <c r="C2" s="2" t="s">
        <v>190</v>
      </c>
      <c r="D2" s="2" t="s">
        <v>191</v>
      </c>
      <c r="E2" s="2" t="s">
        <v>192</v>
      </c>
      <c r="F2" s="2" t="s">
        <v>193</v>
      </c>
    </row>
    <row r="3" spans="1:6" x14ac:dyDescent="0.25">
      <c r="B3" s="576">
        <v>0</v>
      </c>
      <c r="C3" s="581">
        <f>'Thesis results'!BE4/1000</f>
        <v>1.3719702236254091E-2</v>
      </c>
      <c r="D3" s="581">
        <f>'Thesis results'!BE9/1000</f>
        <v>0.24809587618445014</v>
      </c>
      <c r="E3" s="582"/>
      <c r="F3" s="583"/>
    </row>
    <row r="4" spans="1:6" x14ac:dyDescent="0.25">
      <c r="B4" s="576">
        <v>25</v>
      </c>
      <c r="C4" s="581">
        <f>'Thesis results'!BE5/1000</f>
        <v>1.6957211964377418E-2</v>
      </c>
      <c r="D4" s="581">
        <f>'Thesis results'!BE10/1000</f>
        <v>0.24951183067385985</v>
      </c>
      <c r="E4" s="584">
        <f>'Thesis results'!BE15/1000</f>
        <v>2.5605222446689568E-2</v>
      </c>
      <c r="F4" s="583"/>
    </row>
    <row r="5" spans="1:6" x14ac:dyDescent="0.25">
      <c r="B5" s="576">
        <v>50</v>
      </c>
      <c r="C5" s="581">
        <f>'Thesis results'!BE6/1000</f>
        <v>2.2045297563419969E-2</v>
      </c>
      <c r="D5" s="581">
        <f>'Thesis results'!BE11/1000</f>
        <v>0.24943557638470706</v>
      </c>
      <c r="E5" s="584">
        <f>'Thesis results'!BE16/1000</f>
        <v>2.6102175389789928E-2</v>
      </c>
      <c r="F5" s="585">
        <f>'Thesis results'!BE21/1000</f>
        <v>4.5778269641863351E-2</v>
      </c>
    </row>
    <row r="6" spans="1:6" x14ac:dyDescent="0.25">
      <c r="B6" s="576">
        <v>75</v>
      </c>
      <c r="C6" s="581">
        <f>'Thesis results'!BE7/1000</f>
        <v>3.1673614481235977E-2</v>
      </c>
      <c r="D6" s="581">
        <f>'Thesis results'!BE12/1000</f>
        <v>0.24918073958948397</v>
      </c>
      <c r="E6" s="584">
        <f>'Thesis results'!BE17/1000</f>
        <v>2.5828747241613503E-2</v>
      </c>
      <c r="F6" s="585">
        <f>'Thesis results'!BE22/1000</f>
        <v>4.1274807971503666E-2</v>
      </c>
    </row>
    <row r="7" spans="1:6" x14ac:dyDescent="0.25">
      <c r="B7" s="576">
        <v>100</v>
      </c>
      <c r="C7" s="581">
        <f>'Thesis results'!BE8/1000</f>
        <v>2.363905713653984E-2</v>
      </c>
      <c r="D7" s="581">
        <f>'Thesis results'!BE13/1000</f>
        <v>0.2535970847838922</v>
      </c>
      <c r="E7" s="584">
        <f>'Thesis results'!BE18/1000</f>
        <v>2.5595405534842443E-2</v>
      </c>
      <c r="F7" s="585">
        <f>'Thesis results'!BE23/1000</f>
        <v>4.1884383534753565E-2</v>
      </c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7"/>
  <sheetViews>
    <sheetView workbookViewId="0">
      <selection activeCell="D3" sqref="D3:D7"/>
    </sheetView>
  </sheetViews>
  <sheetFormatPr defaultRowHeight="15" x14ac:dyDescent="0.25"/>
  <cols>
    <col min="3" max="7" width="27.7109375" customWidth="1"/>
  </cols>
  <sheetData>
    <row r="1" spans="1:6" x14ac:dyDescent="0.25">
      <c r="A1" t="s">
        <v>207</v>
      </c>
    </row>
    <row r="2" spans="1:6" x14ac:dyDescent="0.25">
      <c r="B2" s="2" t="s">
        <v>195</v>
      </c>
      <c r="C2" s="2" t="s">
        <v>190</v>
      </c>
      <c r="D2" s="2" t="s">
        <v>191</v>
      </c>
      <c r="E2" s="2" t="s">
        <v>192</v>
      </c>
      <c r="F2" s="2" t="s">
        <v>193</v>
      </c>
    </row>
    <row r="3" spans="1:6" x14ac:dyDescent="0.25">
      <c r="B3" s="576">
        <v>0</v>
      </c>
      <c r="C3" s="581">
        <f>'Thesis results'!BI4/1000</f>
        <v>1.0459602704860261E-2</v>
      </c>
      <c r="D3" s="581">
        <f>'Thesis results'!BI9/1000</f>
        <v>3.7638164416215578E-2</v>
      </c>
      <c r="E3" s="582"/>
      <c r="F3" s="583"/>
    </row>
    <row r="4" spans="1:6" x14ac:dyDescent="0.25">
      <c r="B4" s="576">
        <v>25</v>
      </c>
      <c r="C4" s="581">
        <f>'Thesis results'!BI5/1000</f>
        <v>7.3781913948893557E-3</v>
      </c>
      <c r="D4" s="581">
        <f>'Thesis results'!BI10/1000</f>
        <v>2.4356543087070352E-2</v>
      </c>
      <c r="E4" s="584">
        <f>'Thesis results'!BI15/1000</f>
        <v>7.4216998720929668E-3</v>
      </c>
      <c r="F4" s="583"/>
    </row>
    <row r="5" spans="1:6" x14ac:dyDescent="0.25">
      <c r="B5" s="576">
        <v>50</v>
      </c>
      <c r="C5" s="581">
        <f>'Thesis results'!BI6/1000</f>
        <v>1.8456044766856309E-2</v>
      </c>
      <c r="D5" s="581">
        <f>'Thesis results'!BI11/1000</f>
        <v>2.7636701660350316E-2</v>
      </c>
      <c r="E5" s="584">
        <f>'Thesis results'!BI16/1000</f>
        <v>6.5746335669400807E-3</v>
      </c>
      <c r="F5" s="585">
        <f>'Thesis results'!BJ21/1000</f>
        <v>3.5418109800577548E-3</v>
      </c>
    </row>
    <row r="6" spans="1:6" x14ac:dyDescent="0.25">
      <c r="B6" s="576">
        <v>75</v>
      </c>
      <c r="C6" s="581">
        <f>'Thesis results'!BI7/1000</f>
        <v>1.7980732365177454E-2</v>
      </c>
      <c r="D6" s="581">
        <f>'Thesis results'!BI12/1000</f>
        <v>2.7580958942960265E-2</v>
      </c>
      <c r="E6" s="584">
        <f>'Thesis results'!BI17/1000</f>
        <v>6.9422110413979651E-3</v>
      </c>
      <c r="F6" s="585">
        <f>'Thesis results'!BJ22/1000</f>
        <v>1.6002874633172241E-4</v>
      </c>
    </row>
    <row r="7" spans="1:6" x14ac:dyDescent="0.25">
      <c r="B7" s="576">
        <v>100</v>
      </c>
      <c r="C7" s="581">
        <f>'Thesis results'!BI8/1000</f>
        <v>2.2738243825783603E-3</v>
      </c>
      <c r="D7" s="581">
        <f>'Thesis results'!BI13/1000</f>
        <v>2.9416875986456575E-2</v>
      </c>
      <c r="E7" s="584">
        <f>'Thesis results'!BI18/1000</f>
        <v>1.165E-3</v>
      </c>
      <c r="F7" s="585">
        <f>'Thesis results'!BJ23/1000</f>
        <v>5.1269784491203346E-4</v>
      </c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"/>
  <sheetViews>
    <sheetView workbookViewId="0">
      <selection activeCell="D3" sqref="D3:D7"/>
    </sheetView>
  </sheetViews>
  <sheetFormatPr defaultRowHeight="15" x14ac:dyDescent="0.25"/>
  <cols>
    <col min="3" max="7" width="27.7109375" customWidth="1"/>
  </cols>
  <sheetData>
    <row r="1" spans="1:6" x14ac:dyDescent="0.25">
      <c r="A1" t="s">
        <v>206</v>
      </c>
    </row>
    <row r="2" spans="1:6" x14ac:dyDescent="0.25">
      <c r="B2" s="2" t="s">
        <v>195</v>
      </c>
      <c r="C2" s="2" t="s">
        <v>190</v>
      </c>
      <c r="D2" s="2" t="s">
        <v>191</v>
      </c>
      <c r="E2" s="2" t="s">
        <v>192</v>
      </c>
      <c r="F2" s="2" t="s">
        <v>193</v>
      </c>
    </row>
    <row r="3" spans="1:6" x14ac:dyDescent="0.25">
      <c r="B3" s="576">
        <v>0</v>
      </c>
      <c r="C3" s="581">
        <f>'Thesis results'!BK4/1000</f>
        <v>8.4044265531339091E-2</v>
      </c>
      <c r="D3" s="581">
        <f>'Thesis results'!BK9/1000</f>
        <v>0.70164533653822225</v>
      </c>
      <c r="E3" s="582"/>
      <c r="F3" s="583"/>
    </row>
    <row r="4" spans="1:6" x14ac:dyDescent="0.25">
      <c r="B4" s="576">
        <v>25</v>
      </c>
      <c r="C4" s="581">
        <f>'Thesis results'!BK5/1000</f>
        <v>0.10007005120649215</v>
      </c>
      <c r="D4" s="581">
        <f>'Thesis results'!BK10/1000</f>
        <v>0.6193922949496351</v>
      </c>
      <c r="E4" s="582">
        <f>'Thesis results'!BK15/1000</f>
        <v>0.15833660035510513</v>
      </c>
      <c r="F4" s="583"/>
    </row>
    <row r="5" spans="1:6" x14ac:dyDescent="0.25">
      <c r="B5" s="576">
        <v>50</v>
      </c>
      <c r="C5" s="581">
        <f>'Thesis results'!BK6/1000</f>
        <v>0.13226804111839402</v>
      </c>
      <c r="D5" s="581">
        <f>'Thesis results'!BK11/1000</f>
        <v>0.605856642726186</v>
      </c>
      <c r="E5" s="582">
        <f>'Thesis results'!BK16/1000</f>
        <v>0.14320374573944639</v>
      </c>
      <c r="F5" s="583">
        <f>'Thesis results'!BK21/1000</f>
        <v>2.6054035742919641</v>
      </c>
    </row>
    <row r="6" spans="1:6" x14ac:dyDescent="0.25">
      <c r="B6" s="576">
        <v>75</v>
      </c>
      <c r="C6" s="581">
        <f>'Thesis results'!BK7/1000</f>
        <v>0.17828612701636393</v>
      </c>
      <c r="D6" s="581">
        <f>'Thesis results'!BK12/1000</f>
        <v>0.63691418819082468</v>
      </c>
      <c r="E6" s="582">
        <f>'Thesis results'!BK17/1000</f>
        <v>0.18452035126709512</v>
      </c>
      <c r="F6" s="583">
        <f>'Thesis results'!BK22/1000</f>
        <v>0.11770099421493588</v>
      </c>
    </row>
    <row r="7" spans="1:6" x14ac:dyDescent="0.25">
      <c r="B7" s="576">
        <v>100</v>
      </c>
      <c r="C7" s="581">
        <f>'Thesis results'!BK8/1000</f>
        <v>0.16087110356404702</v>
      </c>
      <c r="D7" s="581">
        <f>'Thesis results'!BK13/1000</f>
        <v>0.19816664752458049</v>
      </c>
      <c r="E7" s="582">
        <f>'Thesis results'!BK18/1000</f>
        <v>0.15272999903425605</v>
      </c>
      <c r="F7" s="583">
        <f>'Thesis results'!BK23/1000</f>
        <v>0.1503947172437638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7"/>
  <sheetViews>
    <sheetView workbookViewId="0">
      <selection activeCell="C39" sqref="C39"/>
    </sheetView>
  </sheetViews>
  <sheetFormatPr defaultRowHeight="15" x14ac:dyDescent="0.25"/>
  <cols>
    <col min="3" max="7" width="27.7109375" customWidth="1"/>
  </cols>
  <sheetData>
    <row r="1" spans="1:6" x14ac:dyDescent="0.25">
      <c r="A1" t="s">
        <v>205</v>
      </c>
    </row>
    <row r="2" spans="1:6" x14ac:dyDescent="0.25">
      <c r="B2" s="2" t="s">
        <v>195</v>
      </c>
      <c r="C2" s="2" t="s">
        <v>190</v>
      </c>
      <c r="D2" s="2" t="s">
        <v>191</v>
      </c>
      <c r="E2" s="2" t="s">
        <v>192</v>
      </c>
      <c r="F2" s="2" t="s">
        <v>193</v>
      </c>
    </row>
    <row r="3" spans="1:6" x14ac:dyDescent="0.25">
      <c r="B3" s="576">
        <v>0</v>
      </c>
      <c r="C3" s="581">
        <f>'Thesis results'!BG4/1000</f>
        <v>3.05829010344136E-2</v>
      </c>
      <c r="D3" s="581">
        <f>'Thesis results'!BG9/1000</f>
        <v>0.38783442480601094</v>
      </c>
      <c r="E3" s="582"/>
      <c r="F3" s="583"/>
    </row>
    <row r="4" spans="1:6" x14ac:dyDescent="0.25">
      <c r="B4" s="576">
        <v>25</v>
      </c>
      <c r="C4" s="581">
        <f>'Thesis results'!BG5/1000</f>
        <v>3.5586658655880551E-2</v>
      </c>
      <c r="D4" s="581">
        <f>'Thesis results'!BG10/1000</f>
        <v>0.38946686436574468</v>
      </c>
      <c r="E4" s="582">
        <f>'Thesis results'!BG15/1000</f>
        <v>5.2923296579161352E-2</v>
      </c>
      <c r="F4" s="583"/>
    </row>
    <row r="5" spans="1:6" x14ac:dyDescent="0.25">
      <c r="B5" s="576">
        <v>50</v>
      </c>
      <c r="C5" s="581">
        <f>'Thesis results'!BG6/1000</f>
        <v>4.2832652080268478E-2</v>
      </c>
      <c r="D5" s="581">
        <f>'Thesis results'!BG11/1000</f>
        <v>0.3854456236860459</v>
      </c>
      <c r="E5" s="582">
        <f>'Thesis results'!BG16/1000</f>
        <v>5.0776766163853772E-2</v>
      </c>
      <c r="F5" s="583">
        <f>'Thesis results'!BG21/1000</f>
        <v>9.9813505636800498E-2</v>
      </c>
    </row>
    <row r="6" spans="1:6" x14ac:dyDescent="0.25">
      <c r="B6" s="576">
        <v>75</v>
      </c>
      <c r="C6" s="581">
        <f>'Thesis results'!BG7/1000</f>
        <v>5.3373537347022354E-2</v>
      </c>
      <c r="D6" s="581">
        <f>'Thesis results'!BG12/1000</f>
        <v>0.38575987084933322</v>
      </c>
      <c r="E6" s="582">
        <f>'Thesis results'!BG17/1000</f>
        <v>5.2396391600405844E-2</v>
      </c>
      <c r="F6" s="583">
        <f>'Thesis results'!BG22/1000</f>
        <v>6.02272557823849E-2</v>
      </c>
    </row>
    <row r="7" spans="1:6" x14ac:dyDescent="0.25">
      <c r="B7" s="576">
        <v>100</v>
      </c>
      <c r="C7" s="581">
        <f>'Thesis results'!BG8/1000</f>
        <v>3.5827180335771799E-2</v>
      </c>
      <c r="D7" s="581">
        <f>'Thesis results'!BG13/1000</f>
        <v>0.39650953717277027</v>
      </c>
      <c r="E7" s="582">
        <f>'Thesis results'!BG18/1000</f>
        <v>5.1624132437527746E-2</v>
      </c>
      <c r="F7" s="583">
        <f>'Thesis results'!BG23/1000</f>
        <v>6.6819726237374019E-2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O47"/>
  <sheetViews>
    <sheetView zoomScale="70" zoomScaleNormal="70" workbookViewId="0">
      <pane xSplit="1" ySplit="3" topLeftCell="BW5" activePane="bottomRight" state="frozen"/>
      <selection pane="topRight" activeCell="B1" sqref="B1"/>
      <selection pane="bottomLeft" activeCell="A4" sqref="A4"/>
      <selection pane="bottomRight" activeCell="EG45" sqref="EG45"/>
    </sheetView>
  </sheetViews>
  <sheetFormatPr defaultColWidth="11.5703125" defaultRowHeight="15" x14ac:dyDescent="0.25"/>
  <cols>
    <col min="1" max="1" width="31" customWidth="1"/>
    <col min="2" max="2" width="6.85546875" bestFit="1" customWidth="1"/>
    <col min="3" max="3" width="8.140625" bestFit="1" customWidth="1"/>
    <col min="4" max="5" width="6.85546875" bestFit="1" customWidth="1"/>
    <col min="6" max="7" width="6.85546875" customWidth="1"/>
    <col min="8" max="8" width="7.28515625" bestFit="1" customWidth="1"/>
    <col min="9" max="9" width="5.7109375" bestFit="1" customWidth="1"/>
    <col min="10" max="10" width="8.140625" bestFit="1" customWidth="1"/>
    <col min="11" max="11" width="6" bestFit="1" customWidth="1"/>
    <col min="12" max="12" width="7.7109375" bestFit="1" customWidth="1"/>
    <col min="13" max="13" width="5.7109375" bestFit="1" customWidth="1"/>
    <col min="14" max="14" width="6.85546875" style="1" bestFit="1" customWidth="1"/>
    <col min="15" max="15" width="7.42578125" style="1" bestFit="1" customWidth="1"/>
    <col min="16" max="16" width="8.140625" style="1" bestFit="1" customWidth="1"/>
    <col min="17" max="19" width="6.85546875" style="1" bestFit="1" customWidth="1"/>
    <col min="20" max="20" width="7.28515625" style="1" bestFit="1" customWidth="1"/>
    <col min="21" max="21" width="5.7109375" style="1" bestFit="1" customWidth="1"/>
    <col min="22" max="22" width="6.7109375" style="1" bestFit="1" customWidth="1"/>
    <col min="23" max="23" width="8.140625" style="1" bestFit="1" customWidth="1"/>
    <col min="24" max="24" width="5.7109375" style="1" bestFit="1" customWidth="1"/>
    <col min="25" max="25" width="17.42578125" style="1" bestFit="1" customWidth="1"/>
    <col min="26" max="26" width="13" style="1" bestFit="1" customWidth="1"/>
    <col min="27" max="27" width="14.42578125" style="1" bestFit="1" customWidth="1"/>
    <col min="28" max="28" width="17.42578125" style="1" bestFit="1" customWidth="1"/>
    <col min="29" max="29" width="16" style="1" bestFit="1" customWidth="1"/>
    <col min="30" max="30" width="17.42578125" style="1" bestFit="1" customWidth="1"/>
    <col min="31" max="31" width="6.42578125" style="1" customWidth="1"/>
    <col min="32" max="32" width="7.42578125" style="1" bestFit="1" customWidth="1"/>
    <col min="33" max="34" width="8.5703125" style="1" bestFit="1" customWidth="1"/>
    <col min="35" max="35" width="11.7109375" style="1" bestFit="1" customWidth="1"/>
    <col min="36" max="36" width="11.140625" style="1" bestFit="1" customWidth="1"/>
    <col min="37" max="37" width="12.140625" style="1" bestFit="1" customWidth="1"/>
    <col min="38" max="38" width="8.140625" style="1" bestFit="1" customWidth="1"/>
    <col min="39" max="39" width="7.7109375" style="1" bestFit="1" customWidth="1"/>
    <col min="40" max="40" width="7.7109375" style="1" customWidth="1"/>
    <col min="41" max="43" width="7.28515625" style="1" bestFit="1" customWidth="1"/>
    <col min="44" max="44" width="10.28515625" style="1" bestFit="1" customWidth="1"/>
    <col min="45" max="45" width="7.28515625" style="1" bestFit="1" customWidth="1"/>
    <col min="46" max="46" width="10.28515625" style="1" bestFit="1" customWidth="1"/>
    <col min="47" max="49" width="7.28515625" style="1" bestFit="1" customWidth="1"/>
    <col min="50" max="50" width="11.5703125" style="1" bestFit="1" customWidth="1"/>
    <col min="51" max="51" width="11.5703125" style="1" customWidth="1"/>
    <col min="52" max="52" width="10.28515625" style="1" bestFit="1" customWidth="1"/>
    <col min="53" max="54" width="6.7109375" style="1" bestFit="1" customWidth="1"/>
    <col min="55" max="57" width="6.7109375" style="1" customWidth="1"/>
    <col min="58" max="58" width="8.140625" style="1" bestFit="1" customWidth="1"/>
    <col min="59" max="59" width="12.28515625" style="1" customWidth="1"/>
    <col min="60" max="60" width="6" style="1" bestFit="1" customWidth="1"/>
    <col min="61" max="61" width="6.7109375" style="275" bestFit="1" customWidth="1"/>
    <col min="62" max="62" width="11" style="275" customWidth="1"/>
    <col min="63" max="63" width="5" style="1" bestFit="1" customWidth="1"/>
    <col min="64" max="64" width="9.5703125" style="1" bestFit="1" customWidth="1"/>
    <col min="65" max="65" width="10.140625" style="1" bestFit="1" customWidth="1"/>
    <col min="66" max="66" width="11.140625" style="1" bestFit="1" customWidth="1"/>
    <col min="67" max="67" width="8.28515625" style="1" bestFit="1" customWidth="1"/>
    <col min="68" max="68" width="9.7109375" style="1" bestFit="1" customWidth="1"/>
    <col min="69" max="69" width="6.7109375" style="275" bestFit="1" customWidth="1"/>
    <col min="70" max="70" width="9.5703125" style="275" customWidth="1"/>
    <col min="71" max="71" width="6" style="1" bestFit="1" customWidth="1"/>
    <col min="72" max="72" width="6.85546875" style="1" bestFit="1" customWidth="1"/>
    <col min="73" max="73" width="9.28515625" style="1" customWidth="1"/>
    <col min="74" max="74" width="5.7109375" style="1" bestFit="1" customWidth="1"/>
    <col min="75" max="75" width="7.140625" style="1" bestFit="1" customWidth="1"/>
    <col min="76" max="76" width="12.42578125" style="1" customWidth="1"/>
    <col min="77" max="77" width="5.7109375" style="1" bestFit="1" customWidth="1"/>
    <col min="78" max="78" width="7.85546875" style="275" bestFit="1" customWidth="1"/>
    <col min="79" max="79" width="8.140625" style="1" bestFit="1" customWidth="1"/>
    <col min="80" max="80" width="12.140625" style="1" bestFit="1" customWidth="1"/>
    <col min="81" max="81" width="10" style="1" bestFit="1" customWidth="1"/>
    <col min="82" max="82" width="9.7109375" style="1" bestFit="1" customWidth="1"/>
    <col min="83" max="83" width="11.7109375" style="1" bestFit="1" customWidth="1"/>
    <col min="84" max="84" width="8.140625" style="1" bestFit="1" customWidth="1"/>
    <col min="85" max="85" width="5" style="1" bestFit="1" customWidth="1"/>
    <col min="86" max="86" width="6.85546875" style="1" bestFit="1" customWidth="1"/>
    <col min="87" max="87" width="5.7109375" style="1" bestFit="1" customWidth="1"/>
    <col min="88" max="88" width="7.7109375" style="1" bestFit="1" customWidth="1"/>
    <col min="89" max="89" width="5.7109375" style="1" bestFit="1" customWidth="1"/>
    <col min="90" max="90" width="7.42578125" style="1" customWidth="1"/>
    <col min="91" max="91" width="5.7109375" style="1" bestFit="1" customWidth="1"/>
    <col min="92" max="92" width="7.42578125" style="1" customWidth="1"/>
    <col min="93" max="93" width="11.5703125" style="1" customWidth="1"/>
    <col min="94" max="94" width="5.7109375" style="1" bestFit="1" customWidth="1"/>
    <col min="95" max="95" width="8.140625" style="1" bestFit="1" customWidth="1"/>
    <col min="96" max="96" width="11.42578125" style="1" customWidth="1"/>
    <col min="97" max="97" width="6.85546875" style="1" bestFit="1" customWidth="1"/>
    <col min="98" max="98" width="8.140625" style="275" bestFit="1" customWidth="1"/>
    <col min="99" max="99" width="10.42578125" style="275" customWidth="1"/>
    <col min="100" max="100" width="6.85546875" style="1" bestFit="1" customWidth="1"/>
    <col min="101" max="101" width="7.7109375" style="275" bestFit="1" customWidth="1"/>
    <col min="102" max="102" width="10.7109375" style="275" customWidth="1"/>
    <col min="103" max="103" width="5.7109375" style="1" bestFit="1" customWidth="1"/>
    <col min="104" max="104" width="7.140625" style="1" bestFit="1" customWidth="1"/>
    <col min="105" max="105" width="9.140625" style="1" customWidth="1"/>
    <col min="106" max="106" width="6.42578125" style="1" bestFit="1" customWidth="1"/>
    <col min="107" max="107" width="6.85546875" style="1" customWidth="1"/>
    <col min="108" max="108" width="11.5703125" style="1" customWidth="1"/>
    <col min="109" max="109" width="5.7109375" style="1" bestFit="1" customWidth="1"/>
    <col min="110" max="110" width="8.140625" style="275" bestFit="1" customWidth="1"/>
    <col min="111" max="111" width="5.7109375" style="1" bestFit="1" customWidth="1"/>
    <col min="112" max="112" width="7.85546875" style="1" bestFit="1" customWidth="1"/>
    <col min="113" max="113" width="12" style="1" customWidth="1"/>
    <col min="114" max="114" width="5.7109375" style="1" bestFit="1" customWidth="1"/>
    <col min="115" max="115" width="8.7109375" style="1" bestFit="1" customWidth="1"/>
    <col min="116" max="116" width="10.140625" style="1" customWidth="1"/>
    <col min="117" max="117" width="5.7109375" style="1" bestFit="1" customWidth="1"/>
    <col min="118" max="118" width="8.140625" style="275" bestFit="1" customWidth="1"/>
    <col min="119" max="119" width="13.7109375" style="275" customWidth="1"/>
    <col min="120" max="120" width="5.7109375" style="1" bestFit="1" customWidth="1"/>
    <col min="121" max="121" width="8.140625" style="1" bestFit="1" customWidth="1"/>
    <col min="122" max="122" width="5.7109375" style="1" bestFit="1" customWidth="1"/>
    <col min="123" max="123" width="8.5703125" style="1" bestFit="1" customWidth="1"/>
    <col min="124" max="124" width="10.85546875" style="1" customWidth="1"/>
    <col min="125" max="125" width="5.7109375" style="1" bestFit="1" customWidth="1"/>
    <col min="126" max="126" width="8.7109375" style="1" bestFit="1" customWidth="1"/>
    <col min="127" max="127" width="15.28515625" style="1" customWidth="1"/>
    <col min="128" max="128" width="5.7109375" style="1" bestFit="1" customWidth="1"/>
    <col min="129" max="129" width="8.140625" style="1" bestFit="1" customWidth="1"/>
    <col min="130" max="130" width="5" style="1" bestFit="1" customWidth="1"/>
    <col min="131" max="131" width="7.7109375" style="1" bestFit="1" customWidth="1"/>
    <col min="132" max="132" width="5.7109375" style="1" bestFit="1" customWidth="1"/>
    <col min="133" max="133" width="8.7109375" style="1" bestFit="1" customWidth="1"/>
    <col min="134" max="134" width="5" style="1" bestFit="1" customWidth="1"/>
    <col min="135" max="135" width="8.140625" style="1" bestFit="1" customWidth="1"/>
    <col min="136" max="136" width="5.7109375" style="1" bestFit="1" customWidth="1"/>
    <col min="137" max="137" width="9.140625" style="275" bestFit="1" customWidth="1"/>
    <col min="138" max="138" width="11.42578125" style="275" customWidth="1"/>
    <col min="139" max="139" width="5.7109375" style="1" bestFit="1" customWidth="1"/>
    <col min="140" max="140" width="8.28515625" style="1" bestFit="1" customWidth="1"/>
    <col min="141" max="141" width="12.5703125" style="1" customWidth="1"/>
    <col min="142" max="142" width="5.7109375" style="1" bestFit="1" customWidth="1"/>
    <col min="143" max="143" width="7.5703125" style="1" customWidth="1"/>
    <col min="144" max="144" width="12.28515625" style="1" customWidth="1"/>
    <col min="145" max="145" width="5.7109375" style="1" bestFit="1" customWidth="1"/>
  </cols>
  <sheetData>
    <row r="1" spans="1:145" s="279" customFormat="1" ht="15.75" thickBot="1" x14ac:dyDescent="0.3">
      <c r="A1"/>
      <c r="B1" s="714" t="s">
        <v>67</v>
      </c>
      <c r="C1" s="714"/>
      <c r="D1" s="714"/>
      <c r="E1" s="714"/>
      <c r="F1" s="714"/>
      <c r="G1" s="714"/>
      <c r="H1" s="714"/>
      <c r="I1" s="714"/>
      <c r="J1" s="714"/>
      <c r="K1" s="714"/>
      <c r="L1" s="714"/>
      <c r="M1" s="115"/>
      <c r="N1" s="714" t="s">
        <v>68</v>
      </c>
      <c r="O1" s="714"/>
      <c r="P1" s="714"/>
      <c r="Q1" s="714"/>
      <c r="R1" s="714"/>
      <c r="S1" s="714"/>
      <c r="T1" s="714"/>
      <c r="U1" s="714"/>
      <c r="V1" s="714"/>
      <c r="W1" s="714"/>
      <c r="X1" s="115"/>
      <c r="Y1" s="715" t="s">
        <v>69</v>
      </c>
      <c r="Z1" s="715"/>
      <c r="AA1" s="715"/>
      <c r="AB1" s="715"/>
      <c r="AC1" s="715"/>
      <c r="AD1" s="715"/>
      <c r="AE1" s="715"/>
      <c r="AF1" s="715"/>
      <c r="AG1" s="715"/>
      <c r="AH1" s="715"/>
      <c r="AI1" s="715"/>
      <c r="AJ1" s="715"/>
      <c r="AK1" s="715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288"/>
      <c r="BG1" s="288"/>
      <c r="BH1" s="278"/>
      <c r="BI1" s="288"/>
      <c r="BJ1" s="288"/>
      <c r="BK1" s="278"/>
      <c r="BL1" s="288"/>
      <c r="BM1" s="278"/>
      <c r="BN1" s="303"/>
      <c r="BO1" s="288"/>
      <c r="BP1" s="278"/>
      <c r="BQ1" s="288"/>
      <c r="BR1" s="288"/>
      <c r="BS1" s="278"/>
      <c r="BT1" s="288"/>
      <c r="BU1" s="288"/>
      <c r="BV1" s="278"/>
      <c r="BW1" s="288"/>
      <c r="BX1" s="288"/>
      <c r="BY1" s="278"/>
      <c r="BZ1" s="288"/>
      <c r="CA1" s="278"/>
      <c r="CB1" s="303"/>
      <c r="CC1" s="288"/>
      <c r="CD1" s="278"/>
      <c r="CE1" s="303"/>
      <c r="CF1" s="288"/>
      <c r="CG1" s="278"/>
      <c r="CH1" s="288"/>
      <c r="CI1" s="278"/>
      <c r="CJ1" s="288"/>
      <c r="CK1" s="278"/>
      <c r="CL1" s="288"/>
      <c r="CM1" s="278"/>
      <c r="CN1" s="288"/>
      <c r="CO1" s="288"/>
      <c r="CP1" s="278"/>
      <c r="CQ1" s="288"/>
      <c r="CR1" s="288"/>
      <c r="CS1" s="278"/>
      <c r="CT1" s="288"/>
      <c r="CU1" s="288"/>
      <c r="CV1" s="278"/>
      <c r="CW1" s="288"/>
      <c r="CX1" s="288"/>
      <c r="CY1" s="278"/>
      <c r="CZ1" s="288"/>
      <c r="DA1" s="288"/>
      <c r="DB1" s="278"/>
      <c r="DC1" s="288"/>
      <c r="DD1" s="288"/>
      <c r="DE1" s="278"/>
      <c r="DF1" s="288"/>
      <c r="DG1" s="278"/>
      <c r="DH1" s="288"/>
      <c r="DI1" s="288"/>
      <c r="DJ1" s="278"/>
      <c r="DK1" s="278"/>
      <c r="DL1" s="278"/>
      <c r="DM1" s="278"/>
      <c r="DN1" s="278"/>
      <c r="DO1" s="278"/>
      <c r="DP1" s="278"/>
      <c r="DQ1" s="278"/>
      <c r="DR1" s="278"/>
      <c r="DS1" s="278"/>
      <c r="DT1" s="278"/>
      <c r="DU1" s="278"/>
      <c r="DV1" s="278"/>
      <c r="DW1" s="278"/>
      <c r="DX1" s="278"/>
      <c r="DY1" s="288"/>
      <c r="DZ1" s="278"/>
      <c r="EA1" s="288"/>
      <c r="EB1" s="278"/>
      <c r="EC1" s="288"/>
      <c r="ED1" s="278"/>
      <c r="EE1" s="288"/>
      <c r="EF1" s="278"/>
      <c r="EG1" s="288"/>
      <c r="EH1" s="288"/>
      <c r="EI1" s="278"/>
      <c r="EJ1" s="288"/>
      <c r="EK1" s="288"/>
      <c r="EL1" s="278"/>
      <c r="EM1" s="288"/>
      <c r="EN1" s="288"/>
      <c r="EO1" s="278"/>
    </row>
    <row r="2" spans="1:145" s="2" customFormat="1" ht="18" x14ac:dyDescent="0.25">
      <c r="A2" s="712" t="s">
        <v>1</v>
      </c>
      <c r="B2" s="127" t="s">
        <v>23</v>
      </c>
      <c r="C2" s="403" t="s">
        <v>71</v>
      </c>
      <c r="D2" s="128" t="s">
        <v>24</v>
      </c>
      <c r="E2" s="403" t="s">
        <v>71</v>
      </c>
      <c r="F2" s="128" t="s">
        <v>129</v>
      </c>
      <c r="G2" s="403" t="s">
        <v>71</v>
      </c>
      <c r="H2" s="128" t="s">
        <v>20</v>
      </c>
      <c r="I2" s="403" t="s">
        <v>71</v>
      </c>
      <c r="J2" s="128" t="s">
        <v>21</v>
      </c>
      <c r="K2" s="403" t="s">
        <v>71</v>
      </c>
      <c r="L2" s="129" t="s">
        <v>22</v>
      </c>
      <c r="M2" s="403" t="s">
        <v>71</v>
      </c>
      <c r="N2" s="133" t="s">
        <v>7</v>
      </c>
      <c r="O2" s="405" t="s">
        <v>71</v>
      </c>
      <c r="P2" s="133" t="s">
        <v>8</v>
      </c>
      <c r="Q2" s="405" t="s">
        <v>71</v>
      </c>
      <c r="R2" s="133" t="s">
        <v>9</v>
      </c>
      <c r="S2" s="405" t="s">
        <v>71</v>
      </c>
      <c r="T2" s="133" t="s">
        <v>10</v>
      </c>
      <c r="U2" s="405" t="s">
        <v>71</v>
      </c>
      <c r="V2" s="154" t="s">
        <v>11</v>
      </c>
      <c r="W2" s="133" t="s">
        <v>12</v>
      </c>
      <c r="X2" s="405" t="s">
        <v>71</v>
      </c>
      <c r="Y2" s="237" t="s">
        <v>63</v>
      </c>
      <c r="Z2" s="218" t="s">
        <v>63</v>
      </c>
      <c r="AA2" s="218" t="s">
        <v>63</v>
      </c>
      <c r="AB2" s="218" t="s">
        <v>64</v>
      </c>
      <c r="AC2" s="218" t="s">
        <v>64</v>
      </c>
      <c r="AD2" s="219" t="s">
        <v>64</v>
      </c>
      <c r="AE2" s="239" t="s">
        <v>76</v>
      </c>
      <c r="AF2" s="240" t="s">
        <v>78</v>
      </c>
      <c r="AG2" s="240" t="s">
        <v>79</v>
      </c>
      <c r="AH2" s="241" t="s">
        <v>80</v>
      </c>
      <c r="AI2" s="240" t="s">
        <v>125</v>
      </c>
      <c r="AJ2" s="240" t="s">
        <v>126</v>
      </c>
      <c r="AK2" s="240" t="s">
        <v>127</v>
      </c>
      <c r="AL2" s="216" t="s">
        <v>2</v>
      </c>
      <c r="AM2" s="139" t="s">
        <v>3</v>
      </c>
      <c r="AN2" s="139" t="s">
        <v>130</v>
      </c>
      <c r="AO2" s="139" t="s">
        <v>4</v>
      </c>
      <c r="AP2" s="139" t="s">
        <v>5</v>
      </c>
      <c r="AQ2" s="140" t="s">
        <v>6</v>
      </c>
      <c r="AR2" s="133" t="s">
        <v>7</v>
      </c>
      <c r="AS2" s="134" t="s">
        <v>8</v>
      </c>
      <c r="AT2" s="143" t="s">
        <v>9</v>
      </c>
      <c r="AU2" s="134" t="s">
        <v>10</v>
      </c>
      <c r="AV2" s="134" t="s">
        <v>11</v>
      </c>
      <c r="AW2" s="135" t="s">
        <v>12</v>
      </c>
      <c r="AX2" s="313" t="s">
        <v>13</v>
      </c>
      <c r="AY2" s="319" t="s">
        <v>13</v>
      </c>
      <c r="AZ2" s="314" t="s">
        <v>13</v>
      </c>
      <c r="BA2" s="315" t="s">
        <v>14</v>
      </c>
      <c r="BB2" s="321" t="s">
        <v>14</v>
      </c>
      <c r="BC2" s="490" t="s">
        <v>131</v>
      </c>
      <c r="BD2" s="490" t="s">
        <v>132</v>
      </c>
      <c r="BE2" s="490"/>
      <c r="BF2" s="289" t="s">
        <v>81</v>
      </c>
      <c r="BG2" s="672" t="s">
        <v>81</v>
      </c>
      <c r="BH2" s="290" t="s">
        <v>71</v>
      </c>
      <c r="BI2" s="289" t="s">
        <v>82</v>
      </c>
      <c r="BJ2" s="672" t="s">
        <v>82</v>
      </c>
      <c r="BK2" s="290" t="s">
        <v>71</v>
      </c>
      <c r="BL2" s="289" t="s">
        <v>83</v>
      </c>
      <c r="BM2" s="290" t="s">
        <v>71</v>
      </c>
      <c r="BN2" s="240" t="s">
        <v>126</v>
      </c>
      <c r="BO2" s="289" t="s">
        <v>84</v>
      </c>
      <c r="BP2" s="290" t="s">
        <v>71</v>
      </c>
      <c r="BQ2" s="289" t="s">
        <v>85</v>
      </c>
      <c r="BR2" s="672" t="s">
        <v>85</v>
      </c>
      <c r="BS2" s="290" t="s">
        <v>71</v>
      </c>
      <c r="BT2" s="289" t="s">
        <v>86</v>
      </c>
      <c r="BU2" s="672"/>
      <c r="BV2" s="290" t="s">
        <v>71</v>
      </c>
      <c r="BW2" s="289" t="s">
        <v>87</v>
      </c>
      <c r="BX2" s="672"/>
      <c r="BY2" s="290" t="s">
        <v>71</v>
      </c>
      <c r="BZ2" s="289" t="s">
        <v>88</v>
      </c>
      <c r="CA2" s="290" t="s">
        <v>71</v>
      </c>
      <c r="CB2" s="240" t="s">
        <v>127</v>
      </c>
      <c r="CC2" s="289" t="s">
        <v>89</v>
      </c>
      <c r="CD2" s="290" t="s">
        <v>71</v>
      </c>
      <c r="CE2" s="240" t="s">
        <v>125</v>
      </c>
      <c r="CF2" s="289" t="s">
        <v>90</v>
      </c>
      <c r="CG2" s="290" t="s">
        <v>71</v>
      </c>
      <c r="CH2" s="289" t="s">
        <v>91</v>
      </c>
      <c r="CI2" s="290" t="s">
        <v>71</v>
      </c>
      <c r="CJ2" s="289" t="s">
        <v>92</v>
      </c>
      <c r="CK2" s="290" t="s">
        <v>71</v>
      </c>
      <c r="CL2" s="289" t="s">
        <v>93</v>
      </c>
      <c r="CM2" s="290" t="s">
        <v>71</v>
      </c>
      <c r="CN2" s="289" t="s">
        <v>94</v>
      </c>
      <c r="CO2" s="672"/>
      <c r="CP2" s="290" t="s">
        <v>71</v>
      </c>
      <c r="CQ2" s="289" t="s">
        <v>95</v>
      </c>
      <c r="CR2" s="672"/>
      <c r="CS2" s="290" t="s">
        <v>71</v>
      </c>
      <c r="CT2" s="289" t="s">
        <v>96</v>
      </c>
      <c r="CU2" s="672"/>
      <c r="CV2" s="290" t="s">
        <v>71</v>
      </c>
      <c r="CW2" s="289" t="s">
        <v>97</v>
      </c>
      <c r="CX2" s="672"/>
      <c r="CY2" s="290" t="s">
        <v>71</v>
      </c>
      <c r="CZ2" s="289" t="s">
        <v>98</v>
      </c>
      <c r="DA2" s="672"/>
      <c r="DB2" s="290" t="s">
        <v>71</v>
      </c>
      <c r="DC2" s="289" t="s">
        <v>99</v>
      </c>
      <c r="DD2" s="672"/>
      <c r="DE2" s="290" t="s">
        <v>71</v>
      </c>
      <c r="DF2" s="289" t="s">
        <v>100</v>
      </c>
      <c r="DG2" s="290" t="s">
        <v>71</v>
      </c>
      <c r="DH2" s="289" t="s">
        <v>101</v>
      </c>
      <c r="DI2" s="672"/>
      <c r="DJ2" s="290" t="s">
        <v>71</v>
      </c>
      <c r="DK2" s="289" t="s">
        <v>102</v>
      </c>
      <c r="DL2" s="672"/>
      <c r="DM2" s="290" t="s">
        <v>71</v>
      </c>
      <c r="DN2" s="289" t="s">
        <v>103</v>
      </c>
      <c r="DO2" s="672"/>
      <c r="DP2" s="290" t="s">
        <v>71</v>
      </c>
      <c r="DQ2" s="289" t="s">
        <v>104</v>
      </c>
      <c r="DR2" s="290" t="s">
        <v>71</v>
      </c>
      <c r="DS2" s="289" t="s">
        <v>105</v>
      </c>
      <c r="DT2" s="672"/>
      <c r="DU2" s="290" t="s">
        <v>71</v>
      </c>
      <c r="DV2" s="289" t="s">
        <v>106</v>
      </c>
      <c r="DW2" s="672"/>
      <c r="DX2" s="290" t="s">
        <v>71</v>
      </c>
      <c r="DY2" s="289" t="s">
        <v>107</v>
      </c>
      <c r="DZ2" s="290" t="s">
        <v>71</v>
      </c>
      <c r="EA2" s="289" t="s">
        <v>108</v>
      </c>
      <c r="EB2" s="290" t="s">
        <v>71</v>
      </c>
      <c r="EC2" s="289" t="s">
        <v>109</v>
      </c>
      <c r="ED2" s="290" t="s">
        <v>71</v>
      </c>
      <c r="EE2" s="289" t="s">
        <v>110</v>
      </c>
      <c r="EF2" s="290" t="s">
        <v>71</v>
      </c>
      <c r="EG2" s="289" t="s">
        <v>111</v>
      </c>
      <c r="EH2" s="672"/>
      <c r="EI2" s="290" t="s">
        <v>71</v>
      </c>
      <c r="EJ2" s="289" t="s">
        <v>112</v>
      </c>
      <c r="EK2" s="672"/>
      <c r="EL2" s="290" t="s">
        <v>71</v>
      </c>
      <c r="EM2" s="289" t="s">
        <v>113</v>
      </c>
      <c r="EN2" s="672"/>
      <c r="EO2" s="290" t="s">
        <v>71</v>
      </c>
    </row>
    <row r="3" spans="1:145" s="2" customFormat="1" ht="18.75" thickBot="1" x14ac:dyDescent="0.3">
      <c r="A3" s="713"/>
      <c r="B3" s="130" t="s">
        <v>15</v>
      </c>
      <c r="C3" s="404"/>
      <c r="D3" s="131" t="s">
        <v>15</v>
      </c>
      <c r="E3" s="404"/>
      <c r="F3" s="131" t="s">
        <v>15</v>
      </c>
      <c r="G3" s="404"/>
      <c r="H3" s="131" t="s">
        <v>15</v>
      </c>
      <c r="I3" s="404"/>
      <c r="J3" s="131" t="s">
        <v>15</v>
      </c>
      <c r="K3" s="404"/>
      <c r="L3" s="132" t="s">
        <v>15</v>
      </c>
      <c r="M3" s="404"/>
      <c r="N3" s="136" t="s">
        <v>15</v>
      </c>
      <c r="O3" s="406"/>
      <c r="P3" s="136" t="s">
        <v>15</v>
      </c>
      <c r="Q3" s="406"/>
      <c r="R3" s="136" t="s">
        <v>15</v>
      </c>
      <c r="S3" s="406"/>
      <c r="T3" s="136" t="s">
        <v>15</v>
      </c>
      <c r="U3" s="406"/>
      <c r="V3" s="155" t="s">
        <v>15</v>
      </c>
      <c r="W3" s="179" t="s">
        <v>15</v>
      </c>
      <c r="X3" s="406"/>
      <c r="Y3" s="238" t="s">
        <v>77</v>
      </c>
      <c r="Z3" s="220" t="s">
        <v>65</v>
      </c>
      <c r="AA3" s="220" t="s">
        <v>66</v>
      </c>
      <c r="AB3" s="220" t="s">
        <v>77</v>
      </c>
      <c r="AC3" s="220" t="s">
        <v>123</v>
      </c>
      <c r="AD3" s="221" t="s">
        <v>124</v>
      </c>
      <c r="AE3" s="234" t="s">
        <v>15</v>
      </c>
      <c r="AF3" s="235" t="s">
        <v>15</v>
      </c>
      <c r="AG3" s="235" t="s">
        <v>15</v>
      </c>
      <c r="AH3" s="236" t="s">
        <v>15</v>
      </c>
      <c r="AI3" s="235" t="s">
        <v>128</v>
      </c>
      <c r="AJ3" s="235" t="s">
        <v>128</v>
      </c>
      <c r="AK3" s="235" t="s">
        <v>128</v>
      </c>
      <c r="AL3" s="217" t="s">
        <v>16</v>
      </c>
      <c r="AM3" s="141" t="s">
        <v>16</v>
      </c>
      <c r="AN3" s="141" t="s">
        <v>16</v>
      </c>
      <c r="AO3" s="141" t="s">
        <v>16</v>
      </c>
      <c r="AP3" s="141" t="s">
        <v>16</v>
      </c>
      <c r="AQ3" s="142" t="s">
        <v>16</v>
      </c>
      <c r="AR3" s="136" t="s">
        <v>16</v>
      </c>
      <c r="AS3" s="137" t="s">
        <v>16</v>
      </c>
      <c r="AT3" s="144" t="s">
        <v>16</v>
      </c>
      <c r="AU3" s="137" t="s">
        <v>16</v>
      </c>
      <c r="AV3" s="137" t="s">
        <v>16</v>
      </c>
      <c r="AW3" s="138" t="s">
        <v>16</v>
      </c>
      <c r="AX3" s="316" t="s">
        <v>17</v>
      </c>
      <c r="AY3" s="320" t="s">
        <v>17</v>
      </c>
      <c r="AZ3" s="317" t="s">
        <v>18</v>
      </c>
      <c r="BA3" s="318" t="s">
        <v>19</v>
      </c>
      <c r="BB3" s="322" t="s">
        <v>19</v>
      </c>
      <c r="BC3" s="491"/>
      <c r="BD3" s="491"/>
      <c r="BE3" s="491"/>
      <c r="BF3" s="291" t="s">
        <v>122</v>
      </c>
      <c r="BG3" s="673" t="s">
        <v>128</v>
      </c>
      <c r="BH3" s="292"/>
      <c r="BI3" s="291" t="s">
        <v>122</v>
      </c>
      <c r="BJ3" s="673" t="s">
        <v>128</v>
      </c>
      <c r="BK3" s="292"/>
      <c r="BL3" s="291" t="s">
        <v>122</v>
      </c>
      <c r="BM3" s="292"/>
      <c r="BN3" s="235" t="s">
        <v>122</v>
      </c>
      <c r="BO3" s="291" t="s">
        <v>122</v>
      </c>
      <c r="BP3" s="292"/>
      <c r="BQ3" s="291" t="s">
        <v>122</v>
      </c>
      <c r="BR3" s="673" t="s">
        <v>128</v>
      </c>
      <c r="BS3" s="292"/>
      <c r="BT3" s="291" t="s">
        <v>122</v>
      </c>
      <c r="BU3" s="673"/>
      <c r="BV3" s="292"/>
      <c r="BW3" s="291" t="s">
        <v>122</v>
      </c>
      <c r="BX3" s="673"/>
      <c r="BY3" s="292"/>
      <c r="BZ3" s="291" t="s">
        <v>122</v>
      </c>
      <c r="CA3" s="292"/>
      <c r="CB3" s="235" t="s">
        <v>122</v>
      </c>
      <c r="CC3" s="291" t="s">
        <v>122</v>
      </c>
      <c r="CD3" s="292"/>
      <c r="CE3" s="235" t="s">
        <v>122</v>
      </c>
      <c r="CF3" s="291" t="s">
        <v>122</v>
      </c>
      <c r="CG3" s="292"/>
      <c r="CH3" s="291" t="s">
        <v>122</v>
      </c>
      <c r="CI3" s="292"/>
      <c r="CJ3" s="291" t="s">
        <v>122</v>
      </c>
      <c r="CK3" s="292"/>
      <c r="CL3" s="291" t="s">
        <v>122</v>
      </c>
      <c r="CM3" s="292"/>
      <c r="CN3" s="291" t="s">
        <v>122</v>
      </c>
      <c r="CO3" s="673"/>
      <c r="CP3" s="292"/>
      <c r="CQ3" s="291" t="s">
        <v>122</v>
      </c>
      <c r="CR3" s="673"/>
      <c r="CS3" s="292"/>
      <c r="CT3" s="291" t="s">
        <v>122</v>
      </c>
      <c r="CU3" s="673"/>
      <c r="CV3" s="292"/>
      <c r="CW3" s="291" t="s">
        <v>122</v>
      </c>
      <c r="CX3" s="673"/>
      <c r="CY3" s="292"/>
      <c r="CZ3" s="291" t="s">
        <v>122</v>
      </c>
      <c r="DA3" s="673"/>
      <c r="DB3" s="292"/>
      <c r="DC3" s="291" t="s">
        <v>122</v>
      </c>
      <c r="DD3" s="673"/>
      <c r="DE3" s="292"/>
      <c r="DF3" s="291" t="s">
        <v>122</v>
      </c>
      <c r="DG3" s="292"/>
      <c r="DH3" s="291" t="s">
        <v>122</v>
      </c>
      <c r="DI3" s="673"/>
      <c r="DJ3" s="292"/>
      <c r="DK3" s="291"/>
      <c r="DL3" s="673"/>
      <c r="DM3" s="292"/>
      <c r="DN3" s="291"/>
      <c r="DO3" s="673"/>
      <c r="DP3" s="292"/>
      <c r="DQ3" s="291"/>
      <c r="DR3" s="292"/>
      <c r="DS3" s="291"/>
      <c r="DT3" s="673"/>
      <c r="DU3" s="292"/>
      <c r="DV3" s="291"/>
      <c r="DW3" s="673"/>
      <c r="DX3" s="292"/>
      <c r="DY3" s="291" t="s">
        <v>122</v>
      </c>
      <c r="DZ3" s="292"/>
      <c r="EA3" s="291" t="s">
        <v>122</v>
      </c>
      <c r="EB3" s="292"/>
      <c r="EC3" s="291" t="s">
        <v>122</v>
      </c>
      <c r="ED3" s="292"/>
      <c r="EE3" s="291" t="s">
        <v>122</v>
      </c>
      <c r="EF3" s="292"/>
      <c r="EG3" s="291" t="s">
        <v>122</v>
      </c>
      <c r="EH3" s="673"/>
      <c r="EI3" s="292"/>
      <c r="EJ3" s="291" t="s">
        <v>122</v>
      </c>
      <c r="EK3" s="673"/>
      <c r="EL3" s="292"/>
      <c r="EM3" s="291" t="s">
        <v>122</v>
      </c>
      <c r="EN3" s="673"/>
      <c r="EO3" s="292"/>
    </row>
    <row r="4" spans="1:145" s="1" customFormat="1" ht="15.75" thickBot="1" x14ac:dyDescent="0.3">
      <c r="A4" s="15" t="s">
        <v>150</v>
      </c>
      <c r="B4" s="398">
        <v>5.0037699768232198E-2</v>
      </c>
      <c r="C4" s="399">
        <v>1.2285267150169126</v>
      </c>
      <c r="D4" s="116">
        <v>39.51039130434782</v>
      </c>
      <c r="E4" s="209"/>
      <c r="F4" s="117">
        <v>1.2396559450308704</v>
      </c>
      <c r="G4" s="209"/>
      <c r="H4" s="106">
        <v>9.6494818761202943</v>
      </c>
      <c r="I4" s="106"/>
      <c r="J4" s="106">
        <v>29.087287094204342</v>
      </c>
      <c r="K4" s="192"/>
      <c r="L4" s="111">
        <v>81.648699163513257</v>
      </c>
      <c r="M4" s="194"/>
      <c r="N4" s="183">
        <v>0.11766666666666666</v>
      </c>
      <c r="O4" s="180">
        <v>5.7735026918961832E-4</v>
      </c>
      <c r="P4" s="183">
        <v>5.0829999999999993</v>
      </c>
      <c r="Q4" s="180">
        <v>1.4798648586948793E-2</v>
      </c>
      <c r="R4" s="183" t="s">
        <v>74</v>
      </c>
      <c r="S4" s="180"/>
      <c r="T4" s="118">
        <v>1.86990225314778</v>
      </c>
      <c r="U4" s="145">
        <v>8.919036923109866E-2</v>
      </c>
      <c r="V4" s="156" t="s">
        <v>72</v>
      </c>
      <c r="W4" s="171">
        <v>502.26807422133862</v>
      </c>
      <c r="X4" s="161">
        <v>0.76224229290816636</v>
      </c>
      <c r="Y4" s="176">
        <v>40.299999999999997</v>
      </c>
      <c r="Z4" s="120">
        <f t="shared" ref="Z4:Z23" si="0">(2*(Y4/100))*17</f>
        <v>13.701999999999998</v>
      </c>
      <c r="AA4" s="120">
        <f t="shared" ref="AA4:AA23" si="1">Z4/17</f>
        <v>0.80599999999999994</v>
      </c>
      <c r="AB4" s="121">
        <v>29.9</v>
      </c>
      <c r="AC4" s="293">
        <f>AB4/100*61</f>
        <v>18.239000000000001</v>
      </c>
      <c r="AD4" s="298">
        <f>AC4/61</f>
        <v>0.29899999999999999</v>
      </c>
      <c r="AE4" s="122">
        <v>9.4</v>
      </c>
      <c r="AF4" s="123">
        <v>0.28999999999999998</v>
      </c>
      <c r="AG4" s="123">
        <v>5.04</v>
      </c>
      <c r="AH4" s="124">
        <v>102</v>
      </c>
      <c r="AI4" s="122">
        <v>2.09</v>
      </c>
      <c r="AJ4" s="122">
        <v>0.252</v>
      </c>
      <c r="AK4" s="122">
        <v>0.8</v>
      </c>
      <c r="AL4" s="118">
        <f>B4/7</f>
        <v>7.1482428240331715E-3</v>
      </c>
      <c r="AM4" s="353">
        <f>D4/23</f>
        <v>1.7178431001890357</v>
      </c>
      <c r="AN4" s="358">
        <f>F4/18</f>
        <v>6.8869774723937238E-2</v>
      </c>
      <c r="AO4" s="353">
        <f>H4/39</f>
        <v>0.24742261220821268</v>
      </c>
      <c r="AP4" s="119">
        <f>(J4)/(24.3/2)</f>
        <v>2.394015398699946</v>
      </c>
      <c r="AQ4" s="145">
        <f>(L4)/(40.07/2)</f>
        <v>4.0753031776148365</v>
      </c>
      <c r="AR4" s="125">
        <f t="shared" ref="AR4:AR13" si="2">N4/19</f>
        <v>6.19298245614035E-3</v>
      </c>
      <c r="AS4" s="119">
        <f>P4/35.45</f>
        <v>0.14338504936530322</v>
      </c>
      <c r="AT4" s="126"/>
      <c r="AU4" s="119">
        <f>T4/62</f>
        <v>3.0159713760448063E-2</v>
      </c>
      <c r="AV4" s="119"/>
      <c r="AW4" s="145">
        <f t="shared" ref="AW4:AW13" si="3">W4*2/96</f>
        <v>10.463918212944554</v>
      </c>
      <c r="AX4" s="146">
        <f>AM4+AN4+AO4+AP4+AL4+AQ4+((BL4/1000)/(27/3))+((BZ4/1000)/(55/2))+((CC4/1000)/(57/2))</f>
        <v>9.230420975916271</v>
      </c>
      <c r="AY4" s="328">
        <f>AM4+AO4+AP4+AQ4+AL4+((BN4/1000)/(27/3))+((CB4/1000)/(55/2))+((CE4/1000)/(57/2))</f>
        <v>8.5721567739603088</v>
      </c>
      <c r="AZ4" s="117">
        <f>AR4+AS4+AT4+AU4+AV4+AW4+AD4</f>
        <v>10.942655958526446</v>
      </c>
      <c r="BA4" s="147">
        <f>(AX4-AZ4)/(AX4+AZ4)*100</f>
        <v>-8.4877234552492702</v>
      </c>
      <c r="BB4" s="323">
        <f>(AY4-AZ4)/(AY4+AZ4)*100</f>
        <v>-12.147178746019495</v>
      </c>
      <c r="BC4" s="492">
        <f>AE4/35.5 +AF4/62 +W4/48</f>
        <v>10.733384364693759</v>
      </c>
      <c r="BD4" s="492">
        <f>(AX4-BC4)/(AX4+BC4)*100</f>
        <v>-7.5284414125206158</v>
      </c>
      <c r="BE4" s="492"/>
      <c r="BF4" s="364">
        <v>2.9187512445546564</v>
      </c>
      <c r="BG4" s="674">
        <f>BF4/1000</f>
        <v>2.9187512445546563E-3</v>
      </c>
      <c r="BH4" s="111">
        <v>0.2033873747281339</v>
      </c>
      <c r="BI4" s="369">
        <v>1470.0908917300906</v>
      </c>
      <c r="BJ4" s="679">
        <f>BI4/1000</f>
        <v>1.4700908917300906</v>
      </c>
      <c r="BK4" s="202">
        <v>106.64145746579507</v>
      </c>
      <c r="BL4" s="369">
        <v>3989.5641160177856</v>
      </c>
      <c r="BM4" s="202">
        <v>80.929640403131856</v>
      </c>
      <c r="BN4" s="336">
        <f>AJ4*1000</f>
        <v>252</v>
      </c>
      <c r="BO4" s="369">
        <v>12770.362587386984</v>
      </c>
      <c r="BP4" s="202">
        <v>399.83290261606459</v>
      </c>
      <c r="BQ4" s="369">
        <v>168.53724886314123</v>
      </c>
      <c r="BR4" s="679">
        <f>BQ4/1000</f>
        <v>0.16853724886314123</v>
      </c>
      <c r="BS4" s="202">
        <v>2.039116499787923</v>
      </c>
      <c r="BT4" s="372" t="s">
        <v>115</v>
      </c>
      <c r="BU4" s="680"/>
      <c r="BV4" s="111"/>
      <c r="BW4" s="372" t="s">
        <v>119</v>
      </c>
      <c r="BX4" s="694"/>
      <c r="BY4" s="377"/>
      <c r="BZ4" s="369">
        <v>1606.1031305246606</v>
      </c>
      <c r="CA4" s="111">
        <v>37.951726894661626</v>
      </c>
      <c r="CB4" s="336">
        <f>AK4*1000</f>
        <v>800</v>
      </c>
      <c r="CC4" s="369">
        <v>6216.7055037551609</v>
      </c>
      <c r="CD4" s="202">
        <v>129.42011955741791</v>
      </c>
      <c r="CE4" s="336">
        <f>AI4*1000</f>
        <v>2090</v>
      </c>
      <c r="CF4" s="369">
        <v>13.719702236254092</v>
      </c>
      <c r="CG4" s="111">
        <v>0.17186006248596822</v>
      </c>
      <c r="CH4" s="369">
        <v>30.582901034413599</v>
      </c>
      <c r="CI4" s="111">
        <v>0.37467620328966794</v>
      </c>
      <c r="CJ4" s="369">
        <v>10.459602704860261</v>
      </c>
      <c r="CK4" s="111">
        <v>0.12892953822260544</v>
      </c>
      <c r="CL4" s="256">
        <v>84.044265531339093</v>
      </c>
      <c r="CM4" s="111">
        <v>1.2499083554249906</v>
      </c>
      <c r="CN4" s="372" t="s">
        <v>116</v>
      </c>
      <c r="CO4" s="685" t="e">
        <f>CN4/1000</f>
        <v>#VALUE!</v>
      </c>
      <c r="CP4" s="111"/>
      <c r="CQ4" s="364">
        <v>1.4953537895872107</v>
      </c>
      <c r="CR4" s="686">
        <f>CQ4/1000</f>
        <v>1.4953537895872108E-3</v>
      </c>
      <c r="CS4" s="111">
        <v>4.3975619207287542E-2</v>
      </c>
      <c r="CT4" s="386" t="s">
        <v>115</v>
      </c>
      <c r="CU4" s="685" t="e">
        <f>CT4/1000</f>
        <v>#VALUE!</v>
      </c>
      <c r="CV4" s="111"/>
      <c r="CW4" s="387">
        <v>16.986294786873589</v>
      </c>
      <c r="CX4" s="674">
        <f>CW4/1000</f>
        <v>1.698629478687359E-2</v>
      </c>
      <c r="CY4" s="111">
        <v>0.19181236979645749</v>
      </c>
      <c r="CZ4" s="369">
        <v>398.75654736858814</v>
      </c>
      <c r="DA4" s="679">
        <f>CZ4/1000</f>
        <v>0.39875654736858812</v>
      </c>
      <c r="DB4" s="111">
        <v>11.200467470112203</v>
      </c>
      <c r="DC4" s="252" t="s">
        <v>116</v>
      </c>
      <c r="DD4" s="697"/>
      <c r="DE4" s="111"/>
      <c r="DF4" s="388" t="s">
        <v>117</v>
      </c>
      <c r="DG4" s="111"/>
      <c r="DH4" s="388" t="s">
        <v>116</v>
      </c>
      <c r="DI4" s="682"/>
      <c r="DJ4" s="111"/>
      <c r="DK4" s="388" t="s">
        <v>116</v>
      </c>
      <c r="DL4" s="682"/>
      <c r="DM4" s="111"/>
      <c r="DN4" s="387">
        <v>7.6320620784106854</v>
      </c>
      <c r="DO4" s="674">
        <f>DN4/1000</f>
        <v>7.6320620784106853E-3</v>
      </c>
      <c r="DP4" s="111">
        <v>0.14844073705426827</v>
      </c>
      <c r="DQ4" s="388" t="s">
        <v>118</v>
      </c>
      <c r="DR4" s="111"/>
      <c r="DS4" s="386" t="s">
        <v>121</v>
      </c>
      <c r="DT4" s="692" t="e">
        <f>DS4/1000</f>
        <v>#VALUE!</v>
      </c>
      <c r="DU4" s="111"/>
      <c r="DV4" s="387">
        <v>29.080305342429945</v>
      </c>
      <c r="DW4" s="674">
        <f>DV4/1000</f>
        <v>2.9080305342429946E-2</v>
      </c>
      <c r="DX4" s="111">
        <v>0.37026883913787423</v>
      </c>
      <c r="DY4" s="388" t="s">
        <v>119</v>
      </c>
      <c r="DZ4" s="111"/>
      <c r="EA4" s="386" t="s">
        <v>115</v>
      </c>
      <c r="EB4" s="111"/>
      <c r="EC4" s="388" t="s">
        <v>117</v>
      </c>
      <c r="ED4" s="111"/>
      <c r="EE4" s="388" t="s">
        <v>120</v>
      </c>
      <c r="EF4" s="111"/>
      <c r="EG4" s="364">
        <v>1.7786966615149542</v>
      </c>
      <c r="EH4" s="693">
        <f>EG4/1000</f>
        <v>1.7786966615149541E-3</v>
      </c>
      <c r="EI4" s="395">
        <v>1.041772570242528E-2</v>
      </c>
      <c r="EJ4" s="388" t="s">
        <v>118</v>
      </c>
      <c r="EK4" s="682"/>
      <c r="EL4" s="111"/>
      <c r="EM4" s="388" t="s">
        <v>120</v>
      </c>
      <c r="EN4" s="682"/>
      <c r="EO4" s="111"/>
    </row>
    <row r="5" spans="1:145" s="1" customFormat="1" ht="15.75" thickBot="1" x14ac:dyDescent="0.3">
      <c r="A5" s="16" t="s">
        <v>151</v>
      </c>
      <c r="B5" s="351">
        <v>5.301604378056371E-2</v>
      </c>
      <c r="C5" s="400">
        <v>0.9719469837945014</v>
      </c>
      <c r="D5" s="26">
        <v>41.998863636363637</v>
      </c>
      <c r="E5" s="210"/>
      <c r="F5" s="22">
        <v>1.6254367897727273</v>
      </c>
      <c r="G5" s="210"/>
      <c r="H5" s="7">
        <v>8.7531285511363635</v>
      </c>
      <c r="I5" s="7"/>
      <c r="J5" s="7">
        <v>30.156395596590908</v>
      </c>
      <c r="K5" s="93"/>
      <c r="L5" s="10">
        <v>90.711487926136357</v>
      </c>
      <c r="M5" s="160"/>
      <c r="N5" s="184">
        <v>0.13900000000000001</v>
      </c>
      <c r="O5" s="181">
        <v>1.0000000000000009E-3</v>
      </c>
      <c r="P5" s="184">
        <v>5.8706666666666676</v>
      </c>
      <c r="Q5" s="181">
        <v>2.0816659994663299E-3</v>
      </c>
      <c r="R5" s="184" t="s">
        <v>74</v>
      </c>
      <c r="S5" s="181"/>
      <c r="T5" s="407"/>
      <c r="U5" s="408"/>
      <c r="V5" s="157" t="s">
        <v>72</v>
      </c>
      <c r="W5" s="172">
        <v>496.75624499900971</v>
      </c>
      <c r="X5" s="162">
        <v>1.7134184652734736</v>
      </c>
      <c r="Y5" s="177">
        <v>54.9</v>
      </c>
      <c r="Z5" s="97">
        <f t="shared" si="0"/>
        <v>18.665999999999997</v>
      </c>
      <c r="AA5" s="97">
        <f t="shared" si="1"/>
        <v>1.0979999999999999</v>
      </c>
      <c r="AB5" s="98">
        <v>25.9</v>
      </c>
      <c r="AC5" s="294">
        <f t="shared" ref="AC5:AC23" si="4">AB5/100*61</f>
        <v>15.799000000000001</v>
      </c>
      <c r="AD5" s="299">
        <f t="shared" ref="AD5:AD23" si="5">AC5/61</f>
        <v>0.25900000000000001</v>
      </c>
      <c r="AE5" s="102">
        <v>9.4</v>
      </c>
      <c r="AF5" s="100">
        <v>0.15</v>
      </c>
      <c r="AG5" s="100">
        <v>3.92</v>
      </c>
      <c r="AH5" s="104">
        <v>90</v>
      </c>
      <c r="AI5" s="102">
        <v>2.5</v>
      </c>
      <c r="AJ5" s="102">
        <v>0.7</v>
      </c>
      <c r="AK5" s="102">
        <v>2</v>
      </c>
      <c r="AL5" s="47">
        <f t="shared" ref="AL5:AL34" si="6">B5/7</f>
        <v>7.5737205400805297E-3</v>
      </c>
      <c r="AM5" s="354">
        <f t="shared" ref="AM5:AM34" si="7">D5/23</f>
        <v>1.8260375494071146</v>
      </c>
      <c r="AN5" s="359">
        <f t="shared" ref="AN5:AN23" si="8">F5/18</f>
        <v>9.030204387626263E-2</v>
      </c>
      <c r="AO5" s="354">
        <f t="shared" ref="AO5:AO13" si="9">H5/39</f>
        <v>0.22443919361888112</v>
      </c>
      <c r="AP5" s="8">
        <f t="shared" ref="AP5:AP13" si="10">(J5)/(24.3/2)</f>
        <v>2.4820078680321735</v>
      </c>
      <c r="AQ5" s="9">
        <f t="shared" ref="AQ5:AQ13" si="11">(L5)/(40.07/2)</f>
        <v>4.52765100704449</v>
      </c>
      <c r="AR5" s="49">
        <f t="shared" si="2"/>
        <v>7.3157894736842113E-3</v>
      </c>
      <c r="AS5" s="8">
        <f>P5/35.45</f>
        <v>0.1656041372825576</v>
      </c>
      <c r="AT5" s="50"/>
      <c r="AU5" s="411">
        <f>AF5/62</f>
        <v>2.4193548387096775E-3</v>
      </c>
      <c r="AV5" s="8"/>
      <c r="AW5" s="9">
        <f t="shared" si="3"/>
        <v>10.349088437479368</v>
      </c>
      <c r="AX5" s="36">
        <f t="shared" ref="AX5:AX23" si="12">AM5+AN5+AO5+AP5+AL5+AQ5+((BL5/1000)/(27/3))+((BZ5/1000)/(55/2))+((CC5/1000)/(57/2))</f>
        <v>10.570072839893943</v>
      </c>
      <c r="AY5" s="329">
        <f t="shared" ref="AY5:AY23" si="13">AM5+AO5+AP5+AQ5+AL5+((BN5/1000)/(27/3))+((CB5/1000)/(55/2))+((CE5/1000)/(57/2))</f>
        <v>9.305933687393404</v>
      </c>
      <c r="AZ5" s="22">
        <f t="shared" ref="AZ5:AZ23" si="14">AR5+AS5+AT5+AU5+AV5+AW5+AD5</f>
        <v>10.78342771907432</v>
      </c>
      <c r="BA5" s="30">
        <f>(AX5-AZ5)/(AX5+AZ5)*100</f>
        <v>-0.99915645489221783</v>
      </c>
      <c r="BB5" s="324">
        <f t="shared" ref="BB5:BB23" si="15">(AY5-AZ5)/(AY5+AZ5)*100</f>
        <v>-7.3546092470875655</v>
      </c>
      <c r="BC5" s="492">
        <f t="shared" ref="BC5:BC23" si="16">AE5/35.5 +AF5/62 +W5/48</f>
        <v>10.616296524712444</v>
      </c>
      <c r="BD5" s="492">
        <f t="shared" ref="BD5:BD23" si="17">(AX5-BC5)/(AX5+BC5)*100</f>
        <v>-0.21817652672346199</v>
      </c>
      <c r="BE5" s="493"/>
      <c r="BF5" s="365">
        <v>3.8438925318391655</v>
      </c>
      <c r="BG5" s="674">
        <f t="shared" ref="BG5:BG43" si="18">BF5/1000</f>
        <v>3.8438925318391654E-3</v>
      </c>
      <c r="BH5" s="111">
        <v>0.22548152927389595</v>
      </c>
      <c r="BI5" s="370">
        <v>1354.6385421796647</v>
      </c>
      <c r="BJ5" s="679">
        <f t="shared" ref="BJ5:BJ43" si="19">BI5/1000</f>
        <v>1.3546385421796647</v>
      </c>
      <c r="BK5" s="202">
        <v>22.853094974406368</v>
      </c>
      <c r="BL5" s="370">
        <v>10351.635919697532</v>
      </c>
      <c r="BM5" s="202">
        <v>318.37456386471945</v>
      </c>
      <c r="BN5" s="337">
        <f t="shared" ref="BN5:BN43" si="20">AJ5*1000</f>
        <v>700</v>
      </c>
      <c r="BO5" s="370">
        <v>13528.881321069015</v>
      </c>
      <c r="BP5" s="202">
        <v>665.7613193589234</v>
      </c>
      <c r="BQ5" s="370">
        <v>192.5416030405151</v>
      </c>
      <c r="BR5" s="679">
        <f t="shared" ref="BR5:BR43" si="21">BQ5/1000</f>
        <v>0.1925416030405151</v>
      </c>
      <c r="BS5" s="202">
        <v>7.5431272221845029</v>
      </c>
      <c r="BT5" s="373" t="s">
        <v>115</v>
      </c>
      <c r="BU5" s="680"/>
      <c r="BV5" s="111"/>
      <c r="BW5" s="375" t="s">
        <v>119</v>
      </c>
      <c r="BX5" s="680"/>
      <c r="BY5" s="378"/>
      <c r="BZ5" s="370">
        <v>1804.7292186576269</v>
      </c>
      <c r="CA5" s="111">
        <v>41.91880928624014</v>
      </c>
      <c r="CB5" s="337">
        <f t="shared" ref="CB5:CB43" si="22">AK5*1000</f>
        <v>2000</v>
      </c>
      <c r="CC5" s="370">
        <v>5593.2153871105202</v>
      </c>
      <c r="CD5" s="202">
        <v>215.36338855160832</v>
      </c>
      <c r="CE5" s="337">
        <f t="shared" ref="CE5:CE43" si="23">AI5*1000</f>
        <v>2500</v>
      </c>
      <c r="CF5" s="370">
        <v>16.957211964377418</v>
      </c>
      <c r="CG5" s="111">
        <v>0.21294629525465034</v>
      </c>
      <c r="CH5" s="376">
        <v>35.586658655880548</v>
      </c>
      <c r="CI5" s="111">
        <v>0.3671908715821911</v>
      </c>
      <c r="CJ5" s="370">
        <v>7.378191394889356</v>
      </c>
      <c r="CK5" s="111">
        <v>6.897103210435368E-2</v>
      </c>
      <c r="CL5" s="37">
        <v>100.07005120649215</v>
      </c>
      <c r="CM5" s="111">
        <v>0.52472427320044912</v>
      </c>
      <c r="CN5" s="370">
        <v>1.4039118118669691</v>
      </c>
      <c r="CO5" s="685">
        <f t="shared" ref="CO5:CO43" si="24">CN5/1000</f>
        <v>1.4039118118669691E-3</v>
      </c>
      <c r="CP5" s="111">
        <v>6.2571328410076593E-2</v>
      </c>
      <c r="CQ5" s="365">
        <v>2.5146385187529661</v>
      </c>
      <c r="CR5" s="686">
        <f t="shared" ref="CR5:CR43" si="25">CQ5/1000</f>
        <v>2.514638518752966E-3</v>
      </c>
      <c r="CS5" s="111">
        <v>6.2642999332332541E-2</v>
      </c>
      <c r="CT5" s="368" t="s">
        <v>115</v>
      </c>
      <c r="CU5" s="685" t="e">
        <f t="shared" ref="CU5:CU43" si="26">CT5/1000</f>
        <v>#VALUE!</v>
      </c>
      <c r="CV5" s="111"/>
      <c r="CW5" s="384">
        <v>17.699399994254318</v>
      </c>
      <c r="CX5" s="674">
        <f t="shared" ref="CX5:CX43" si="27">CW5/1000</f>
        <v>1.7699399994254319E-2</v>
      </c>
      <c r="CY5" s="111">
        <v>0.27849565998283693</v>
      </c>
      <c r="CZ5" s="370">
        <v>417.08422940452027</v>
      </c>
      <c r="DA5" s="679">
        <f t="shared" ref="DA5:DA43" si="28">CZ5/1000</f>
        <v>0.41708422940452028</v>
      </c>
      <c r="DB5" s="111">
        <v>2.7201803810064451</v>
      </c>
      <c r="DC5" s="255" t="s">
        <v>116</v>
      </c>
      <c r="DD5" s="698"/>
      <c r="DE5" s="111"/>
      <c r="DF5" s="389" t="s">
        <v>117</v>
      </c>
      <c r="DG5" s="111"/>
      <c r="DH5" s="389" t="s">
        <v>116</v>
      </c>
      <c r="DI5" s="682"/>
      <c r="DJ5" s="111"/>
      <c r="DK5" s="389" t="s">
        <v>116</v>
      </c>
      <c r="DL5" s="682"/>
      <c r="DM5" s="111"/>
      <c r="DN5" s="391">
        <v>4.5970784145775996</v>
      </c>
      <c r="DO5" s="674">
        <f t="shared" ref="DO5:DO43" si="29">DN5/1000</f>
        <v>4.5970784145775998E-3</v>
      </c>
      <c r="DP5" s="111">
        <v>5.9493613035632623E-2</v>
      </c>
      <c r="DQ5" s="389" t="s">
        <v>118</v>
      </c>
      <c r="DR5" s="111"/>
      <c r="DS5" s="368" t="s">
        <v>121</v>
      </c>
      <c r="DT5" s="692" t="e">
        <f t="shared" ref="DT5:DT43" si="30">DS5/1000</f>
        <v>#VALUE!</v>
      </c>
      <c r="DU5" s="111"/>
      <c r="DV5" s="384">
        <v>32.721997057827359</v>
      </c>
      <c r="DW5" s="674">
        <f t="shared" ref="DW5:DW43" si="31">DV5/1000</f>
        <v>3.2721997057827357E-2</v>
      </c>
      <c r="DX5" s="111">
        <v>0.53026492785449397</v>
      </c>
      <c r="DY5" s="389" t="s">
        <v>119</v>
      </c>
      <c r="DZ5" s="111"/>
      <c r="EA5" s="368" t="s">
        <v>115</v>
      </c>
      <c r="EB5" s="111"/>
      <c r="EC5" s="389" t="s">
        <v>117</v>
      </c>
      <c r="ED5" s="111"/>
      <c r="EE5" s="389" t="s">
        <v>120</v>
      </c>
      <c r="EF5" s="111"/>
      <c r="EG5" s="383">
        <v>3.7178652088339037</v>
      </c>
      <c r="EH5" s="693">
        <f t="shared" ref="EH5:EH43" si="32">EG5/1000</f>
        <v>3.7178652088339036E-3</v>
      </c>
      <c r="EI5" s="396">
        <v>4.9698892862621094E-2</v>
      </c>
      <c r="EJ5" s="389" t="s">
        <v>118</v>
      </c>
      <c r="EK5" s="682"/>
      <c r="EL5" s="111"/>
      <c r="EM5" s="389" t="s">
        <v>120</v>
      </c>
      <c r="EN5" s="682"/>
      <c r="EO5" s="111"/>
    </row>
    <row r="6" spans="1:145" s="1" customFormat="1" ht="15.75" thickBot="1" x14ac:dyDescent="0.3">
      <c r="A6" s="16" t="s">
        <v>152</v>
      </c>
      <c r="B6" s="351">
        <v>5.8911714998831841E-2</v>
      </c>
      <c r="C6" s="400">
        <v>0.45395256810807505</v>
      </c>
      <c r="D6" s="26">
        <v>42.091742475583011</v>
      </c>
      <c r="E6" s="210"/>
      <c r="F6" s="22">
        <v>1.4504046242774564</v>
      </c>
      <c r="G6" s="210"/>
      <c r="H6" s="22">
        <v>9.6226844727925034</v>
      </c>
      <c r="I6" s="7"/>
      <c r="J6" s="7">
        <v>29.828321307554312</v>
      </c>
      <c r="K6" s="93"/>
      <c r="L6" s="10">
        <v>85.353811441100248</v>
      </c>
      <c r="M6" s="160"/>
      <c r="N6" s="184">
        <v>0.14633333333333332</v>
      </c>
      <c r="O6" s="181">
        <v>5.7735026918962634E-4</v>
      </c>
      <c r="P6" s="184">
        <v>5.4803333333333333</v>
      </c>
      <c r="Q6" s="181">
        <v>4.1633319989323051E-3</v>
      </c>
      <c r="R6" s="184">
        <v>6.3666666666666663E-2</v>
      </c>
      <c r="S6" s="181">
        <v>5.5075705472861069E-3</v>
      </c>
      <c r="T6" s="407">
        <v>1.9859896825396823</v>
      </c>
      <c r="U6" s="408">
        <v>0.11465069787689859</v>
      </c>
      <c r="V6" s="157" t="s">
        <v>72</v>
      </c>
      <c r="W6" s="172">
        <v>498.50577506613757</v>
      </c>
      <c r="X6" s="162">
        <v>0.60389791168216211</v>
      </c>
      <c r="Y6" s="177">
        <v>57.7</v>
      </c>
      <c r="Z6" s="97">
        <f t="shared" si="0"/>
        <v>19.618000000000002</v>
      </c>
      <c r="AA6" s="97">
        <f t="shared" si="1"/>
        <v>1.1540000000000001</v>
      </c>
      <c r="AB6" s="98">
        <v>26.7</v>
      </c>
      <c r="AC6" s="294">
        <f t="shared" si="4"/>
        <v>16.287000000000003</v>
      </c>
      <c r="AD6" s="299">
        <f t="shared" si="5"/>
        <v>0.26700000000000002</v>
      </c>
      <c r="AE6" s="102">
        <v>10.1</v>
      </c>
      <c r="AF6" s="100">
        <v>0.17</v>
      </c>
      <c r="AG6" s="100">
        <v>3.48</v>
      </c>
      <c r="AH6" s="104">
        <v>104</v>
      </c>
      <c r="AI6" s="102">
        <v>1.1000000000000001</v>
      </c>
      <c r="AJ6" s="102">
        <v>0.73199999999999998</v>
      </c>
      <c r="AK6" s="102">
        <v>2.6</v>
      </c>
      <c r="AL6" s="47">
        <f t="shared" si="6"/>
        <v>8.4159592855474058E-3</v>
      </c>
      <c r="AM6" s="354">
        <f t="shared" si="7"/>
        <v>1.8300757598079571</v>
      </c>
      <c r="AN6" s="359">
        <f t="shared" si="8"/>
        <v>8.0578034682080912E-2</v>
      </c>
      <c r="AO6" s="354">
        <f t="shared" si="9"/>
        <v>0.24673549930237187</v>
      </c>
      <c r="AP6" s="8">
        <f t="shared" si="10"/>
        <v>2.4550058689345113</v>
      </c>
      <c r="AQ6" s="9">
        <f t="shared" si="11"/>
        <v>4.2602351605240951</v>
      </c>
      <c r="AR6" s="49">
        <f t="shared" si="2"/>
        <v>7.701754385964911E-3</v>
      </c>
      <c r="AS6" s="8">
        <f>P6/35.45</f>
        <v>0.15459332393041841</v>
      </c>
      <c r="AT6" s="50">
        <f>R6/79.9</f>
        <v>7.9682937004589061E-4</v>
      </c>
      <c r="AU6" s="8">
        <f>T6/62</f>
        <v>3.2032091653865842E-2</v>
      </c>
      <c r="AV6" s="8"/>
      <c r="AW6" s="9">
        <f t="shared" si="3"/>
        <v>10.385536980544533</v>
      </c>
      <c r="AX6" s="36">
        <f t="shared" si="12"/>
        <v>9.8324209275318193</v>
      </c>
      <c r="AY6" s="329">
        <f t="shared" si="13"/>
        <v>9.0149435269613409</v>
      </c>
      <c r="AZ6" s="22">
        <f t="shared" si="14"/>
        <v>10.847660979884827</v>
      </c>
      <c r="BA6" s="30">
        <f t="shared" ref="BA6" si="33">(AX6-AZ6)/(AX6+AZ6)*100</f>
        <v>-4.9092651416864301</v>
      </c>
      <c r="BB6" s="324">
        <f t="shared" si="15"/>
        <v>-9.2269745002061132</v>
      </c>
      <c r="BC6" s="492">
        <f t="shared" si="16"/>
        <v>10.672785958281924</v>
      </c>
      <c r="BD6" s="492">
        <f t="shared" si="17"/>
        <v>-4.0983006678732927</v>
      </c>
      <c r="BE6" s="493"/>
      <c r="BF6" s="365">
        <v>5.0788626369727252</v>
      </c>
      <c r="BG6" s="674">
        <f t="shared" si="18"/>
        <v>5.0788626369727254E-3</v>
      </c>
      <c r="BH6" s="111">
        <v>0.41866897075303217</v>
      </c>
      <c r="BI6" s="370">
        <v>1439.9586481267847</v>
      </c>
      <c r="BJ6" s="679">
        <f t="shared" si="19"/>
        <v>1.4399586481267848</v>
      </c>
      <c r="BK6" s="202">
        <v>69.845149133256029</v>
      </c>
      <c r="BL6" s="370">
        <v>7185.5290919649606</v>
      </c>
      <c r="BM6" s="202">
        <v>111.00142728002699</v>
      </c>
      <c r="BN6" s="337">
        <f t="shared" si="20"/>
        <v>732</v>
      </c>
      <c r="BO6" s="370">
        <v>13645.818390147697</v>
      </c>
      <c r="BP6" s="202">
        <v>884.40028253101718</v>
      </c>
      <c r="BQ6" s="370">
        <v>182.20695816049709</v>
      </c>
      <c r="BR6" s="679">
        <f t="shared" si="21"/>
        <v>0.18220695816049709</v>
      </c>
      <c r="BS6" s="202">
        <v>1.084464311515889</v>
      </c>
      <c r="BT6" s="373" t="s">
        <v>115</v>
      </c>
      <c r="BU6" s="680"/>
      <c r="BV6" s="111"/>
      <c r="BW6" s="375" t="s">
        <v>119</v>
      </c>
      <c r="BX6" s="680"/>
      <c r="BY6" s="378"/>
      <c r="BZ6" s="370">
        <v>1965.2325911490441</v>
      </c>
      <c r="CA6" s="111">
        <v>29.204169161367375</v>
      </c>
      <c r="CB6" s="337">
        <f t="shared" si="22"/>
        <v>2600</v>
      </c>
      <c r="CC6" s="370">
        <v>2323.3063300121867</v>
      </c>
      <c r="CD6" s="202">
        <v>14.455653540638936</v>
      </c>
      <c r="CE6" s="337">
        <f t="shared" si="23"/>
        <v>1100</v>
      </c>
      <c r="CF6" s="370">
        <v>22.045297563419968</v>
      </c>
      <c r="CG6" s="111">
        <v>0.16304249084770192</v>
      </c>
      <c r="CH6" s="376">
        <v>42.832652080268481</v>
      </c>
      <c r="CI6" s="111">
        <v>0.54066128026630667</v>
      </c>
      <c r="CJ6" s="376">
        <v>18.456044766856309</v>
      </c>
      <c r="CK6" s="111">
        <v>0.23887984876044249</v>
      </c>
      <c r="CL6" s="37">
        <v>132.26804111839402</v>
      </c>
      <c r="CM6" s="111">
        <v>1.8323324519707671</v>
      </c>
      <c r="CN6" s="370">
        <v>2.2606602787905077</v>
      </c>
      <c r="CO6" s="685">
        <f t="shared" si="24"/>
        <v>2.2606602787905079E-3</v>
      </c>
      <c r="CP6" s="111">
        <v>0.1093621841460545</v>
      </c>
      <c r="CQ6" s="365">
        <v>4.1803542108098668</v>
      </c>
      <c r="CR6" s="686">
        <f t="shared" si="25"/>
        <v>4.1803542108098668E-3</v>
      </c>
      <c r="CS6" s="111">
        <v>0.23479862142682695</v>
      </c>
      <c r="CT6" s="365">
        <v>1.1205333568767273</v>
      </c>
      <c r="CU6" s="685">
        <f t="shared" si="26"/>
        <v>1.1205333568767273E-3</v>
      </c>
      <c r="CV6" s="111">
        <v>8.2370075658120309E-2</v>
      </c>
      <c r="CW6" s="384">
        <v>18.281793067369868</v>
      </c>
      <c r="CX6" s="674">
        <f t="shared" si="27"/>
        <v>1.8281793067369868E-2</v>
      </c>
      <c r="CY6" s="111">
        <v>0.16415506656654799</v>
      </c>
      <c r="CZ6" s="370">
        <v>416.85326507373719</v>
      </c>
      <c r="DA6" s="679">
        <f t="shared" si="28"/>
        <v>0.41685326507373721</v>
      </c>
      <c r="DB6" s="111">
        <v>4.5969899936785081</v>
      </c>
      <c r="DC6" s="255" t="s">
        <v>116</v>
      </c>
      <c r="DD6" s="698"/>
      <c r="DE6" s="111"/>
      <c r="DF6" s="389" t="s">
        <v>117</v>
      </c>
      <c r="DG6" s="111"/>
      <c r="DH6" s="389" t="s">
        <v>116</v>
      </c>
      <c r="DI6" s="682"/>
      <c r="DJ6" s="111"/>
      <c r="DK6" s="389" t="s">
        <v>116</v>
      </c>
      <c r="DL6" s="682"/>
      <c r="DM6" s="111"/>
      <c r="DN6" s="391">
        <v>3.0353817791037909</v>
      </c>
      <c r="DO6" s="674">
        <f t="shared" si="29"/>
        <v>3.0353817791037908E-3</v>
      </c>
      <c r="DP6" s="111">
        <v>1.6722388215961323E-2</v>
      </c>
      <c r="DQ6" s="389" t="s">
        <v>118</v>
      </c>
      <c r="DR6" s="111"/>
      <c r="DS6" s="365">
        <v>1.0121614032303401</v>
      </c>
      <c r="DT6" s="692">
        <f t="shared" si="30"/>
        <v>1.0121614032303401E-3</v>
      </c>
      <c r="DU6" s="111">
        <v>1.3397611561365309E-2</v>
      </c>
      <c r="DV6" s="384">
        <v>43.554000423755234</v>
      </c>
      <c r="DW6" s="674">
        <f t="shared" si="31"/>
        <v>4.3554000423755235E-2</v>
      </c>
      <c r="DX6" s="111">
        <v>0.65294166386769559</v>
      </c>
      <c r="DY6" s="389" t="s">
        <v>119</v>
      </c>
      <c r="DZ6" s="111"/>
      <c r="EA6" s="368" t="s">
        <v>115</v>
      </c>
      <c r="EB6" s="111"/>
      <c r="EC6" s="389" t="s">
        <v>117</v>
      </c>
      <c r="ED6" s="111"/>
      <c r="EE6" s="389" t="s">
        <v>120</v>
      </c>
      <c r="EF6" s="111"/>
      <c r="EG6" s="383">
        <v>5.6441402670922791</v>
      </c>
      <c r="EH6" s="693">
        <f t="shared" si="32"/>
        <v>5.6441402670922795E-3</v>
      </c>
      <c r="EI6" s="396">
        <v>6.3817761493594818E-2</v>
      </c>
      <c r="EJ6" s="389" t="s">
        <v>118</v>
      </c>
      <c r="EK6" s="682"/>
      <c r="EL6" s="111"/>
      <c r="EM6" s="389" t="s">
        <v>120</v>
      </c>
      <c r="EN6" s="682"/>
      <c r="EO6" s="111"/>
    </row>
    <row r="7" spans="1:145" s="1" customFormat="1" ht="15.75" thickBot="1" x14ac:dyDescent="0.3">
      <c r="A7" s="16" t="s">
        <v>153</v>
      </c>
      <c r="B7" s="351">
        <v>6.3866327891569E-2</v>
      </c>
      <c r="C7" s="400">
        <v>0.9432938189877017</v>
      </c>
      <c r="D7" s="26">
        <v>64.509983564013851</v>
      </c>
      <c r="E7" s="210"/>
      <c r="F7" s="22">
        <v>1.7510294117647061</v>
      </c>
      <c r="G7" s="210"/>
      <c r="H7" s="22">
        <v>12.174804498269896</v>
      </c>
      <c r="I7" s="7"/>
      <c r="J7" s="7">
        <v>31.559730103806231</v>
      </c>
      <c r="K7" s="93"/>
      <c r="L7" s="10">
        <v>95.286900519031136</v>
      </c>
      <c r="M7" s="160"/>
      <c r="N7" s="184">
        <v>0.16466666666666666</v>
      </c>
      <c r="O7" s="181">
        <v>5.7735026918962634E-4</v>
      </c>
      <c r="P7" s="184">
        <v>7.269000000000001</v>
      </c>
      <c r="Q7" s="181">
        <v>4.9999999999998934E-3</v>
      </c>
      <c r="R7" s="184" t="s">
        <v>74</v>
      </c>
      <c r="S7" s="181"/>
      <c r="T7" s="47">
        <v>1.3356294846705807</v>
      </c>
      <c r="U7" s="9">
        <v>0.15145177104972787</v>
      </c>
      <c r="V7" s="157" t="s">
        <v>72</v>
      </c>
      <c r="W7" s="172">
        <v>495.29925636007829</v>
      </c>
      <c r="X7" s="162">
        <v>0.29468415924832819</v>
      </c>
      <c r="Y7" s="177">
        <v>45.3</v>
      </c>
      <c r="Z7" s="97">
        <f t="shared" si="0"/>
        <v>15.401999999999999</v>
      </c>
      <c r="AA7" s="97">
        <f t="shared" si="1"/>
        <v>0.90599999999999992</v>
      </c>
      <c r="AB7" s="98">
        <v>34.700000000000003</v>
      </c>
      <c r="AC7" s="294">
        <f t="shared" si="4"/>
        <v>21.167000000000002</v>
      </c>
      <c r="AD7" s="299">
        <f t="shared" si="5"/>
        <v>0.34700000000000003</v>
      </c>
      <c r="AE7" s="102">
        <v>7.8</v>
      </c>
      <c r="AF7" s="100">
        <v>0.18</v>
      </c>
      <c r="AG7" s="100">
        <v>13.12</v>
      </c>
      <c r="AH7" s="104">
        <v>260</v>
      </c>
      <c r="AI7" s="102">
        <v>0.7</v>
      </c>
      <c r="AJ7" s="102">
        <v>0.115</v>
      </c>
      <c r="AK7" s="102">
        <v>1</v>
      </c>
      <c r="AL7" s="47">
        <f t="shared" si="6"/>
        <v>9.123761127367E-3</v>
      </c>
      <c r="AM7" s="354">
        <f t="shared" si="7"/>
        <v>2.8047818940875588</v>
      </c>
      <c r="AN7" s="359">
        <f t="shared" si="8"/>
        <v>9.7279411764705892E-2</v>
      </c>
      <c r="AO7" s="354">
        <f t="shared" si="9"/>
        <v>0.3121744743146127</v>
      </c>
      <c r="AP7" s="8">
        <f t="shared" si="10"/>
        <v>2.5975086505190315</v>
      </c>
      <c r="AQ7" s="9">
        <f t="shared" si="11"/>
        <v>4.7560219874734786</v>
      </c>
      <c r="AR7" s="49">
        <f t="shared" si="2"/>
        <v>8.6666666666666663E-3</v>
      </c>
      <c r="AS7" s="8">
        <f>P7/35.45</f>
        <v>0.20504936530324402</v>
      </c>
      <c r="AT7" s="50"/>
      <c r="AU7" s="8">
        <f>T7/62</f>
        <v>2.1542411043073882E-2</v>
      </c>
      <c r="AV7" s="8"/>
      <c r="AW7" s="9">
        <f t="shared" si="3"/>
        <v>10.318734507501631</v>
      </c>
      <c r="AX7" s="37">
        <f t="shared" si="12"/>
        <v>11.633139296563371</v>
      </c>
      <c r="AY7" s="330">
        <f t="shared" si="13"/>
        <v>10.553313585172234</v>
      </c>
      <c r="AZ7" s="38">
        <f t="shared" si="14"/>
        <v>10.900992950514615</v>
      </c>
      <c r="BA7" s="39">
        <f>(AX7-AZ7)/(AX7+AZ7)*100</f>
        <v>3.2490549803340838</v>
      </c>
      <c r="BB7" s="325">
        <f t="shared" si="15"/>
        <v>-1.6205574613379168</v>
      </c>
      <c r="BC7" s="492">
        <f t="shared" si="16"/>
        <v>10.541356043167237</v>
      </c>
      <c r="BD7" s="492">
        <f t="shared" si="17"/>
        <v>4.923599101892334</v>
      </c>
      <c r="BE7" s="494"/>
      <c r="BF7" s="365">
        <v>5.9136755742276677</v>
      </c>
      <c r="BG7" s="674">
        <f t="shared" si="18"/>
        <v>5.9136755742276673E-3</v>
      </c>
      <c r="BH7" s="111">
        <v>0.34890303966255304</v>
      </c>
      <c r="BI7" s="370">
        <v>1419.9843675594918</v>
      </c>
      <c r="BJ7" s="679">
        <f t="shared" si="19"/>
        <v>1.4199843675594919</v>
      </c>
      <c r="BK7" s="202">
        <v>50.187276340574051</v>
      </c>
      <c r="BL7" s="370">
        <v>8379.8176244601291</v>
      </c>
      <c r="BM7" s="202">
        <v>186.23012511182594</v>
      </c>
      <c r="BN7" s="337">
        <f t="shared" si="20"/>
        <v>115</v>
      </c>
      <c r="BO7" s="370">
        <v>16427.535517603399</v>
      </c>
      <c r="BP7" s="202">
        <v>1023.7846890335881</v>
      </c>
      <c r="BQ7" s="370">
        <v>188.10368280600355</v>
      </c>
      <c r="BR7" s="679">
        <f t="shared" si="21"/>
        <v>0.18810368280600354</v>
      </c>
      <c r="BS7" s="202">
        <v>4.6774767571320455</v>
      </c>
      <c r="BT7" s="373" t="s">
        <v>115</v>
      </c>
      <c r="BU7" s="680"/>
      <c r="BV7" s="111"/>
      <c r="BW7" s="375" t="s">
        <v>119</v>
      </c>
      <c r="BX7" s="680"/>
      <c r="BY7" s="379"/>
      <c r="BZ7" s="370">
        <v>2277.3568913924682</v>
      </c>
      <c r="CA7" s="111">
        <v>27.930203139223373</v>
      </c>
      <c r="CB7" s="337">
        <f t="shared" si="22"/>
        <v>1000</v>
      </c>
      <c r="CC7" s="370">
        <v>1206.8408289985234</v>
      </c>
      <c r="CD7" s="202">
        <v>31.726109772876526</v>
      </c>
      <c r="CE7" s="337">
        <f t="shared" si="23"/>
        <v>700</v>
      </c>
      <c r="CF7" s="370">
        <v>31.673614481235976</v>
      </c>
      <c r="CG7" s="111">
        <v>0.44977550968057456</v>
      </c>
      <c r="CH7" s="376">
        <v>53.373537347022356</v>
      </c>
      <c r="CI7" s="111">
        <v>0.83121050131539642</v>
      </c>
      <c r="CJ7" s="376">
        <v>17.980732365177452</v>
      </c>
      <c r="CK7" s="111">
        <v>0.39957202961658056</v>
      </c>
      <c r="CL7" s="37">
        <v>178.28612701636393</v>
      </c>
      <c r="CM7" s="111">
        <v>2.4939751841653233</v>
      </c>
      <c r="CN7" s="384">
        <v>2.8621808736759768</v>
      </c>
      <c r="CO7" s="685">
        <f t="shared" si="24"/>
        <v>2.8621808736759768E-3</v>
      </c>
      <c r="CP7" s="111">
        <v>7.1034425060552214E-2</v>
      </c>
      <c r="CQ7" s="365">
        <v>5.2075357043988015</v>
      </c>
      <c r="CR7" s="686">
        <f t="shared" si="25"/>
        <v>5.2075357043988016E-3</v>
      </c>
      <c r="CS7" s="111">
        <v>0.31511469852626983</v>
      </c>
      <c r="CT7" s="365">
        <v>1.1995430151085926</v>
      </c>
      <c r="CU7" s="685">
        <f t="shared" si="26"/>
        <v>1.1995430151085927E-3</v>
      </c>
      <c r="CV7" s="111">
        <v>8.3717795158073163E-2</v>
      </c>
      <c r="CW7" s="384">
        <v>18.764728415583345</v>
      </c>
      <c r="CX7" s="674">
        <f t="shared" si="27"/>
        <v>1.8764728415583347E-2</v>
      </c>
      <c r="CY7" s="111">
        <v>0.15690944618063254</v>
      </c>
      <c r="CZ7" s="370">
        <v>418.46058247629327</v>
      </c>
      <c r="DA7" s="679">
        <f t="shared" si="28"/>
        <v>0.41846058247629325</v>
      </c>
      <c r="DB7" s="111">
        <v>5.1449626256752028</v>
      </c>
      <c r="DC7" s="255" t="s">
        <v>116</v>
      </c>
      <c r="DD7" s="698"/>
      <c r="DE7" s="111"/>
      <c r="DF7" s="389" t="s">
        <v>117</v>
      </c>
      <c r="DG7" s="111"/>
      <c r="DH7" s="389" t="s">
        <v>116</v>
      </c>
      <c r="DI7" s="682"/>
      <c r="DJ7" s="111"/>
      <c r="DK7" s="389" t="s">
        <v>116</v>
      </c>
      <c r="DL7" s="682"/>
      <c r="DM7" s="111"/>
      <c r="DN7" s="391">
        <v>277.7786680935406</v>
      </c>
      <c r="DO7" s="674">
        <f t="shared" si="29"/>
        <v>0.27777866809354063</v>
      </c>
      <c r="DP7" s="111">
        <v>1.8983374597922016</v>
      </c>
      <c r="DQ7" s="389" t="s">
        <v>118</v>
      </c>
      <c r="DR7" s="111"/>
      <c r="DS7" s="365">
        <v>1.7953866175770132</v>
      </c>
      <c r="DT7" s="692">
        <f t="shared" si="30"/>
        <v>1.7953866175770131E-3</v>
      </c>
      <c r="DU7" s="111">
        <v>1.3827614388302996E-2</v>
      </c>
      <c r="DV7" s="384">
        <v>50.056573714725282</v>
      </c>
      <c r="DW7" s="674">
        <f t="shared" si="31"/>
        <v>5.0056573714725279E-2</v>
      </c>
      <c r="DX7" s="111">
        <v>0.53536024471840793</v>
      </c>
      <c r="DY7" s="389" t="s">
        <v>119</v>
      </c>
      <c r="DZ7" s="111"/>
      <c r="EA7" s="368" t="s">
        <v>115</v>
      </c>
      <c r="EB7" s="111"/>
      <c r="EC7" s="389" t="s">
        <v>117</v>
      </c>
      <c r="ED7" s="111"/>
      <c r="EE7" s="389" t="s">
        <v>120</v>
      </c>
      <c r="EF7" s="111"/>
      <c r="EG7" s="383">
        <v>6.2535807796192984</v>
      </c>
      <c r="EH7" s="693">
        <f t="shared" si="32"/>
        <v>6.2535807796192987E-3</v>
      </c>
      <c r="EI7" s="396">
        <v>8.901944585338803E-2</v>
      </c>
      <c r="EJ7" s="389" t="s">
        <v>118</v>
      </c>
      <c r="EK7" s="682"/>
      <c r="EL7" s="111"/>
      <c r="EM7" s="389" t="s">
        <v>120</v>
      </c>
      <c r="EN7" s="682"/>
      <c r="EO7" s="111"/>
    </row>
    <row r="8" spans="1:145" ht="15.75" thickBot="1" x14ac:dyDescent="0.3">
      <c r="A8" s="17" t="s">
        <v>154</v>
      </c>
      <c r="B8" s="352">
        <v>6.010249246175705E-2</v>
      </c>
      <c r="C8" s="401">
        <v>1.9731098450471793</v>
      </c>
      <c r="D8" s="27">
        <v>39.71884417910448</v>
      </c>
      <c r="E8" s="211"/>
      <c r="F8" s="23">
        <v>1.7203450746268658</v>
      </c>
      <c r="G8" s="211"/>
      <c r="H8" s="23">
        <v>13.571611144278608</v>
      </c>
      <c r="I8" s="11"/>
      <c r="J8" s="11">
        <v>29.527560199004977</v>
      </c>
      <c r="K8" s="92"/>
      <c r="L8" s="31">
        <v>87.234573930348247</v>
      </c>
      <c r="M8" s="158"/>
      <c r="N8" s="68">
        <v>0.14599999999999999</v>
      </c>
      <c r="O8" s="182">
        <v>5.7735026918962634E-4</v>
      </c>
      <c r="P8" s="68">
        <v>7.0350000000000001</v>
      </c>
      <c r="Q8" s="182">
        <v>6.9999999999999906E-3</v>
      </c>
      <c r="R8" s="68" t="s">
        <v>74</v>
      </c>
      <c r="S8" s="182"/>
      <c r="T8" s="68" t="s">
        <v>75</v>
      </c>
      <c r="U8" s="188"/>
      <c r="V8" s="158" t="s">
        <v>72</v>
      </c>
      <c r="W8" s="173">
        <v>493.56928236614505</v>
      </c>
      <c r="X8" s="163">
        <v>0.31235382219945917</v>
      </c>
      <c r="Y8" s="222">
        <v>42.5</v>
      </c>
      <c r="Z8" s="224">
        <f t="shared" si="0"/>
        <v>14.45</v>
      </c>
      <c r="AA8" s="224">
        <f t="shared" si="1"/>
        <v>0.85</v>
      </c>
      <c r="AB8" s="223">
        <v>30.3</v>
      </c>
      <c r="AC8" s="295">
        <f t="shared" si="4"/>
        <v>18.483000000000001</v>
      </c>
      <c r="AD8" s="300">
        <f t="shared" si="5"/>
        <v>0.30299999999999999</v>
      </c>
      <c r="AE8" s="225">
        <v>9.5</v>
      </c>
      <c r="AF8" s="226">
        <v>0.15</v>
      </c>
      <c r="AG8" s="226">
        <v>11.28</v>
      </c>
      <c r="AH8" s="227">
        <v>240</v>
      </c>
      <c r="AI8" s="225">
        <v>0.9</v>
      </c>
      <c r="AJ8" s="225">
        <v>1.0009999999999999</v>
      </c>
      <c r="AK8" s="225">
        <v>2.7</v>
      </c>
      <c r="AL8" s="264">
        <f t="shared" si="6"/>
        <v>8.586070351679579E-3</v>
      </c>
      <c r="AM8" s="355">
        <f t="shared" si="7"/>
        <v>1.7269062686567165</v>
      </c>
      <c r="AN8" s="360">
        <f t="shared" si="8"/>
        <v>9.557472636815921E-2</v>
      </c>
      <c r="AO8" s="355">
        <f t="shared" si="9"/>
        <v>0.34799002934047712</v>
      </c>
      <c r="AP8" s="356">
        <f t="shared" si="10"/>
        <v>2.430251868230862</v>
      </c>
      <c r="AQ8" s="357">
        <f t="shared" si="11"/>
        <v>4.3541090057573371</v>
      </c>
      <c r="AR8" s="52">
        <f t="shared" si="2"/>
        <v>7.684210526315789E-3</v>
      </c>
      <c r="AS8" s="11">
        <f>P8/35.45</f>
        <v>0.19844851904090266</v>
      </c>
      <c r="AT8" s="54"/>
      <c r="AU8" s="11"/>
      <c r="AV8" s="53"/>
      <c r="AW8" s="31">
        <f t="shared" si="3"/>
        <v>10.282693382628022</v>
      </c>
      <c r="AX8" s="55">
        <f t="shared" si="12"/>
        <v>9.8998746824415456</v>
      </c>
      <c r="AY8" s="331">
        <f t="shared" si="13"/>
        <v>9.1088262301095337</v>
      </c>
      <c r="AZ8" s="23">
        <f t="shared" si="14"/>
        <v>10.791826112195242</v>
      </c>
      <c r="BA8" s="56">
        <f t="shared" ref="BA8:BA23" si="34">(AX8-AZ8)/(AX8+AZ8)*100</f>
        <v>-4.3106723734613777</v>
      </c>
      <c r="BB8" s="326">
        <f t="shared" si="15"/>
        <v>-8.4570086102554018</v>
      </c>
      <c r="BC8" s="492">
        <f t="shared" si="16"/>
        <v>10.552718371269549</v>
      </c>
      <c r="BD8" s="492">
        <f t="shared" si="17"/>
        <v>-3.1919849337125781</v>
      </c>
      <c r="BE8" s="495"/>
      <c r="BF8" s="366">
        <v>5.1522471632498084</v>
      </c>
      <c r="BG8" s="674">
        <f t="shared" si="18"/>
        <v>5.1522471632498082E-3</v>
      </c>
      <c r="BH8" s="199">
        <v>0.3514924061389087</v>
      </c>
      <c r="BI8" s="371">
        <v>1328.5455672097626</v>
      </c>
      <c r="BJ8" s="679">
        <f t="shared" si="19"/>
        <v>1.3285455672097626</v>
      </c>
      <c r="BK8" s="203">
        <v>29.426888318797463</v>
      </c>
      <c r="BL8" s="371">
        <v>7161.5385833197788</v>
      </c>
      <c r="BM8" s="274">
        <v>163.46756648291179</v>
      </c>
      <c r="BN8" s="338">
        <f t="shared" si="20"/>
        <v>1000.9999999999999</v>
      </c>
      <c r="BO8" s="371">
        <v>13979.331232171484</v>
      </c>
      <c r="BP8" s="203">
        <v>1129.1249967643819</v>
      </c>
      <c r="BQ8" s="371">
        <v>191.73970867789035</v>
      </c>
      <c r="BR8" s="679">
        <f t="shared" si="21"/>
        <v>0.19173970867789034</v>
      </c>
      <c r="BS8" s="203">
        <v>7.2447245840085692</v>
      </c>
      <c r="BT8" s="374" t="s">
        <v>115</v>
      </c>
      <c r="BU8" s="683"/>
      <c r="BV8" s="199"/>
      <c r="BW8" s="374" t="s">
        <v>119</v>
      </c>
      <c r="BX8" s="683"/>
      <c r="BY8" s="380"/>
      <c r="BZ8" s="371">
        <v>2089.4864285335361</v>
      </c>
      <c r="CA8" s="199">
        <v>53.00608577937718</v>
      </c>
      <c r="CB8" s="338">
        <f t="shared" si="22"/>
        <v>2700</v>
      </c>
      <c r="CC8" s="371">
        <v>1845.343074431526</v>
      </c>
      <c r="CD8" s="203">
        <v>26.707592124738632</v>
      </c>
      <c r="CE8" s="338">
        <f t="shared" si="23"/>
        <v>900</v>
      </c>
      <c r="CF8" s="381">
        <v>23.63905713653984</v>
      </c>
      <c r="CG8" s="199">
        <v>0.20975292070655321</v>
      </c>
      <c r="CH8" s="382">
        <v>35.8271803357718</v>
      </c>
      <c r="CI8" s="199">
        <v>0.24159505391310079</v>
      </c>
      <c r="CJ8" s="382">
        <v>2.2738243825783604</v>
      </c>
      <c r="CK8" s="199">
        <v>3.1700100369557255E-2</v>
      </c>
      <c r="CL8" s="261">
        <v>160.87110356404702</v>
      </c>
      <c r="CM8" s="199">
        <v>0.72553272993089646</v>
      </c>
      <c r="CN8" s="371">
        <v>2.1636501640925792</v>
      </c>
      <c r="CO8" s="685">
        <f t="shared" si="24"/>
        <v>2.163650164092579E-3</v>
      </c>
      <c r="CP8" s="199">
        <v>0.10340527008178915</v>
      </c>
      <c r="CQ8" s="366">
        <v>3.9606908372859047</v>
      </c>
      <c r="CR8" s="686">
        <f t="shared" si="25"/>
        <v>3.9606908372859049E-3</v>
      </c>
      <c r="CS8" s="199">
        <v>0.22434582543107884</v>
      </c>
      <c r="CT8" s="366">
        <v>1.0575334045682887</v>
      </c>
      <c r="CU8" s="685">
        <f t="shared" si="26"/>
        <v>1.0575334045682886E-3</v>
      </c>
      <c r="CV8" s="199">
        <v>5.8182232192031093E-2</v>
      </c>
      <c r="CW8" s="381">
        <v>18.099217677689225</v>
      </c>
      <c r="CX8" s="674">
        <f t="shared" si="27"/>
        <v>1.8099217677689225E-2</v>
      </c>
      <c r="CY8" s="199">
        <v>0.31918171063164152</v>
      </c>
      <c r="CZ8" s="371">
        <v>424.15101714010501</v>
      </c>
      <c r="DA8" s="679">
        <f t="shared" si="28"/>
        <v>0.424151017140105</v>
      </c>
      <c r="DB8" s="199">
        <v>7.9530600408741519</v>
      </c>
      <c r="DC8" s="265" t="s">
        <v>116</v>
      </c>
      <c r="DD8" s="699"/>
      <c r="DE8" s="199"/>
      <c r="DF8" s="390" t="s">
        <v>117</v>
      </c>
      <c r="DG8" s="199"/>
      <c r="DH8" s="390" t="s">
        <v>116</v>
      </c>
      <c r="DI8" s="704"/>
      <c r="DJ8" s="199"/>
      <c r="DK8" s="390" t="s">
        <v>116</v>
      </c>
      <c r="DL8" s="704"/>
      <c r="DM8" s="199"/>
      <c r="DN8" s="392">
        <v>2.4183897605698483</v>
      </c>
      <c r="DO8" s="674">
        <f t="shared" si="29"/>
        <v>2.4183897605698484E-3</v>
      </c>
      <c r="DP8" s="199">
        <v>7.4967889798212173E-2</v>
      </c>
      <c r="DQ8" s="390" t="s">
        <v>118</v>
      </c>
      <c r="DR8" s="199"/>
      <c r="DS8" s="367" t="s">
        <v>121</v>
      </c>
      <c r="DT8" s="692" t="e">
        <f t="shared" si="30"/>
        <v>#VALUE!</v>
      </c>
      <c r="DU8" s="199"/>
      <c r="DV8" s="381">
        <v>48.696042140059362</v>
      </c>
      <c r="DW8" s="674">
        <f t="shared" si="31"/>
        <v>4.8696042140059362E-2</v>
      </c>
      <c r="DX8" s="199">
        <v>0.75825091707956971</v>
      </c>
      <c r="DY8" s="390" t="s">
        <v>119</v>
      </c>
      <c r="DZ8" s="199"/>
      <c r="EA8" s="367" t="s">
        <v>115</v>
      </c>
      <c r="EB8" s="199"/>
      <c r="EC8" s="390" t="s">
        <v>117</v>
      </c>
      <c r="ED8" s="199"/>
      <c r="EE8" s="390" t="s">
        <v>120</v>
      </c>
      <c r="EF8" s="199"/>
      <c r="EG8" s="393">
        <v>4.8688940118100934</v>
      </c>
      <c r="EH8" s="693">
        <f t="shared" si="32"/>
        <v>4.8688940118100932E-3</v>
      </c>
      <c r="EI8" s="397">
        <v>4.6503344243108556E-2</v>
      </c>
      <c r="EJ8" s="390" t="s">
        <v>118</v>
      </c>
      <c r="EK8" s="704"/>
      <c r="EL8" s="199"/>
      <c r="EM8" s="390" t="s">
        <v>120</v>
      </c>
      <c r="EN8" s="704"/>
      <c r="EO8" s="199"/>
    </row>
    <row r="9" spans="1:145" ht="15.75" thickBot="1" x14ac:dyDescent="0.3">
      <c r="A9" s="15" t="s">
        <v>155</v>
      </c>
      <c r="B9" s="350">
        <v>0.2166183757191735</v>
      </c>
      <c r="C9" s="402">
        <v>1.6706728565976832</v>
      </c>
      <c r="D9" s="347">
        <v>59.872330816610372</v>
      </c>
      <c r="E9" s="212"/>
      <c r="F9" s="21">
        <v>1.1753343930061593</v>
      </c>
      <c r="G9" s="212"/>
      <c r="H9" s="3">
        <v>7.2711364991059009</v>
      </c>
      <c r="I9" s="3"/>
      <c r="J9" s="3">
        <v>70.450340353665808</v>
      </c>
      <c r="K9" s="193"/>
      <c r="L9" s="6">
        <v>61.137309358235647</v>
      </c>
      <c r="M9" s="195"/>
      <c r="N9" s="187">
        <v>0.8653333333333334</v>
      </c>
      <c r="O9" s="164">
        <v>1.9655363983740775E-2</v>
      </c>
      <c r="P9" s="333">
        <v>83.684666666666672</v>
      </c>
      <c r="Q9" s="186">
        <v>0.34346227352263026</v>
      </c>
      <c r="R9" s="187" t="s">
        <v>74</v>
      </c>
      <c r="S9" s="186"/>
      <c r="T9" s="44">
        <v>25.318956555319556</v>
      </c>
      <c r="U9" s="5">
        <v>0.10386953848517932</v>
      </c>
      <c r="V9" s="159" t="s">
        <v>72</v>
      </c>
      <c r="W9" s="174">
        <v>762.78304074145581</v>
      </c>
      <c r="X9" s="164">
        <v>0.28835101832135129</v>
      </c>
      <c r="Y9" s="178">
        <v>153.4</v>
      </c>
      <c r="Z9" s="95">
        <f t="shared" si="0"/>
        <v>52.155999999999999</v>
      </c>
      <c r="AA9" s="95">
        <f t="shared" si="1"/>
        <v>3.0680000000000001</v>
      </c>
      <c r="AB9" s="96">
        <v>0</v>
      </c>
      <c r="AC9" s="296">
        <f t="shared" si="4"/>
        <v>0</v>
      </c>
      <c r="AD9" s="301">
        <f t="shared" si="5"/>
        <v>0</v>
      </c>
      <c r="AE9" s="101">
        <v>14.6</v>
      </c>
      <c r="AF9" s="99">
        <v>0.76</v>
      </c>
      <c r="AG9" s="99">
        <v>8.7200000000000006</v>
      </c>
      <c r="AH9" s="103">
        <v>550</v>
      </c>
      <c r="AI9" s="101">
        <v>3.42</v>
      </c>
      <c r="AJ9" s="101">
        <v>3.036</v>
      </c>
      <c r="AK9" s="101">
        <v>4.2</v>
      </c>
      <c r="AL9" s="44">
        <f t="shared" si="6"/>
        <v>3.0945482245596213E-2</v>
      </c>
      <c r="AM9" s="4">
        <f t="shared" si="7"/>
        <v>2.6031448181134946</v>
      </c>
      <c r="AN9" s="361">
        <f t="shared" si="8"/>
        <v>6.5296355167008852E-2</v>
      </c>
      <c r="AO9" s="4">
        <f t="shared" si="9"/>
        <v>0.18643939741297183</v>
      </c>
      <c r="AP9" s="4">
        <f t="shared" si="10"/>
        <v>5.7983819221124122</v>
      </c>
      <c r="AQ9" s="5">
        <f t="shared" si="11"/>
        <v>3.0515252986391639</v>
      </c>
      <c r="AR9" s="45">
        <f t="shared" si="2"/>
        <v>4.554385964912281E-2</v>
      </c>
      <c r="AS9" s="412">
        <f>AE9/35.45</f>
        <v>0.41184767277856132</v>
      </c>
      <c r="AT9" s="46"/>
      <c r="AU9" s="4">
        <f>T9/62</f>
        <v>0.40837026702128315</v>
      </c>
      <c r="AV9" s="4"/>
      <c r="AW9" s="5">
        <f t="shared" si="3"/>
        <v>15.891313348780329</v>
      </c>
      <c r="AX9" s="35">
        <f t="shared" si="12"/>
        <v>17.872631629895704</v>
      </c>
      <c r="AY9" s="332">
        <f t="shared" si="13"/>
        <v>12.280497524584243</v>
      </c>
      <c r="AZ9" s="21">
        <f t="shared" si="14"/>
        <v>16.757075148229298</v>
      </c>
      <c r="BA9" s="29">
        <f t="shared" si="34"/>
        <v>3.2213858720024864</v>
      </c>
      <c r="BB9" s="327">
        <f t="shared" si="15"/>
        <v>-15.416500800827116</v>
      </c>
      <c r="BC9" s="492">
        <f t="shared" si="16"/>
        <v>16.314839018930261</v>
      </c>
      <c r="BD9" s="492">
        <f t="shared" si="17"/>
        <v>4.5566184961944209</v>
      </c>
      <c r="BE9" s="496"/>
      <c r="BF9" s="364">
        <v>21.679902804605035</v>
      </c>
      <c r="BG9" s="674">
        <f t="shared" si="18"/>
        <v>2.1679902804605036E-2</v>
      </c>
      <c r="BH9" s="6">
        <v>0.61566779966580987</v>
      </c>
      <c r="BI9" s="369">
        <v>1240.0391554428686</v>
      </c>
      <c r="BJ9" s="679">
        <f t="shared" si="19"/>
        <v>1.2400391554428687</v>
      </c>
      <c r="BK9" s="201">
        <v>46.895252305436173</v>
      </c>
      <c r="BL9" s="369">
        <v>50804.320171406813</v>
      </c>
      <c r="BM9" s="201">
        <v>958.80022870039056</v>
      </c>
      <c r="BN9" s="339">
        <f t="shared" si="20"/>
        <v>3036</v>
      </c>
      <c r="BO9" s="369">
        <v>71830.779142184489</v>
      </c>
      <c r="BP9" s="201">
        <v>6457.8531463764657</v>
      </c>
      <c r="BQ9" s="369">
        <v>132.32898878746025</v>
      </c>
      <c r="BR9" s="679">
        <f t="shared" si="21"/>
        <v>0.13232898878746024</v>
      </c>
      <c r="BS9" s="201">
        <v>0.84846273006793171</v>
      </c>
      <c r="BT9" s="372" t="s">
        <v>115</v>
      </c>
      <c r="BU9" s="694"/>
      <c r="BV9" s="6"/>
      <c r="BW9" s="369">
        <v>9.3921166464609485</v>
      </c>
      <c r="BX9" s="677"/>
      <c r="BY9" s="377">
        <v>0.1897336153950599</v>
      </c>
      <c r="BZ9" s="369">
        <v>8612.8048577020236</v>
      </c>
      <c r="CA9" s="6">
        <v>71.036514342841514</v>
      </c>
      <c r="CB9" s="339">
        <f>AK9*1000</f>
        <v>4200</v>
      </c>
      <c r="CC9" s="369">
        <v>5095.2581807707438</v>
      </c>
      <c r="CD9" s="201">
        <v>133.68660936329894</v>
      </c>
      <c r="CE9" s="339">
        <f>AI9*1000</f>
        <v>3420</v>
      </c>
      <c r="CF9" s="369">
        <v>248.09587618445013</v>
      </c>
      <c r="CG9" s="201">
        <v>4.587140873018611</v>
      </c>
      <c r="CH9" s="369">
        <v>387.83442480601093</v>
      </c>
      <c r="CI9" s="6">
        <v>6.546683688080055</v>
      </c>
      <c r="CJ9" s="369">
        <v>37.638164416215581</v>
      </c>
      <c r="CK9" s="6">
        <v>0.66018643545534272</v>
      </c>
      <c r="CL9" s="248">
        <v>701.6453365382223</v>
      </c>
      <c r="CM9" s="6">
        <v>6.9296902727235796</v>
      </c>
      <c r="CN9" s="369">
        <v>6.9688225668893677</v>
      </c>
      <c r="CO9" s="685">
        <f t="shared" si="24"/>
        <v>6.9688225668893674E-3</v>
      </c>
      <c r="CP9" s="6">
        <v>0.12520136124200351</v>
      </c>
      <c r="CQ9" s="364">
        <v>12.482974494042894</v>
      </c>
      <c r="CR9" s="686">
        <f t="shared" si="25"/>
        <v>1.2482974494042894E-2</v>
      </c>
      <c r="CS9" s="6">
        <v>0.38216622638547371</v>
      </c>
      <c r="CT9" s="364">
        <v>3.146587836760113</v>
      </c>
      <c r="CU9" s="685">
        <f t="shared" si="26"/>
        <v>3.1465878367601132E-3</v>
      </c>
      <c r="CV9" s="6">
        <v>0.22436870743953069</v>
      </c>
      <c r="CW9" s="387">
        <v>10.796754991482004</v>
      </c>
      <c r="CX9" s="674">
        <f t="shared" si="27"/>
        <v>1.0796754991482005E-2</v>
      </c>
      <c r="CY9" s="6">
        <v>0.29020908185706601</v>
      </c>
      <c r="CZ9" s="369">
        <v>225.50636309027507</v>
      </c>
      <c r="DA9" s="679">
        <f t="shared" si="28"/>
        <v>0.22550636309027508</v>
      </c>
      <c r="DB9" s="6">
        <v>4.7746836361243359</v>
      </c>
      <c r="DC9" s="246" t="s">
        <v>116</v>
      </c>
      <c r="DD9" s="700"/>
      <c r="DE9" s="6"/>
      <c r="DF9" s="388" t="s">
        <v>117</v>
      </c>
      <c r="DG9" s="6"/>
      <c r="DH9" s="388" t="s">
        <v>116</v>
      </c>
      <c r="DI9" s="705"/>
      <c r="DJ9" s="6"/>
      <c r="DK9" s="388" t="s">
        <v>116</v>
      </c>
      <c r="DL9" s="705"/>
      <c r="DM9" s="6"/>
      <c r="DN9" s="387">
        <v>12.260466448197828</v>
      </c>
      <c r="DO9" s="674">
        <f t="shared" si="29"/>
        <v>1.2260466448197829E-2</v>
      </c>
      <c r="DP9" s="6">
        <v>0.15021977695723898</v>
      </c>
      <c r="DQ9" s="388" t="s">
        <v>118</v>
      </c>
      <c r="DR9" s="6"/>
      <c r="DS9" s="364">
        <v>1.0341279172891666</v>
      </c>
      <c r="DT9" s="692">
        <f t="shared" si="30"/>
        <v>1.0341279172891666E-3</v>
      </c>
      <c r="DU9" s="6">
        <v>2.622102531535183E-2</v>
      </c>
      <c r="DV9" s="387">
        <v>25.081467268050183</v>
      </c>
      <c r="DW9" s="674">
        <f t="shared" si="31"/>
        <v>2.5081467268050182E-2</v>
      </c>
      <c r="DX9" s="6">
        <v>0.23501626647670698</v>
      </c>
      <c r="DY9" s="388" t="s">
        <v>119</v>
      </c>
      <c r="DZ9" s="6"/>
      <c r="EA9" s="386" t="s">
        <v>115</v>
      </c>
      <c r="EB9" s="6"/>
      <c r="EC9" s="388" t="s">
        <v>117</v>
      </c>
      <c r="ED9" s="6"/>
      <c r="EE9" s="388" t="s">
        <v>120</v>
      </c>
      <c r="EF9" s="6"/>
      <c r="EG9" s="364">
        <v>5.2767000898386298</v>
      </c>
      <c r="EH9" s="693">
        <f t="shared" si="32"/>
        <v>5.2767000898386301E-3</v>
      </c>
      <c r="EI9" s="395">
        <v>6.1196499734416772E-2</v>
      </c>
      <c r="EJ9" s="388" t="s">
        <v>118</v>
      </c>
      <c r="EK9" s="705"/>
      <c r="EL9" s="6"/>
      <c r="EM9" s="387">
        <v>1.3439587247043392</v>
      </c>
      <c r="EN9" s="688"/>
      <c r="EO9" s="6">
        <v>3.3439359231158795E-2</v>
      </c>
    </row>
    <row r="10" spans="1:145" ht="15.75" thickBot="1" x14ac:dyDescent="0.3">
      <c r="A10" s="16" t="s">
        <v>156</v>
      </c>
      <c r="B10" s="351">
        <v>0.22096848945665928</v>
      </c>
      <c r="C10" s="400">
        <v>5.0893266760182341</v>
      </c>
      <c r="D10" s="348">
        <v>54.852515923566884</v>
      </c>
      <c r="E10" s="210"/>
      <c r="F10" s="22">
        <v>0.98842356687898103</v>
      </c>
      <c r="G10" s="210"/>
      <c r="H10" s="7">
        <v>5.9804617834394911</v>
      </c>
      <c r="I10" s="7"/>
      <c r="J10" s="7">
        <v>66.444028662420394</v>
      </c>
      <c r="K10" s="93"/>
      <c r="L10" s="10">
        <v>62.620127388535039</v>
      </c>
      <c r="M10" s="160"/>
      <c r="N10" s="184">
        <v>0.87966666666666671</v>
      </c>
      <c r="O10" s="162">
        <v>9.0184995056457971E-3</v>
      </c>
      <c r="P10" s="334">
        <v>83.233666666666679</v>
      </c>
      <c r="Q10" s="181">
        <v>0.17632167573310956</v>
      </c>
      <c r="R10" s="184" t="s">
        <v>74</v>
      </c>
      <c r="S10" s="181"/>
      <c r="T10" s="47">
        <v>6.0532378148511619</v>
      </c>
      <c r="U10" s="9">
        <v>6.0531050727743736E-2</v>
      </c>
      <c r="V10" s="157" t="s">
        <v>72</v>
      </c>
      <c r="W10" s="172">
        <v>760.59935335296052</v>
      </c>
      <c r="X10" s="162">
        <v>1.0558744652475252</v>
      </c>
      <c r="Y10" s="177">
        <v>150.19999999999999</v>
      </c>
      <c r="Z10" s="97">
        <f t="shared" si="0"/>
        <v>51.067999999999991</v>
      </c>
      <c r="AA10" s="97">
        <f t="shared" si="1"/>
        <v>3.0039999999999996</v>
      </c>
      <c r="AB10" s="98">
        <v>0</v>
      </c>
      <c r="AC10" s="294">
        <f t="shared" si="4"/>
        <v>0</v>
      </c>
      <c r="AD10" s="299">
        <f t="shared" si="5"/>
        <v>0</v>
      </c>
      <c r="AE10" s="102">
        <v>18.2</v>
      </c>
      <c r="AF10" s="100">
        <v>0.36</v>
      </c>
      <c r="AG10" s="100">
        <v>7.24</v>
      </c>
      <c r="AH10" s="104">
        <v>580</v>
      </c>
      <c r="AI10" s="102">
        <v>1.1200000000000001</v>
      </c>
      <c r="AJ10" s="102">
        <v>2.4279999999999999</v>
      </c>
      <c r="AK10" s="102">
        <v>1.5</v>
      </c>
      <c r="AL10" s="47">
        <f t="shared" si="6"/>
        <v>3.156692706523704E-2</v>
      </c>
      <c r="AM10" s="8">
        <f t="shared" si="7"/>
        <v>2.3848919966768212</v>
      </c>
      <c r="AN10" s="362">
        <f t="shared" si="8"/>
        <v>5.4912420382165615E-2</v>
      </c>
      <c r="AO10" s="8">
        <f t="shared" si="9"/>
        <v>0.15334517393434594</v>
      </c>
      <c r="AP10" s="8">
        <f t="shared" si="10"/>
        <v>5.4686443343555879</v>
      </c>
      <c r="AQ10" s="9">
        <f t="shared" si="11"/>
        <v>3.1255366802363382</v>
      </c>
      <c r="AR10" s="49">
        <f t="shared" si="2"/>
        <v>4.6298245614035088E-2</v>
      </c>
      <c r="AS10" s="411">
        <f t="shared" ref="AS10:AS13" si="35">AE10/35.45</f>
        <v>0.51339915373765865</v>
      </c>
      <c r="AT10" s="50"/>
      <c r="AU10" s="8">
        <f>T10/62</f>
        <v>9.7632867981470348E-2</v>
      </c>
      <c r="AV10" s="8"/>
      <c r="AW10" s="9">
        <f t="shared" si="3"/>
        <v>15.845819861520011</v>
      </c>
      <c r="AX10" s="36">
        <f t="shared" si="12"/>
        <v>17.272110435697741</v>
      </c>
      <c r="AY10" s="329">
        <f t="shared" si="13"/>
        <v>11.527606590205597</v>
      </c>
      <c r="AZ10" s="22">
        <f t="shared" si="14"/>
        <v>16.503150128853175</v>
      </c>
      <c r="BA10" s="30">
        <f t="shared" si="34"/>
        <v>2.2766968899468205</v>
      </c>
      <c r="BB10" s="324">
        <f t="shared" si="15"/>
        <v>-17.750300459297229</v>
      </c>
      <c r="BC10" s="492">
        <f t="shared" si="16"/>
        <v>16.364302369470941</v>
      </c>
      <c r="BD10" s="492">
        <f t="shared" si="17"/>
        <v>2.6988849003758886</v>
      </c>
      <c r="BE10" s="493"/>
      <c r="BF10" s="365">
        <v>21.010986197526869</v>
      </c>
      <c r="BG10" s="674">
        <f t="shared" si="18"/>
        <v>2.1010986197526869E-2</v>
      </c>
      <c r="BH10" s="111">
        <v>0.37218133153586919</v>
      </c>
      <c r="BI10" s="370">
        <v>1270.4030471248172</v>
      </c>
      <c r="BJ10" s="679">
        <f t="shared" si="19"/>
        <v>1.2704030471248173</v>
      </c>
      <c r="BK10" s="202">
        <v>19.772677635304234</v>
      </c>
      <c r="BL10" s="370">
        <v>50414.718984087202</v>
      </c>
      <c r="BM10" s="202">
        <v>464.30106008992811</v>
      </c>
      <c r="BN10" s="337">
        <f t="shared" si="20"/>
        <v>2428</v>
      </c>
      <c r="BO10" s="370">
        <v>70566.425862316959</v>
      </c>
      <c r="BP10" s="202">
        <v>5754.5318940001016</v>
      </c>
      <c r="BQ10" s="370">
        <v>132.81841197181666</v>
      </c>
      <c r="BR10" s="679">
        <f t="shared" si="21"/>
        <v>0.13281841197181665</v>
      </c>
      <c r="BS10" s="202">
        <v>2.7027725793411204</v>
      </c>
      <c r="BT10" s="373" t="s">
        <v>115</v>
      </c>
      <c r="BU10" s="680"/>
      <c r="BV10" s="111"/>
      <c r="BW10" s="376">
        <v>9.0663105210902639</v>
      </c>
      <c r="BX10" s="675"/>
      <c r="BY10" s="378">
        <v>0.21792923674196418</v>
      </c>
      <c r="BZ10" s="370">
        <v>8711.67127777723</v>
      </c>
      <c r="CA10" s="111">
        <v>119.28466923666579</v>
      </c>
      <c r="CB10" s="337">
        <f t="shared" si="22"/>
        <v>1500</v>
      </c>
      <c r="CC10" s="370">
        <v>3841.4982963284233</v>
      </c>
      <c r="CD10" s="202">
        <v>52.990609442529646</v>
      </c>
      <c r="CE10" s="337">
        <f t="shared" si="23"/>
        <v>1120</v>
      </c>
      <c r="CF10" s="370">
        <v>249.51183067385983</v>
      </c>
      <c r="CG10" s="147">
        <v>3.7617105251544785</v>
      </c>
      <c r="CH10" s="376">
        <v>389.4668643657447</v>
      </c>
      <c r="CI10" s="111">
        <v>6.9971497928271722</v>
      </c>
      <c r="CJ10" s="370">
        <v>24.356543087070353</v>
      </c>
      <c r="CK10" s="111">
        <v>0.44986729862252495</v>
      </c>
      <c r="CL10" s="253">
        <v>619.39229494963513</v>
      </c>
      <c r="CM10" s="111">
        <v>15.434846512595664</v>
      </c>
      <c r="CN10" s="370">
        <v>7.1957930467346518</v>
      </c>
      <c r="CO10" s="685">
        <f t="shared" si="24"/>
        <v>7.1957930467346515E-3</v>
      </c>
      <c r="CP10" s="111">
        <v>3.321840770107088E-2</v>
      </c>
      <c r="CQ10" s="365">
        <v>13.342722244131595</v>
      </c>
      <c r="CR10" s="686">
        <f t="shared" si="25"/>
        <v>1.3342722244131595E-2</v>
      </c>
      <c r="CS10" s="111">
        <v>0.13535979137475265</v>
      </c>
      <c r="CT10" s="365">
        <v>3.1945918814280247</v>
      </c>
      <c r="CU10" s="685">
        <f t="shared" si="26"/>
        <v>3.1945918814280248E-3</v>
      </c>
      <c r="CV10" s="111">
        <v>0.15743045523585492</v>
      </c>
      <c r="CW10" s="384">
        <v>10.832508014839153</v>
      </c>
      <c r="CX10" s="674">
        <f t="shared" si="27"/>
        <v>1.0832508014839154E-2</v>
      </c>
      <c r="CY10" s="111">
        <v>0.24745449282073495</v>
      </c>
      <c r="CZ10" s="370">
        <v>227.41133823955039</v>
      </c>
      <c r="DA10" s="679">
        <f t="shared" si="28"/>
        <v>0.2274113382395504</v>
      </c>
      <c r="DB10" s="111">
        <v>2.6576842677226931</v>
      </c>
      <c r="DC10" s="255" t="s">
        <v>116</v>
      </c>
      <c r="DD10" s="698"/>
      <c r="DE10" s="111"/>
      <c r="DF10" s="389" t="s">
        <v>117</v>
      </c>
      <c r="DG10" s="111"/>
      <c r="DH10" s="389" t="s">
        <v>116</v>
      </c>
      <c r="DI10" s="682"/>
      <c r="DJ10" s="111"/>
      <c r="DK10" s="389" t="s">
        <v>116</v>
      </c>
      <c r="DL10" s="682"/>
      <c r="DM10" s="111"/>
      <c r="DN10" s="391">
        <v>18.366729434558767</v>
      </c>
      <c r="DO10" s="674">
        <f t="shared" si="29"/>
        <v>1.8366729434558766E-2</v>
      </c>
      <c r="DP10" s="111">
        <v>0.48495619406049917</v>
      </c>
      <c r="DQ10" s="389" t="s">
        <v>118</v>
      </c>
      <c r="DR10" s="111"/>
      <c r="DS10" s="368" t="s">
        <v>121</v>
      </c>
      <c r="DT10" s="692" t="e">
        <f t="shared" si="30"/>
        <v>#VALUE!</v>
      </c>
      <c r="DU10" s="111"/>
      <c r="DV10" s="384">
        <v>26.225543863978913</v>
      </c>
      <c r="DW10" s="674">
        <f t="shared" si="31"/>
        <v>2.6225543863978913E-2</v>
      </c>
      <c r="DX10" s="111">
        <v>0.74764844794450402</v>
      </c>
      <c r="DY10" s="389" t="s">
        <v>119</v>
      </c>
      <c r="DZ10" s="111"/>
      <c r="EA10" s="368" t="s">
        <v>115</v>
      </c>
      <c r="EB10" s="111"/>
      <c r="EC10" s="389" t="s">
        <v>117</v>
      </c>
      <c r="ED10" s="111"/>
      <c r="EE10" s="389" t="s">
        <v>120</v>
      </c>
      <c r="EF10" s="111"/>
      <c r="EG10" s="383">
        <v>4.8135833595323128</v>
      </c>
      <c r="EH10" s="693">
        <f t="shared" si="32"/>
        <v>4.8135833595323125E-3</v>
      </c>
      <c r="EI10" s="396">
        <v>0.11052477095367857</v>
      </c>
      <c r="EJ10" s="389" t="s">
        <v>118</v>
      </c>
      <c r="EK10" s="682"/>
      <c r="EL10" s="111"/>
      <c r="EM10" s="391">
        <v>1.4779008339739077</v>
      </c>
      <c r="EN10" s="681"/>
      <c r="EO10" s="111">
        <v>2.6864516038478049E-2</v>
      </c>
    </row>
    <row r="11" spans="1:145" ht="15.75" thickBot="1" x14ac:dyDescent="0.3">
      <c r="A11" s="16" t="s">
        <v>157</v>
      </c>
      <c r="B11" s="351">
        <v>0.22376743612598465</v>
      </c>
      <c r="C11" s="400">
        <v>2.9435347632899997</v>
      </c>
      <c r="D11" s="348">
        <v>57.142071628651458</v>
      </c>
      <c r="E11" s="210"/>
      <c r="F11" s="22">
        <v>0.63134873949579828</v>
      </c>
      <c r="G11" s="210"/>
      <c r="H11" s="7">
        <v>5.2111324529811922</v>
      </c>
      <c r="I11" s="7"/>
      <c r="J11" s="7">
        <v>67.754743297318925</v>
      </c>
      <c r="K11" s="93"/>
      <c r="L11" s="10">
        <v>61.701812525009998</v>
      </c>
      <c r="M11" s="160"/>
      <c r="N11" s="184">
        <v>0.86166666666666669</v>
      </c>
      <c r="O11" s="162">
        <v>9.0184995056457971E-3</v>
      </c>
      <c r="P11" s="334">
        <v>82.833999999999989</v>
      </c>
      <c r="Q11" s="181">
        <v>0.25992498917957141</v>
      </c>
      <c r="R11" s="184" t="s">
        <v>74</v>
      </c>
      <c r="S11" s="181"/>
      <c r="T11" s="47">
        <v>5.4917484301412864</v>
      </c>
      <c r="U11" s="9">
        <v>8.800346914143678E-2</v>
      </c>
      <c r="V11" s="157" t="s">
        <v>72</v>
      </c>
      <c r="W11" s="172">
        <v>757.72704062009416</v>
      </c>
      <c r="X11" s="162">
        <v>0.52802081484861008</v>
      </c>
      <c r="Y11" s="177">
        <v>159</v>
      </c>
      <c r="Z11" s="97">
        <f t="shared" si="0"/>
        <v>54.06</v>
      </c>
      <c r="AA11" s="97">
        <f t="shared" si="1"/>
        <v>3.18</v>
      </c>
      <c r="AB11" s="98">
        <v>0</v>
      </c>
      <c r="AC11" s="294">
        <f t="shared" si="4"/>
        <v>0</v>
      </c>
      <c r="AD11" s="299">
        <f t="shared" si="5"/>
        <v>0</v>
      </c>
      <c r="AE11" s="102">
        <v>21.2</v>
      </c>
      <c r="AF11" s="100">
        <v>0.6</v>
      </c>
      <c r="AG11" s="100">
        <v>7.8</v>
      </c>
      <c r="AH11" s="104">
        <v>510</v>
      </c>
      <c r="AI11" s="102">
        <v>0.92</v>
      </c>
      <c r="AJ11" s="102">
        <v>2.0720000000000001</v>
      </c>
      <c r="AK11" s="102">
        <v>1.4</v>
      </c>
      <c r="AL11" s="47">
        <f t="shared" si="6"/>
        <v>3.1966776589426378E-2</v>
      </c>
      <c r="AM11" s="8">
        <f t="shared" si="7"/>
        <v>2.4844378968978895</v>
      </c>
      <c r="AN11" s="362">
        <f t="shared" si="8"/>
        <v>3.5074929971988793E-2</v>
      </c>
      <c r="AO11" s="8">
        <f t="shared" si="9"/>
        <v>0.13361878084567161</v>
      </c>
      <c r="AP11" s="8">
        <f t="shared" si="10"/>
        <v>5.5765220820838621</v>
      </c>
      <c r="AQ11" s="9">
        <f t="shared" si="11"/>
        <v>3.0797011492393311</v>
      </c>
      <c r="AR11" s="49">
        <f t="shared" si="2"/>
        <v>4.5350877192982454E-2</v>
      </c>
      <c r="AS11" s="411">
        <f t="shared" si="35"/>
        <v>0.59802538787023973</v>
      </c>
      <c r="AT11" s="50"/>
      <c r="AU11" s="8">
        <f>T11/62</f>
        <v>8.8576587582923971E-2</v>
      </c>
      <c r="AV11" s="8"/>
      <c r="AW11" s="9">
        <f t="shared" si="3"/>
        <v>15.785980012918628</v>
      </c>
      <c r="AX11" s="36">
        <f t="shared" si="12"/>
        <v>17.20916346984809</v>
      </c>
      <c r="AY11" s="329">
        <f t="shared" si="13"/>
        <v>11.619658700541878</v>
      </c>
      <c r="AZ11" s="22">
        <f t="shared" si="14"/>
        <v>16.517932865564774</v>
      </c>
      <c r="BA11" s="30">
        <f t="shared" si="34"/>
        <v>2.0494815130513788</v>
      </c>
      <c r="BB11" s="324">
        <f t="shared" si="15"/>
        <v>-17.408292225419707</v>
      </c>
      <c r="BC11" s="492">
        <f t="shared" si="16"/>
        <v>16.392840530865016</v>
      </c>
      <c r="BD11" s="492">
        <f t="shared" si="17"/>
        <v>2.4293876608244847</v>
      </c>
      <c r="BE11" s="493"/>
      <c r="BF11" s="365">
        <v>20.37779679316278</v>
      </c>
      <c r="BG11" s="674">
        <f t="shared" si="18"/>
        <v>2.0377796793162779E-2</v>
      </c>
      <c r="BH11" s="111">
        <v>1.207372844298398</v>
      </c>
      <c r="BI11" s="370">
        <v>1282.9321931145232</v>
      </c>
      <c r="BJ11" s="679">
        <f t="shared" si="19"/>
        <v>1.2829321931145232</v>
      </c>
      <c r="BK11" s="202">
        <v>44.639284151902501</v>
      </c>
      <c r="BL11" s="370">
        <v>48917.825766074515</v>
      </c>
      <c r="BM11" s="202">
        <v>245.71342992029332</v>
      </c>
      <c r="BN11" s="337">
        <f t="shared" si="20"/>
        <v>2072</v>
      </c>
      <c r="BO11" s="370">
        <v>72625.444319196744</v>
      </c>
      <c r="BP11" s="202">
        <v>2886.5216939332299</v>
      </c>
      <c r="BQ11" s="370">
        <v>132.98741386058609</v>
      </c>
      <c r="BR11" s="679">
        <f t="shared" si="21"/>
        <v>0.1329874138605861</v>
      </c>
      <c r="BS11" s="202">
        <v>2.0667683400281938</v>
      </c>
      <c r="BT11" s="373" t="s">
        <v>115</v>
      </c>
      <c r="BU11" s="680"/>
      <c r="BV11" s="111"/>
      <c r="BW11" s="376">
        <v>8.9376566073183543</v>
      </c>
      <c r="BX11" s="675"/>
      <c r="BY11" s="378">
        <v>0.11685228652196489</v>
      </c>
      <c r="BZ11" s="370">
        <v>8473.205057488145</v>
      </c>
      <c r="CA11" s="111">
        <v>80.124165933709705</v>
      </c>
      <c r="CB11" s="337">
        <f t="shared" si="22"/>
        <v>1400</v>
      </c>
      <c r="CC11" s="370">
        <v>3545.7229809986238</v>
      </c>
      <c r="CD11" s="202">
        <v>83.283972325772737</v>
      </c>
      <c r="CE11" s="337">
        <f t="shared" si="23"/>
        <v>920</v>
      </c>
      <c r="CF11" s="370">
        <v>249.43557638470708</v>
      </c>
      <c r="CG11" s="147">
        <v>4.0689581742028267</v>
      </c>
      <c r="CH11" s="376">
        <v>385.44562368604591</v>
      </c>
      <c r="CI11" s="111">
        <v>5.4277552351506291</v>
      </c>
      <c r="CJ11" s="376">
        <v>27.636701660350315</v>
      </c>
      <c r="CK11" s="111">
        <v>0.45054065759900169</v>
      </c>
      <c r="CL11" s="253">
        <v>605.85664272618601</v>
      </c>
      <c r="CM11" s="111">
        <v>11.62848979301574</v>
      </c>
      <c r="CN11" s="370">
        <v>7.210139802379179</v>
      </c>
      <c r="CO11" s="685">
        <f t="shared" si="24"/>
        <v>7.2101398023791787E-3</v>
      </c>
      <c r="CP11" s="111">
        <v>0.14991070267078618</v>
      </c>
      <c r="CQ11" s="365">
        <v>13.311150724634215</v>
      </c>
      <c r="CR11" s="686">
        <f t="shared" si="25"/>
        <v>1.3311150724634215E-2</v>
      </c>
      <c r="CS11" s="111">
        <v>0.43042436553638053</v>
      </c>
      <c r="CT11" s="365">
        <v>3.2247531454951175</v>
      </c>
      <c r="CU11" s="685">
        <f t="shared" si="26"/>
        <v>3.2247531454951176E-3</v>
      </c>
      <c r="CV11" s="111">
        <v>8.5005641267468859E-2</v>
      </c>
      <c r="CW11" s="384">
        <v>10.517287195129715</v>
      </c>
      <c r="CX11" s="674">
        <f t="shared" si="27"/>
        <v>1.0517287195129715E-2</v>
      </c>
      <c r="CY11" s="111">
        <v>6.5732465476414592E-2</v>
      </c>
      <c r="CZ11" s="370">
        <v>224.78363445264645</v>
      </c>
      <c r="DA11" s="679">
        <f t="shared" si="28"/>
        <v>0.22478363445264646</v>
      </c>
      <c r="DB11" s="111">
        <v>6.9418028634063482</v>
      </c>
      <c r="DC11" s="255" t="s">
        <v>116</v>
      </c>
      <c r="DD11" s="698"/>
      <c r="DE11" s="111"/>
      <c r="DF11" s="389" t="s">
        <v>117</v>
      </c>
      <c r="DG11" s="111"/>
      <c r="DH11" s="389" t="s">
        <v>116</v>
      </c>
      <c r="DI11" s="682"/>
      <c r="DJ11" s="111"/>
      <c r="DK11" s="389" t="s">
        <v>116</v>
      </c>
      <c r="DL11" s="682"/>
      <c r="DM11" s="111"/>
      <c r="DN11" s="391">
        <v>90.572257108341347</v>
      </c>
      <c r="DO11" s="674">
        <f t="shared" si="29"/>
        <v>9.0572257108341353E-2</v>
      </c>
      <c r="DP11" s="111">
        <v>0.78574958521697913</v>
      </c>
      <c r="DQ11" s="389" t="s">
        <v>118</v>
      </c>
      <c r="DR11" s="111"/>
      <c r="DS11" s="365">
        <v>1.7764598775811533</v>
      </c>
      <c r="DT11" s="692">
        <f t="shared" si="30"/>
        <v>1.7764598775811533E-3</v>
      </c>
      <c r="DU11" s="111">
        <v>2.2313517338038186E-2</v>
      </c>
      <c r="DV11" s="384">
        <v>26.948596459270355</v>
      </c>
      <c r="DW11" s="674">
        <f t="shared" si="31"/>
        <v>2.6948596459270356E-2</v>
      </c>
      <c r="DX11" s="111">
        <v>0.30042271964506123</v>
      </c>
      <c r="DY11" s="389" t="s">
        <v>119</v>
      </c>
      <c r="DZ11" s="111"/>
      <c r="EA11" s="368" t="s">
        <v>115</v>
      </c>
      <c r="EB11" s="111"/>
      <c r="EC11" s="389" t="s">
        <v>117</v>
      </c>
      <c r="ED11" s="111"/>
      <c r="EE11" s="389" t="s">
        <v>120</v>
      </c>
      <c r="EF11" s="111"/>
      <c r="EG11" s="383">
        <v>4.9379529598392349</v>
      </c>
      <c r="EH11" s="693">
        <f t="shared" si="32"/>
        <v>4.9379529598392348E-3</v>
      </c>
      <c r="EI11" s="396">
        <v>4.3706583878598569E-2</v>
      </c>
      <c r="EJ11" s="389" t="s">
        <v>118</v>
      </c>
      <c r="EK11" s="682"/>
      <c r="EL11" s="111"/>
      <c r="EM11" s="391">
        <v>1.5097138521537647</v>
      </c>
      <c r="EN11" s="681"/>
      <c r="EO11" s="111">
        <v>2.2875602362577348E-2</v>
      </c>
    </row>
    <row r="12" spans="1:145" ht="15.75" thickBot="1" x14ac:dyDescent="0.3">
      <c r="A12" s="16" t="s">
        <v>158</v>
      </c>
      <c r="B12" s="351">
        <v>0.22336001570435943</v>
      </c>
      <c r="C12" s="400">
        <v>5.1322567957631922</v>
      </c>
      <c r="D12" s="348">
        <v>54.056934197407777</v>
      </c>
      <c r="E12" s="210"/>
      <c r="F12" s="22">
        <v>0.55027417746759733</v>
      </c>
      <c r="G12" s="210"/>
      <c r="H12" s="7">
        <v>6.9534646061814565</v>
      </c>
      <c r="I12" s="7"/>
      <c r="J12" s="7">
        <v>66.162966101694934</v>
      </c>
      <c r="K12" s="93"/>
      <c r="L12" s="10">
        <v>61.480633100697908</v>
      </c>
      <c r="M12" s="160"/>
      <c r="N12" s="184">
        <v>0.89166666666666661</v>
      </c>
      <c r="O12" s="162">
        <v>9.7125348562223188E-3</v>
      </c>
      <c r="P12" s="334">
        <v>83.108999999999995</v>
      </c>
      <c r="Q12" s="181">
        <v>0.23945145645829416</v>
      </c>
      <c r="R12" s="184" t="s">
        <v>74</v>
      </c>
      <c r="S12" s="181"/>
      <c r="T12" s="47">
        <v>5.5293816254416965</v>
      </c>
      <c r="U12" s="9">
        <v>0.16961471243392123</v>
      </c>
      <c r="V12" s="157" t="s">
        <v>72</v>
      </c>
      <c r="W12" s="172">
        <v>758.95882606988607</v>
      </c>
      <c r="X12" s="162">
        <v>1.0125259795960158</v>
      </c>
      <c r="Y12" s="177">
        <v>158.1</v>
      </c>
      <c r="Z12" s="97">
        <f t="shared" si="0"/>
        <v>53.753999999999998</v>
      </c>
      <c r="AA12" s="97">
        <f t="shared" si="1"/>
        <v>3.1619999999999999</v>
      </c>
      <c r="AB12" s="98">
        <v>0</v>
      </c>
      <c r="AC12" s="294">
        <f t="shared" si="4"/>
        <v>0</v>
      </c>
      <c r="AD12" s="299">
        <f t="shared" si="5"/>
        <v>0</v>
      </c>
      <c r="AE12" s="102">
        <v>14</v>
      </c>
      <c r="AF12" s="100">
        <v>0.7</v>
      </c>
      <c r="AG12" s="100">
        <v>8.84</v>
      </c>
      <c r="AH12" s="104">
        <v>420</v>
      </c>
      <c r="AI12" s="102">
        <v>1.31</v>
      </c>
      <c r="AJ12" s="102">
        <v>3.496</v>
      </c>
      <c r="AK12" s="102">
        <v>0.6</v>
      </c>
      <c r="AL12" s="47">
        <f t="shared" si="6"/>
        <v>3.1908573672051348E-2</v>
      </c>
      <c r="AM12" s="8">
        <f t="shared" si="7"/>
        <v>2.3503014868438163</v>
      </c>
      <c r="AN12" s="362">
        <f t="shared" si="8"/>
        <v>3.0570787637088741E-2</v>
      </c>
      <c r="AO12" s="8">
        <f t="shared" si="9"/>
        <v>0.17829396426106298</v>
      </c>
      <c r="AP12" s="8">
        <f t="shared" si="10"/>
        <v>5.4455116133082253</v>
      </c>
      <c r="AQ12" s="9">
        <f t="shared" si="11"/>
        <v>3.06866149741442</v>
      </c>
      <c r="AR12" s="49">
        <f t="shared" si="2"/>
        <v>4.6929824561403509E-2</v>
      </c>
      <c r="AS12" s="411">
        <f t="shared" si="35"/>
        <v>0.39492242595204508</v>
      </c>
      <c r="AT12" s="50"/>
      <c r="AU12" s="8">
        <f>T12/62</f>
        <v>8.9183574603898336E-2</v>
      </c>
      <c r="AV12" s="8"/>
      <c r="AW12" s="9">
        <f t="shared" si="3"/>
        <v>15.811642209789293</v>
      </c>
      <c r="AX12" s="37">
        <f t="shared" si="12"/>
        <v>16.951420824035687</v>
      </c>
      <c r="AY12" s="330">
        <f t="shared" si="13"/>
        <v>11.530904674042903</v>
      </c>
      <c r="AZ12" s="38">
        <f t="shared" si="14"/>
        <v>16.342678034906641</v>
      </c>
      <c r="BA12" s="39">
        <f t="shared" si="34"/>
        <v>1.828380433746283</v>
      </c>
      <c r="BB12" s="325">
        <f t="shared" si="15"/>
        <v>-17.262844934959841</v>
      </c>
      <c r="BC12" s="492">
        <f t="shared" si="16"/>
        <v>16.217298729553036</v>
      </c>
      <c r="BD12" s="492">
        <f t="shared" si="17"/>
        <v>2.2132964563090023</v>
      </c>
      <c r="BE12" s="494"/>
      <c r="BF12" s="365">
        <v>22.002496204348617</v>
      </c>
      <c r="BG12" s="674">
        <f t="shared" si="18"/>
        <v>2.2002496204348618E-2</v>
      </c>
      <c r="BH12" s="111">
        <v>0.92797000329383206</v>
      </c>
      <c r="BI12" s="370">
        <v>1252.6863579829042</v>
      </c>
      <c r="BJ12" s="679">
        <f t="shared" si="19"/>
        <v>1.2526863579829042</v>
      </c>
      <c r="BK12" s="202">
        <v>84.08574430286626</v>
      </c>
      <c r="BL12" s="370">
        <v>48775.438885627031</v>
      </c>
      <c r="BM12" s="202">
        <v>708.17689600109702</v>
      </c>
      <c r="BN12" s="337">
        <f t="shared" si="20"/>
        <v>3496</v>
      </c>
      <c r="BO12" s="370">
        <v>81851.006361582637</v>
      </c>
      <c r="BP12" s="202">
        <v>4705.686771974908</v>
      </c>
      <c r="BQ12" s="370">
        <v>132.90359491196784</v>
      </c>
      <c r="BR12" s="679">
        <f t="shared" si="21"/>
        <v>0.13290359491196785</v>
      </c>
      <c r="BS12" s="202">
        <v>3.1274354263739825</v>
      </c>
      <c r="BT12" s="373" t="s">
        <v>115</v>
      </c>
      <c r="BU12" s="680"/>
      <c r="BV12" s="111"/>
      <c r="BW12" s="376">
        <v>8.7857221438580506</v>
      </c>
      <c r="BX12" s="675"/>
      <c r="BY12" s="379">
        <v>9.5739001958175557E-2</v>
      </c>
      <c r="BZ12" s="370">
        <v>8448.256670626306</v>
      </c>
      <c r="CA12" s="111">
        <v>89.386725574472834</v>
      </c>
      <c r="CB12" s="337">
        <f t="shared" si="22"/>
        <v>600</v>
      </c>
      <c r="CC12" s="370">
        <v>3404.9052003662623</v>
      </c>
      <c r="CD12" s="202">
        <v>51.888760097880407</v>
      </c>
      <c r="CE12" s="337">
        <f t="shared" si="23"/>
        <v>1310</v>
      </c>
      <c r="CF12" s="370">
        <v>249.18073958948398</v>
      </c>
      <c r="CG12" s="202">
        <v>4.0037793572638298</v>
      </c>
      <c r="CH12" s="376">
        <v>385.7598708493332</v>
      </c>
      <c r="CI12" s="111">
        <v>4.4208132794978496</v>
      </c>
      <c r="CJ12" s="376">
        <v>27.580958942960265</v>
      </c>
      <c r="CK12" s="111">
        <v>0.16087122415852004</v>
      </c>
      <c r="CL12" s="37">
        <v>636.91418819082469</v>
      </c>
      <c r="CM12" s="111">
        <v>6.0393666001211708</v>
      </c>
      <c r="CN12" s="384">
        <v>7.2856351217477489</v>
      </c>
      <c r="CO12" s="685">
        <f t="shared" si="24"/>
        <v>7.2856351217477485E-3</v>
      </c>
      <c r="CP12" s="111">
        <v>0.22185605681768855</v>
      </c>
      <c r="CQ12" s="365">
        <v>13.331255375027823</v>
      </c>
      <c r="CR12" s="686">
        <f t="shared" si="25"/>
        <v>1.3331255375027823E-2</v>
      </c>
      <c r="CS12" s="111">
        <v>0.26117631047891043</v>
      </c>
      <c r="CT12" s="365">
        <v>3.2566893080389887</v>
      </c>
      <c r="CU12" s="685">
        <f t="shared" si="26"/>
        <v>3.2566893080389885E-3</v>
      </c>
      <c r="CV12" s="111">
        <v>0.10047448180502153</v>
      </c>
      <c r="CW12" s="384">
        <v>10.511974893227288</v>
      </c>
      <c r="CX12" s="674">
        <f t="shared" si="27"/>
        <v>1.0511974893227288E-2</v>
      </c>
      <c r="CY12" s="111">
        <v>0.22813255199420868</v>
      </c>
      <c r="CZ12" s="370">
        <v>226.54223617513657</v>
      </c>
      <c r="DA12" s="679">
        <f t="shared" si="28"/>
        <v>0.22654223617513655</v>
      </c>
      <c r="DB12" s="111">
        <v>1.8483526125446974</v>
      </c>
      <c r="DC12" s="255" t="s">
        <v>116</v>
      </c>
      <c r="DD12" s="698"/>
      <c r="DE12" s="111"/>
      <c r="DF12" s="389" t="s">
        <v>117</v>
      </c>
      <c r="DG12" s="111"/>
      <c r="DH12" s="389" t="s">
        <v>116</v>
      </c>
      <c r="DI12" s="682"/>
      <c r="DJ12" s="111"/>
      <c r="DK12" s="389" t="s">
        <v>116</v>
      </c>
      <c r="DL12" s="682"/>
      <c r="DM12" s="111"/>
      <c r="DN12" s="391">
        <v>11.665887125273807</v>
      </c>
      <c r="DO12" s="674">
        <f t="shared" si="29"/>
        <v>1.1665887125273807E-2</v>
      </c>
      <c r="DP12" s="111">
        <v>5.2525848989714616E-2</v>
      </c>
      <c r="DQ12" s="389" t="s">
        <v>118</v>
      </c>
      <c r="DR12" s="111"/>
      <c r="DS12" s="368" t="s">
        <v>121</v>
      </c>
      <c r="DT12" s="692" t="e">
        <f t="shared" si="30"/>
        <v>#VALUE!</v>
      </c>
      <c r="DU12" s="111"/>
      <c r="DV12" s="384">
        <v>29.965739150917841</v>
      </c>
      <c r="DW12" s="674">
        <f t="shared" si="31"/>
        <v>2.9965739150917842E-2</v>
      </c>
      <c r="DX12" s="111">
        <v>0.11329827031487022</v>
      </c>
      <c r="DY12" s="389" t="s">
        <v>119</v>
      </c>
      <c r="DZ12" s="111"/>
      <c r="EA12" s="368" t="s">
        <v>115</v>
      </c>
      <c r="EB12" s="111"/>
      <c r="EC12" s="389" t="s">
        <v>117</v>
      </c>
      <c r="ED12" s="111"/>
      <c r="EE12" s="389" t="s">
        <v>120</v>
      </c>
      <c r="EF12" s="111"/>
      <c r="EG12" s="383">
        <v>4.3048644451858227</v>
      </c>
      <c r="EH12" s="693">
        <f t="shared" si="32"/>
        <v>4.3048644451858225E-3</v>
      </c>
      <c r="EI12" s="396">
        <v>7.082392875140496E-2</v>
      </c>
      <c r="EJ12" s="389" t="s">
        <v>118</v>
      </c>
      <c r="EK12" s="682"/>
      <c r="EL12" s="111"/>
      <c r="EM12" s="391">
        <v>1.5300941578098257</v>
      </c>
      <c r="EN12" s="681"/>
      <c r="EO12" s="111">
        <v>6.2018146624791435E-3</v>
      </c>
    </row>
    <row r="13" spans="1:145" ht="15.75" thickBot="1" x14ac:dyDescent="0.3">
      <c r="A13" s="17" t="s">
        <v>159</v>
      </c>
      <c r="B13" s="352">
        <v>0.23434218477570223</v>
      </c>
      <c r="C13" s="401">
        <v>5.8635039775154425</v>
      </c>
      <c r="D13" s="349">
        <v>59.649437175493247</v>
      </c>
      <c r="E13" s="211"/>
      <c r="F13" s="23">
        <v>1.0093538367844095</v>
      </c>
      <c r="G13" s="211"/>
      <c r="H13" s="11">
        <v>5.4749799025578572</v>
      </c>
      <c r="I13" s="11"/>
      <c r="J13" s="11">
        <v>68.381173568818525</v>
      </c>
      <c r="K13" s="92"/>
      <c r="L13" s="31">
        <v>66.331879415347146</v>
      </c>
      <c r="M13" s="158"/>
      <c r="N13" s="68">
        <v>0.86900000000000011</v>
      </c>
      <c r="O13" s="163">
        <v>1.3527749258468695E-2</v>
      </c>
      <c r="P13" s="335">
        <v>82.861333333333334</v>
      </c>
      <c r="Q13" s="182">
        <v>0.20432653604789602</v>
      </c>
      <c r="R13" s="68" t="s">
        <v>74</v>
      </c>
      <c r="S13" s="182"/>
      <c r="T13" s="51">
        <v>7.6063359436178546</v>
      </c>
      <c r="U13" s="31">
        <v>4.0914783583178335E-2</v>
      </c>
      <c r="V13" s="158" t="s">
        <v>72</v>
      </c>
      <c r="W13" s="173">
        <v>752.68473707909152</v>
      </c>
      <c r="X13" s="163">
        <v>1.3884426433622918</v>
      </c>
      <c r="Y13" s="222">
        <v>159.9</v>
      </c>
      <c r="Z13" s="224">
        <f t="shared" si="0"/>
        <v>54.366</v>
      </c>
      <c r="AA13" s="224">
        <f t="shared" si="1"/>
        <v>3.198</v>
      </c>
      <c r="AB13" s="223">
        <v>0</v>
      </c>
      <c r="AC13" s="295">
        <f t="shared" si="4"/>
        <v>0</v>
      </c>
      <c r="AD13" s="300">
        <f t="shared" si="5"/>
        <v>0</v>
      </c>
      <c r="AE13" s="225">
        <v>17.399999999999999</v>
      </c>
      <c r="AF13" s="226">
        <v>0.72</v>
      </c>
      <c r="AG13" s="226">
        <v>7.72</v>
      </c>
      <c r="AH13" s="227">
        <v>430</v>
      </c>
      <c r="AI13" s="225">
        <v>0.71</v>
      </c>
      <c r="AJ13" s="225">
        <v>2.028</v>
      </c>
      <c r="AK13" s="225">
        <v>0.7</v>
      </c>
      <c r="AL13" s="264">
        <f t="shared" si="6"/>
        <v>3.3477454967957461E-2</v>
      </c>
      <c r="AM13" s="356">
        <f t="shared" si="7"/>
        <v>2.5934537902388368</v>
      </c>
      <c r="AN13" s="363">
        <f t="shared" si="8"/>
        <v>5.6075213154689413E-2</v>
      </c>
      <c r="AO13" s="356">
        <f t="shared" si="9"/>
        <v>0.14038410006558608</v>
      </c>
      <c r="AP13" s="356">
        <f t="shared" si="10"/>
        <v>5.6280801291208657</v>
      </c>
      <c r="AQ13" s="357">
        <f t="shared" si="11"/>
        <v>3.3108000706437308</v>
      </c>
      <c r="AR13" s="52">
        <f t="shared" si="2"/>
        <v>4.5736842105263166E-2</v>
      </c>
      <c r="AS13" s="413">
        <f t="shared" si="35"/>
        <v>0.49083215796897028</v>
      </c>
      <c r="AT13" s="54"/>
      <c r="AU13" s="11">
        <f>T13/62</f>
        <v>0.12268283780028798</v>
      </c>
      <c r="AV13" s="53"/>
      <c r="AW13" s="31">
        <f t="shared" si="3"/>
        <v>15.680932022481073</v>
      </c>
      <c r="AX13" s="55">
        <f t="shared" si="12"/>
        <v>17.519452957004237</v>
      </c>
      <c r="AY13" s="331">
        <f t="shared" si="13"/>
        <v>11.981895704526611</v>
      </c>
      <c r="AZ13" s="23">
        <f t="shared" si="14"/>
        <v>16.340183860355594</v>
      </c>
      <c r="BA13" s="56">
        <f t="shared" si="34"/>
        <v>3.4828167325292503</v>
      </c>
      <c r="BB13" s="326">
        <f t="shared" si="15"/>
        <v>-15.38830560038754</v>
      </c>
      <c r="BC13" s="492">
        <f t="shared" si="16"/>
        <v>16.182685770777301</v>
      </c>
      <c r="BD13" s="492">
        <f t="shared" si="17"/>
        <v>3.966416484794197</v>
      </c>
      <c r="BE13" s="495"/>
      <c r="BF13" s="366">
        <v>21.511650987787196</v>
      </c>
      <c r="BG13" s="674">
        <f t="shared" si="18"/>
        <v>2.1511650987787196E-2</v>
      </c>
      <c r="BH13" s="199">
        <v>0.94647693783295095</v>
      </c>
      <c r="BI13" s="371">
        <v>1071.6780065443422</v>
      </c>
      <c r="BJ13" s="679">
        <f t="shared" si="19"/>
        <v>1.0716780065443423</v>
      </c>
      <c r="BK13" s="203">
        <v>64.087593105059383</v>
      </c>
      <c r="BL13" s="371">
        <v>48124.751574430818</v>
      </c>
      <c r="BM13" s="203">
        <v>773.03976049326991</v>
      </c>
      <c r="BN13" s="338">
        <f t="shared" si="20"/>
        <v>2028</v>
      </c>
      <c r="BO13" s="371">
        <v>81003.763199104549</v>
      </c>
      <c r="BP13" s="203">
        <v>3861.2087158709619</v>
      </c>
      <c r="BQ13" s="371">
        <v>145.55992799278201</v>
      </c>
      <c r="BR13" s="679">
        <f t="shared" si="21"/>
        <v>0.145559927992782</v>
      </c>
      <c r="BS13" s="203">
        <v>2.0575652009001741</v>
      </c>
      <c r="BT13" s="374" t="s">
        <v>115</v>
      </c>
      <c r="BU13" s="683"/>
      <c r="BV13" s="199"/>
      <c r="BW13" s="374" t="s">
        <v>119</v>
      </c>
      <c r="BX13" s="683"/>
      <c r="BY13" s="380"/>
      <c r="BZ13" s="371">
        <v>8222.2475621452795</v>
      </c>
      <c r="CA13" s="199">
        <v>45.556662512266172</v>
      </c>
      <c r="CB13" s="338">
        <f t="shared" si="22"/>
        <v>700</v>
      </c>
      <c r="CC13" s="371">
        <v>3163.4076312071047</v>
      </c>
      <c r="CD13" s="203">
        <v>80.48974167239318</v>
      </c>
      <c r="CE13" s="338">
        <f t="shared" si="23"/>
        <v>710</v>
      </c>
      <c r="CF13" s="371">
        <v>253.5970847838922</v>
      </c>
      <c r="CG13" s="268">
        <v>4.5385668989036425</v>
      </c>
      <c r="CH13" s="382">
        <v>396.50953717277025</v>
      </c>
      <c r="CI13" s="199">
        <v>6.3548517308189094</v>
      </c>
      <c r="CJ13" s="382">
        <v>29.416875986456574</v>
      </c>
      <c r="CK13" s="199">
        <v>0.53534026317084626</v>
      </c>
      <c r="CL13" s="259">
        <v>198.1666475245805</v>
      </c>
      <c r="CM13" s="199">
        <v>6.0137468437667065</v>
      </c>
      <c r="CN13" s="371">
        <v>7.4279878820608811</v>
      </c>
      <c r="CO13" s="685">
        <f t="shared" si="24"/>
        <v>7.4279878820608814E-3</v>
      </c>
      <c r="CP13" s="199">
        <v>6.1929730780096552E-2</v>
      </c>
      <c r="CQ13" s="366">
        <v>13.491901802274485</v>
      </c>
      <c r="CR13" s="686">
        <f t="shared" si="25"/>
        <v>1.3491901802274485E-2</v>
      </c>
      <c r="CS13" s="199">
        <v>0.73859861324624676</v>
      </c>
      <c r="CT13" s="366">
        <v>3.3118255663596545</v>
      </c>
      <c r="CU13" s="685">
        <f t="shared" si="26"/>
        <v>3.3118255663596545E-3</v>
      </c>
      <c r="CV13" s="199">
        <v>0.17270191384212363</v>
      </c>
      <c r="CW13" s="381">
        <v>10.674545691473259</v>
      </c>
      <c r="CX13" s="674">
        <f t="shared" si="27"/>
        <v>1.0674545691473259E-2</v>
      </c>
      <c r="CY13" s="199">
        <v>5.9611105290089277E-2</v>
      </c>
      <c r="CZ13" s="371">
        <v>237.08192075340935</v>
      </c>
      <c r="DA13" s="679">
        <f t="shared" si="28"/>
        <v>0.23708192075340934</v>
      </c>
      <c r="DB13" s="199">
        <v>9.0439676960014523</v>
      </c>
      <c r="DC13" s="265" t="s">
        <v>116</v>
      </c>
      <c r="DD13" s="699"/>
      <c r="DE13" s="199"/>
      <c r="DF13" s="390" t="s">
        <v>117</v>
      </c>
      <c r="DG13" s="199"/>
      <c r="DH13" s="390" t="s">
        <v>116</v>
      </c>
      <c r="DI13" s="704"/>
      <c r="DJ13" s="199"/>
      <c r="DK13" s="390" t="s">
        <v>116</v>
      </c>
      <c r="DL13" s="704"/>
      <c r="DM13" s="199"/>
      <c r="DN13" s="392">
        <v>6.3700766919195484</v>
      </c>
      <c r="DO13" s="674">
        <f t="shared" si="29"/>
        <v>6.3700766919195483E-3</v>
      </c>
      <c r="DP13" s="199">
        <v>0.12427840535620374</v>
      </c>
      <c r="DQ13" s="390" t="s">
        <v>118</v>
      </c>
      <c r="DR13" s="199"/>
      <c r="DS13" s="366">
        <v>1.5490840487833866</v>
      </c>
      <c r="DT13" s="692">
        <f t="shared" si="30"/>
        <v>1.5490840487833867E-3</v>
      </c>
      <c r="DU13" s="199">
        <v>5.0175924497607459E-2</v>
      </c>
      <c r="DV13" s="381">
        <v>27.818762541378977</v>
      </c>
      <c r="DW13" s="674">
        <f t="shared" si="31"/>
        <v>2.7818762541378977E-2</v>
      </c>
      <c r="DX13" s="199">
        <v>0.43615613213383503</v>
      </c>
      <c r="DY13" s="390" t="s">
        <v>119</v>
      </c>
      <c r="DZ13" s="199"/>
      <c r="EA13" s="367" t="s">
        <v>115</v>
      </c>
      <c r="EB13" s="199"/>
      <c r="EC13" s="390" t="s">
        <v>117</v>
      </c>
      <c r="ED13" s="199"/>
      <c r="EE13" s="390" t="s">
        <v>120</v>
      </c>
      <c r="EF13" s="199"/>
      <c r="EG13" s="393">
        <v>5.2457165295251995</v>
      </c>
      <c r="EH13" s="693">
        <f t="shared" si="32"/>
        <v>5.2457165295251998E-3</v>
      </c>
      <c r="EI13" s="397">
        <v>9.8776019193804285E-2</v>
      </c>
      <c r="EJ13" s="390" t="s">
        <v>118</v>
      </c>
      <c r="EK13" s="704"/>
      <c r="EL13" s="199"/>
      <c r="EM13" s="392">
        <v>1.6017708250960783</v>
      </c>
      <c r="EN13" s="687"/>
      <c r="EO13" s="199">
        <v>3.8276915839197241E-2</v>
      </c>
    </row>
    <row r="14" spans="1:145" s="459" customFormat="1" ht="15.75" thickBot="1" x14ac:dyDescent="0.3">
      <c r="A14" s="414" t="s">
        <v>160</v>
      </c>
      <c r="B14" s="415"/>
      <c r="C14" s="416"/>
      <c r="D14" s="417"/>
      <c r="E14" s="418"/>
      <c r="F14" s="419"/>
      <c r="G14" s="418"/>
      <c r="H14" s="420"/>
      <c r="I14" s="420"/>
      <c r="J14" s="420"/>
      <c r="K14" s="421"/>
      <c r="L14" s="422"/>
      <c r="M14" s="423"/>
      <c r="N14" s="424"/>
      <c r="O14" s="425"/>
      <c r="P14" s="426"/>
      <c r="Q14" s="427"/>
      <c r="R14" s="426"/>
      <c r="S14" s="427"/>
      <c r="T14" s="424"/>
      <c r="U14" s="428"/>
      <c r="V14" s="429"/>
      <c r="W14" s="430"/>
      <c r="X14" s="425"/>
      <c r="Y14" s="431">
        <v>120.1</v>
      </c>
      <c r="Z14" s="432">
        <f t="shared" si="0"/>
        <v>40.833999999999996</v>
      </c>
      <c r="AA14" s="433">
        <f t="shared" si="1"/>
        <v>2.4019999999999997</v>
      </c>
      <c r="AB14" s="434">
        <v>3.1</v>
      </c>
      <c r="AC14" s="435">
        <f t="shared" si="4"/>
        <v>1.891</v>
      </c>
      <c r="AD14" s="436">
        <f t="shared" si="5"/>
        <v>3.1E-2</v>
      </c>
      <c r="AE14" s="437">
        <v>10.4</v>
      </c>
      <c r="AF14" s="438">
        <v>0.03</v>
      </c>
      <c r="AG14" s="438">
        <v>19.100000000000001</v>
      </c>
      <c r="AH14" s="439">
        <v>280</v>
      </c>
      <c r="AI14" s="437">
        <v>7.8000000000000007</v>
      </c>
      <c r="AJ14" s="437">
        <v>5.0999999999999997E-2</v>
      </c>
      <c r="AK14" s="437">
        <v>0.4</v>
      </c>
      <c r="AL14" s="440"/>
      <c r="AM14" s="441"/>
      <c r="AN14" s="442"/>
      <c r="AO14" s="441"/>
      <c r="AP14" s="441"/>
      <c r="AQ14" s="443"/>
      <c r="AR14" s="444"/>
      <c r="AS14" s="420"/>
      <c r="AT14" s="445"/>
      <c r="AU14" s="420"/>
      <c r="AV14" s="446"/>
      <c r="AW14" s="422"/>
      <c r="AX14" s="447"/>
      <c r="AY14" s="331"/>
      <c r="AZ14" s="419"/>
      <c r="BA14" s="448"/>
      <c r="BB14" s="331"/>
      <c r="BC14" s="492"/>
      <c r="BD14" s="492"/>
      <c r="BE14" s="497"/>
      <c r="BF14" s="449"/>
      <c r="BG14" s="674">
        <f t="shared" si="18"/>
        <v>0</v>
      </c>
      <c r="BH14" s="422"/>
      <c r="BI14" s="450"/>
      <c r="BJ14" s="679">
        <f t="shared" si="19"/>
        <v>0</v>
      </c>
      <c r="BK14" s="451"/>
      <c r="BL14" s="450">
        <v>510</v>
      </c>
      <c r="BM14" s="451"/>
      <c r="BN14" s="338">
        <f t="shared" si="20"/>
        <v>51</v>
      </c>
      <c r="BO14" s="450"/>
      <c r="BP14" s="451"/>
      <c r="BQ14" s="450"/>
      <c r="BR14" s="679">
        <f t="shared" si="21"/>
        <v>0</v>
      </c>
      <c r="BS14" s="451">
        <v>0</v>
      </c>
      <c r="BT14" s="450"/>
      <c r="BU14" s="678"/>
      <c r="BV14" s="422"/>
      <c r="BW14" s="450"/>
      <c r="BX14" s="678"/>
      <c r="BY14" s="452"/>
      <c r="BZ14" s="450"/>
      <c r="CA14" s="422">
        <v>0</v>
      </c>
      <c r="CB14" s="338">
        <f t="shared" si="22"/>
        <v>400</v>
      </c>
      <c r="CC14" s="450"/>
      <c r="CD14" s="422">
        <v>0</v>
      </c>
      <c r="CE14" s="338">
        <f t="shared" si="23"/>
        <v>7800.0000000000009</v>
      </c>
      <c r="CF14" s="450"/>
      <c r="CG14" s="448">
        <v>0</v>
      </c>
      <c r="CH14" s="450"/>
      <c r="CI14" s="422">
        <v>0</v>
      </c>
      <c r="CJ14" s="450"/>
      <c r="CK14" s="422">
        <v>0</v>
      </c>
      <c r="CL14" s="453"/>
      <c r="CM14" s="422"/>
      <c r="CN14" s="450"/>
      <c r="CO14" s="685">
        <f t="shared" si="24"/>
        <v>0</v>
      </c>
      <c r="CP14" s="422"/>
      <c r="CQ14" s="449"/>
      <c r="CR14" s="686">
        <f t="shared" si="25"/>
        <v>0</v>
      </c>
      <c r="CS14" s="422"/>
      <c r="CT14" s="449"/>
      <c r="CU14" s="685">
        <f t="shared" si="26"/>
        <v>0</v>
      </c>
      <c r="CV14" s="422"/>
      <c r="CW14" s="454"/>
      <c r="CX14" s="674">
        <f t="shared" si="27"/>
        <v>0</v>
      </c>
      <c r="CY14" s="422"/>
      <c r="CZ14" s="450"/>
      <c r="DA14" s="679">
        <f t="shared" si="28"/>
        <v>0</v>
      </c>
      <c r="DB14" s="422"/>
      <c r="DC14" s="455"/>
      <c r="DD14" s="701"/>
      <c r="DE14" s="422"/>
      <c r="DF14" s="454"/>
      <c r="DG14" s="422"/>
      <c r="DH14" s="454"/>
      <c r="DI14" s="689"/>
      <c r="DJ14" s="422"/>
      <c r="DK14" s="456"/>
      <c r="DL14" s="706"/>
      <c r="DM14" s="422"/>
      <c r="DN14" s="454"/>
      <c r="DO14" s="674">
        <f t="shared" si="29"/>
        <v>0</v>
      </c>
      <c r="DP14" s="422">
        <v>0</v>
      </c>
      <c r="DQ14" s="454"/>
      <c r="DR14" s="422"/>
      <c r="DS14" s="449"/>
      <c r="DT14" s="692">
        <f t="shared" si="30"/>
        <v>0</v>
      </c>
      <c r="DU14" s="422"/>
      <c r="DV14" s="454"/>
      <c r="DW14" s="674">
        <f t="shared" si="31"/>
        <v>0</v>
      </c>
      <c r="DX14" s="422"/>
      <c r="DY14" s="456"/>
      <c r="DZ14" s="422"/>
      <c r="EA14" s="457"/>
      <c r="EB14" s="422"/>
      <c r="EC14" s="456"/>
      <c r="ED14" s="422"/>
      <c r="EE14" s="456"/>
      <c r="EF14" s="422"/>
      <c r="EG14" s="450"/>
      <c r="EH14" s="693">
        <f t="shared" si="32"/>
        <v>0</v>
      </c>
      <c r="EI14" s="458"/>
      <c r="EJ14" s="454"/>
      <c r="EK14" s="689"/>
      <c r="EL14" s="422"/>
      <c r="EM14" s="454"/>
      <c r="EN14" s="689"/>
      <c r="EO14" s="422"/>
    </row>
    <row r="15" spans="1:145" ht="15.75" thickBot="1" x14ac:dyDescent="0.3">
      <c r="A15" s="16" t="s">
        <v>161</v>
      </c>
      <c r="B15" s="12">
        <v>8.0534430511147642E-2</v>
      </c>
      <c r="C15" s="400">
        <v>1.9572004190134731</v>
      </c>
      <c r="D15" s="348">
        <v>28.996673366834166</v>
      </c>
      <c r="E15" s="210"/>
      <c r="F15" s="22">
        <v>0.48729936558287085</v>
      </c>
      <c r="G15" s="210"/>
      <c r="H15" s="7">
        <v>5.99676566217288</v>
      </c>
      <c r="I15" s="7"/>
      <c r="J15" s="7">
        <v>40.02816217287868</v>
      </c>
      <c r="K15" s="93"/>
      <c r="L15" s="10">
        <v>69.345683187946094</v>
      </c>
      <c r="M15" s="160"/>
      <c r="N15" s="67">
        <v>0.18099999999999997</v>
      </c>
      <c r="O15" s="185">
        <v>1.7320508075688787E-3</v>
      </c>
      <c r="P15" s="67">
        <v>12.888666666666666</v>
      </c>
      <c r="Q15" s="185">
        <v>7.0945988845973274E-3</v>
      </c>
      <c r="R15" s="67" t="s">
        <v>74</v>
      </c>
      <c r="S15" s="185"/>
      <c r="T15" s="58">
        <v>1.2671017938420348</v>
      </c>
      <c r="U15" s="10">
        <v>3.4037568742173466E-2</v>
      </c>
      <c r="V15" s="160" t="s">
        <v>72</v>
      </c>
      <c r="W15" s="175">
        <v>363.4535020080321</v>
      </c>
      <c r="X15" s="165">
        <v>0.95373791920120921</v>
      </c>
      <c r="Y15" s="228">
        <v>107.2</v>
      </c>
      <c r="Z15" s="230">
        <f t="shared" si="0"/>
        <v>36.448</v>
      </c>
      <c r="AA15" s="230">
        <f t="shared" si="1"/>
        <v>2.1440000000000001</v>
      </c>
      <c r="AB15" s="229">
        <v>2.8</v>
      </c>
      <c r="AC15" s="297">
        <f t="shared" si="4"/>
        <v>1.7079999999999997</v>
      </c>
      <c r="AD15" s="302">
        <f t="shared" si="5"/>
        <v>2.7999999999999997E-2</v>
      </c>
      <c r="AE15" s="231">
        <v>13.2</v>
      </c>
      <c r="AF15" s="232">
        <v>0.04</v>
      </c>
      <c r="AG15" s="232">
        <v>10.4</v>
      </c>
      <c r="AH15" s="233">
        <v>280</v>
      </c>
      <c r="AI15" s="231">
        <v>21.6</v>
      </c>
      <c r="AJ15" s="231">
        <v>0.56100000000000005</v>
      </c>
      <c r="AK15" s="231">
        <v>2.2000000000000002</v>
      </c>
      <c r="AL15" s="47">
        <f t="shared" si="6"/>
        <v>1.1504918644449663E-2</v>
      </c>
      <c r="AM15" s="8">
        <f t="shared" si="7"/>
        <v>1.2607249289927898</v>
      </c>
      <c r="AN15" s="362">
        <f t="shared" si="8"/>
        <v>2.707218697682616E-2</v>
      </c>
      <c r="AO15" s="8">
        <f t="shared" ref="AO15:AO34" si="36">H15/39</f>
        <v>0.15376322210699692</v>
      </c>
      <c r="AP15" s="8">
        <f t="shared" ref="AP15:AP34" si="37">(J15)/(24.3/2)</f>
        <v>3.2944989442698502</v>
      </c>
      <c r="AQ15" s="9">
        <f t="shared" ref="AQ15:AQ34" si="38">(L15)/(40.07/2)</f>
        <v>3.4612270121260842</v>
      </c>
      <c r="AR15" s="48">
        <f t="shared" ref="AR15:AR23" si="39">N15/19</f>
        <v>9.5263157894736831E-3</v>
      </c>
      <c r="AS15" s="7">
        <f>P15/35.45</f>
        <v>0.36357310766337558</v>
      </c>
      <c r="AT15" s="60"/>
      <c r="AU15" s="7">
        <f t="shared" ref="AU15:AU23" si="40">T15/62</f>
        <v>2.0437125707129595E-2</v>
      </c>
      <c r="AV15" s="59"/>
      <c r="AW15" s="10">
        <f t="shared" ref="AW15:AW23" si="41">W15*2/96</f>
        <v>7.5719479585006688</v>
      </c>
      <c r="AX15" s="36">
        <f t="shared" si="12"/>
        <v>8.3165138895487836</v>
      </c>
      <c r="AY15" s="329">
        <f t="shared" si="13"/>
        <v>9.0819470963156093</v>
      </c>
      <c r="AZ15" s="22">
        <f t="shared" si="14"/>
        <v>7.9934845076606473</v>
      </c>
      <c r="BA15" s="30">
        <f t="shared" si="34"/>
        <v>1.9805604759802131</v>
      </c>
      <c r="BB15" s="324">
        <f t="shared" si="15"/>
        <v>6.3744367574374987</v>
      </c>
      <c r="BC15" s="492">
        <f t="shared" si="16"/>
        <v>7.9444241057064842</v>
      </c>
      <c r="BD15" s="492">
        <f t="shared" si="17"/>
        <v>2.2882430518514392</v>
      </c>
      <c r="BE15" s="493"/>
      <c r="BF15" s="365">
        <v>1.7633737018103406</v>
      </c>
      <c r="BG15" s="674">
        <f t="shared" si="18"/>
        <v>1.7633737018103407E-3</v>
      </c>
      <c r="BH15" s="111">
        <v>0.14636351502794162</v>
      </c>
      <c r="BI15" s="370">
        <v>1210.6615698496041</v>
      </c>
      <c r="BJ15" s="679">
        <f t="shared" si="19"/>
        <v>1.2106615698496042</v>
      </c>
      <c r="BK15" s="202">
        <v>66.673429248417435</v>
      </c>
      <c r="BL15" s="370">
        <v>411.8821872052423</v>
      </c>
      <c r="BM15" s="202">
        <v>18.355348669828885</v>
      </c>
      <c r="BN15" s="340">
        <f t="shared" si="20"/>
        <v>561</v>
      </c>
      <c r="BO15" s="370">
        <v>9751.2445626554781</v>
      </c>
      <c r="BP15" s="202">
        <v>413.91612201035491</v>
      </c>
      <c r="BQ15" s="370">
        <v>148.30148003328321</v>
      </c>
      <c r="BR15" s="679">
        <f t="shared" si="21"/>
        <v>0.14830148003328322</v>
      </c>
      <c r="BS15" s="202">
        <v>4.1747101603532863</v>
      </c>
      <c r="BT15" s="373" t="s">
        <v>115</v>
      </c>
      <c r="BU15" s="680"/>
      <c r="BV15" s="111"/>
      <c r="BW15" s="375" t="s">
        <v>119</v>
      </c>
      <c r="BX15" s="680"/>
      <c r="BY15" s="378"/>
      <c r="BZ15" s="370">
        <v>1636.5802475261019</v>
      </c>
      <c r="CA15" s="111">
        <v>35.381345188129607</v>
      </c>
      <c r="CB15" s="340">
        <f t="shared" si="22"/>
        <v>2200</v>
      </c>
      <c r="CC15" s="370">
        <v>69.7104289622538</v>
      </c>
      <c r="CD15" s="111">
        <v>3.900152752531572</v>
      </c>
      <c r="CE15" s="340">
        <f t="shared" si="23"/>
        <v>21600</v>
      </c>
      <c r="CF15" s="370">
        <v>25.605222446689567</v>
      </c>
      <c r="CG15" s="147">
        <v>0.2319275149816957</v>
      </c>
      <c r="CH15" s="376">
        <v>52.923296579161352</v>
      </c>
      <c r="CI15" s="111">
        <v>0.7777497923122797</v>
      </c>
      <c r="CJ15" s="365">
        <v>7.421699872092967</v>
      </c>
      <c r="CK15" s="111">
        <v>0.41081625130671429</v>
      </c>
      <c r="CL15" s="253">
        <v>158.33660035510513</v>
      </c>
      <c r="CM15" s="111">
        <v>1.1935753829692741</v>
      </c>
      <c r="CN15" s="373" t="s">
        <v>116</v>
      </c>
      <c r="CO15" s="685" t="e">
        <f t="shared" si="24"/>
        <v>#VALUE!</v>
      </c>
      <c r="CP15" s="111"/>
      <c r="CQ15" s="368" t="s">
        <v>73</v>
      </c>
      <c r="CR15" s="686" t="e">
        <f t="shared" si="25"/>
        <v>#VALUE!</v>
      </c>
      <c r="CS15" s="111"/>
      <c r="CT15" s="368" t="s">
        <v>115</v>
      </c>
      <c r="CU15" s="685" t="e">
        <f t="shared" si="26"/>
        <v>#VALUE!</v>
      </c>
      <c r="CV15" s="111"/>
      <c r="CW15" s="384">
        <v>7.9778648947490503</v>
      </c>
      <c r="CX15" s="674">
        <f t="shared" si="27"/>
        <v>7.9778648947490503E-3</v>
      </c>
      <c r="CY15" s="111">
        <v>0.15233702200471722</v>
      </c>
      <c r="CZ15" s="370">
        <v>501.73489679096497</v>
      </c>
      <c r="DA15" s="679">
        <f t="shared" si="28"/>
        <v>0.50173489679096495</v>
      </c>
      <c r="DB15" s="111">
        <v>7.5520374215212049</v>
      </c>
      <c r="DC15" s="255" t="s">
        <v>116</v>
      </c>
      <c r="DD15" s="698"/>
      <c r="DE15" s="111"/>
      <c r="DF15" s="389" t="s">
        <v>117</v>
      </c>
      <c r="DG15" s="111"/>
      <c r="DH15" s="389" t="s">
        <v>116</v>
      </c>
      <c r="DI15" s="682"/>
      <c r="DJ15" s="111"/>
      <c r="DK15" s="389" t="s">
        <v>116</v>
      </c>
      <c r="DL15" s="682"/>
      <c r="DM15" s="111"/>
      <c r="DN15" s="391">
        <v>5.3984143530686621</v>
      </c>
      <c r="DO15" s="674">
        <f t="shared" si="29"/>
        <v>5.3984143530686618E-3</v>
      </c>
      <c r="DP15" s="111">
        <v>0.15150385402653663</v>
      </c>
      <c r="DQ15" s="389" t="s">
        <v>118</v>
      </c>
      <c r="DR15" s="111"/>
      <c r="DS15" s="368" t="s">
        <v>121</v>
      </c>
      <c r="DT15" s="692" t="e">
        <f t="shared" si="30"/>
        <v>#VALUE!</v>
      </c>
      <c r="DU15" s="111"/>
      <c r="DV15" s="384">
        <v>14.492156326756582</v>
      </c>
      <c r="DW15" s="674">
        <f t="shared" si="31"/>
        <v>1.4492156326756583E-2</v>
      </c>
      <c r="DX15" s="111">
        <v>0.29376126912001616</v>
      </c>
      <c r="DY15" s="389" t="s">
        <v>119</v>
      </c>
      <c r="DZ15" s="111"/>
      <c r="EA15" s="368" t="s">
        <v>115</v>
      </c>
      <c r="EB15" s="111"/>
      <c r="EC15" s="389" t="s">
        <v>117</v>
      </c>
      <c r="ED15" s="111"/>
      <c r="EE15" s="389" t="s">
        <v>120</v>
      </c>
      <c r="EF15" s="111"/>
      <c r="EG15" s="375" t="s">
        <v>119</v>
      </c>
      <c r="EH15" s="693" t="e">
        <f t="shared" si="32"/>
        <v>#VALUE!</v>
      </c>
      <c r="EI15" s="379"/>
      <c r="EJ15" s="389" t="s">
        <v>118</v>
      </c>
      <c r="EK15" s="682"/>
      <c r="EL15" s="111"/>
      <c r="EM15" s="389" t="s">
        <v>120</v>
      </c>
      <c r="EN15" s="682"/>
      <c r="EO15" s="111"/>
    </row>
    <row r="16" spans="1:145" ht="15.75" thickBot="1" x14ac:dyDescent="0.3">
      <c r="A16" s="16" t="s">
        <v>162</v>
      </c>
      <c r="B16" s="12">
        <v>7.9292579048101955E-2</v>
      </c>
      <c r="C16" s="400">
        <v>1.014172576007252</v>
      </c>
      <c r="D16" s="348">
        <v>29.100211180124226</v>
      </c>
      <c r="E16" s="210"/>
      <c r="F16" s="22">
        <v>0.83811902632886248</v>
      </c>
      <c r="G16" s="210"/>
      <c r="H16" s="7">
        <v>6.5005329359165431</v>
      </c>
      <c r="I16" s="7"/>
      <c r="J16" s="7">
        <v>41.006506507699946</v>
      </c>
      <c r="K16" s="93"/>
      <c r="L16" s="10">
        <v>70.473544957774465</v>
      </c>
      <c r="M16" s="160"/>
      <c r="N16" s="67">
        <v>0.17099999999999996</v>
      </c>
      <c r="O16" s="185">
        <v>6.9999999999999906E-3</v>
      </c>
      <c r="P16" s="67">
        <v>12.804000000000002</v>
      </c>
      <c r="Q16" s="185">
        <v>3.0116440692750782E-2</v>
      </c>
      <c r="R16" s="67" t="s">
        <v>74</v>
      </c>
      <c r="S16" s="185"/>
      <c r="T16" s="409"/>
      <c r="U16" s="410"/>
      <c r="V16" s="160" t="s">
        <v>72</v>
      </c>
      <c r="W16" s="175">
        <v>389.53770643482</v>
      </c>
      <c r="X16" s="165">
        <v>0.21450733025076377</v>
      </c>
      <c r="Y16" s="228">
        <v>108.8</v>
      </c>
      <c r="Z16" s="230">
        <f t="shared" si="0"/>
        <v>36.992000000000004</v>
      </c>
      <c r="AA16" s="230">
        <f t="shared" si="1"/>
        <v>2.1760000000000002</v>
      </c>
      <c r="AB16" s="229">
        <v>5.2</v>
      </c>
      <c r="AC16" s="297">
        <f t="shared" si="4"/>
        <v>3.1720000000000002</v>
      </c>
      <c r="AD16" s="302">
        <f t="shared" si="5"/>
        <v>5.2000000000000005E-2</v>
      </c>
      <c r="AE16" s="231">
        <v>16.399999999999999</v>
      </c>
      <c r="AF16" s="232">
        <v>0.08</v>
      </c>
      <c r="AG16" s="232">
        <v>9</v>
      </c>
      <c r="AH16" s="233">
        <v>290</v>
      </c>
      <c r="AI16" s="231">
        <v>22</v>
      </c>
      <c r="AJ16" s="231">
        <v>1.081</v>
      </c>
      <c r="AK16" s="231">
        <v>0.6</v>
      </c>
      <c r="AL16" s="47">
        <f t="shared" si="6"/>
        <v>1.1327511292585994E-2</v>
      </c>
      <c r="AM16" s="8">
        <f t="shared" si="7"/>
        <v>1.2652265730488794</v>
      </c>
      <c r="AN16" s="362">
        <f t="shared" si="8"/>
        <v>4.656216812938125E-2</v>
      </c>
      <c r="AO16" s="8">
        <f t="shared" si="36"/>
        <v>0.16668033169016777</v>
      </c>
      <c r="AP16" s="8">
        <f t="shared" si="37"/>
        <v>3.3750211117448514</v>
      </c>
      <c r="AQ16" s="9">
        <f t="shared" si="38"/>
        <v>3.5175215851147725</v>
      </c>
      <c r="AR16" s="48">
        <f t="shared" si="39"/>
        <v>8.9999999999999976E-3</v>
      </c>
      <c r="AS16" s="7">
        <f>P16/35.45</f>
        <v>0.36118476727785614</v>
      </c>
      <c r="AT16" s="60"/>
      <c r="AU16" s="411">
        <f>AF16/62</f>
        <v>1.2903225806451613E-3</v>
      </c>
      <c r="AV16" s="59"/>
      <c r="AW16" s="10">
        <f t="shared" si="41"/>
        <v>8.1153688840587499</v>
      </c>
      <c r="AX16" s="36">
        <f>AM16+AN16+AO16+AP16+AL16+AQ16+((BL16/1000)/(27/3))+((BZ16/1000)/(55/2))+((CC16/1000)/(57/2))</f>
        <v>8.5667023513292424</v>
      </c>
      <c r="AY16" s="329">
        <f t="shared" si="13"/>
        <v>9.2496362303819541</v>
      </c>
      <c r="AZ16" s="22">
        <f t="shared" si="14"/>
        <v>8.5388439739172508</v>
      </c>
      <c r="BA16" s="30">
        <f t="shared" si="34"/>
        <v>0.16286166417774531</v>
      </c>
      <c r="BB16" s="324">
        <f t="shared" si="15"/>
        <v>3.9958009245383184</v>
      </c>
      <c r="BC16" s="492">
        <f t="shared" si="16"/>
        <v>8.5786310376253105</v>
      </c>
      <c r="BD16" s="492">
        <f t="shared" si="17"/>
        <v>-6.9573953596918023E-2</v>
      </c>
      <c r="BE16" s="493"/>
      <c r="BF16" s="365">
        <v>3.3738032323803244</v>
      </c>
      <c r="BG16" s="674">
        <f t="shared" si="18"/>
        <v>3.3738032323803245E-3</v>
      </c>
      <c r="BH16" s="111">
        <v>0.14611644965471521</v>
      </c>
      <c r="BI16" s="370">
        <v>1528.947283917254</v>
      </c>
      <c r="BJ16" s="679">
        <f t="shared" si="19"/>
        <v>1.528947283917254</v>
      </c>
      <c r="BK16" s="202">
        <v>55.450290086546872</v>
      </c>
      <c r="BL16" s="370">
        <v>1081</v>
      </c>
      <c r="BM16" s="202">
        <v>176.20052533587685</v>
      </c>
      <c r="BN16" s="340">
        <f t="shared" si="20"/>
        <v>1081</v>
      </c>
      <c r="BO16" s="370">
        <v>12373.726754426254</v>
      </c>
      <c r="BP16" s="202">
        <v>763.88576540777956</v>
      </c>
      <c r="BQ16" s="370">
        <v>223.92240611835055</v>
      </c>
      <c r="BR16" s="679">
        <f t="shared" si="21"/>
        <v>0.22392240611835054</v>
      </c>
      <c r="BS16" s="202">
        <v>3.4264661423793168</v>
      </c>
      <c r="BT16" s="370">
        <v>8.6765153151616463</v>
      </c>
      <c r="BU16" s="675"/>
      <c r="BV16" s="111">
        <v>0.16890687425169137</v>
      </c>
      <c r="BW16" s="376">
        <v>1.7629520450230765</v>
      </c>
      <c r="BX16" s="675"/>
      <c r="BY16" s="378">
        <v>3.7796831764201295E-2</v>
      </c>
      <c r="BZ16" s="370">
        <v>1728.3323867030144</v>
      </c>
      <c r="CA16" s="111">
        <v>32.49982931006862</v>
      </c>
      <c r="CB16" s="340">
        <f t="shared" si="22"/>
        <v>600</v>
      </c>
      <c r="CC16" s="370">
        <v>40</v>
      </c>
      <c r="CD16" s="111">
        <v>2.5</v>
      </c>
      <c r="CE16" s="340">
        <f t="shared" si="23"/>
        <v>22000</v>
      </c>
      <c r="CF16" s="370">
        <v>26.102175389789927</v>
      </c>
      <c r="CG16" s="147">
        <v>0.41602510496648298</v>
      </c>
      <c r="CH16" s="376">
        <v>50.776766163853772</v>
      </c>
      <c r="CI16" s="111">
        <v>0.49895049382546985</v>
      </c>
      <c r="CJ16" s="383">
        <v>6.5746335669400811</v>
      </c>
      <c r="CK16" s="111">
        <v>0.10722909748769918</v>
      </c>
      <c r="CL16" s="253">
        <v>143.20374573944639</v>
      </c>
      <c r="CM16" s="111">
        <v>1.2097759103560251</v>
      </c>
      <c r="CN16" s="384">
        <v>1.7271796314208698</v>
      </c>
      <c r="CO16" s="685">
        <f t="shared" si="24"/>
        <v>1.7271796314208699E-3</v>
      </c>
      <c r="CP16" s="111">
        <v>4.4892098664262241E-2</v>
      </c>
      <c r="CQ16" s="365">
        <v>2.1763690874712287</v>
      </c>
      <c r="CR16" s="686">
        <f t="shared" si="25"/>
        <v>2.1763690874712287E-3</v>
      </c>
      <c r="CS16" s="111">
        <v>0.14144028309116519</v>
      </c>
      <c r="CT16" s="365">
        <v>4.0060884962213796</v>
      </c>
      <c r="CU16" s="685">
        <f t="shared" si="26"/>
        <v>4.0060884962213796E-3</v>
      </c>
      <c r="CV16" s="111">
        <v>0.18589990164264239</v>
      </c>
      <c r="CW16" s="384">
        <v>8.6502650971035351</v>
      </c>
      <c r="CX16" s="674">
        <f t="shared" si="27"/>
        <v>8.6502650971035343E-3</v>
      </c>
      <c r="CY16" s="111">
        <v>0.15708224134605464</v>
      </c>
      <c r="CZ16" s="370">
        <v>508.60519633928504</v>
      </c>
      <c r="DA16" s="679">
        <f t="shared" si="28"/>
        <v>0.50860519633928503</v>
      </c>
      <c r="DB16" s="111">
        <v>6.9366311242592031</v>
      </c>
      <c r="DC16" s="255" t="s">
        <v>116</v>
      </c>
      <c r="DD16" s="698"/>
      <c r="DE16" s="111"/>
      <c r="DF16" s="389" t="s">
        <v>117</v>
      </c>
      <c r="DG16" s="111"/>
      <c r="DH16" s="389" t="s">
        <v>116</v>
      </c>
      <c r="DI16" s="682"/>
      <c r="DJ16" s="111"/>
      <c r="DK16" s="389" t="s">
        <v>116</v>
      </c>
      <c r="DL16" s="682"/>
      <c r="DM16" s="111"/>
      <c r="DN16" s="391">
        <v>4.6129459406644049</v>
      </c>
      <c r="DO16" s="674">
        <f t="shared" si="29"/>
        <v>4.6129459406644051E-3</v>
      </c>
      <c r="DP16" s="111">
        <v>9.6661530026394035E-2</v>
      </c>
      <c r="DQ16" s="389" t="s">
        <v>118</v>
      </c>
      <c r="DR16" s="111"/>
      <c r="DS16" s="368" t="s">
        <v>121</v>
      </c>
      <c r="DT16" s="692" t="e">
        <f t="shared" si="30"/>
        <v>#VALUE!</v>
      </c>
      <c r="DU16" s="111"/>
      <c r="DV16" s="384">
        <v>26.237504840157911</v>
      </c>
      <c r="DW16" s="674">
        <f t="shared" si="31"/>
        <v>2.623750484015791E-2</v>
      </c>
      <c r="DX16" s="111">
        <v>0.2731154041205065</v>
      </c>
      <c r="DY16" s="389" t="s">
        <v>119</v>
      </c>
      <c r="DZ16" s="111"/>
      <c r="EA16" s="368" t="s">
        <v>115</v>
      </c>
      <c r="EB16" s="111"/>
      <c r="EC16" s="389" t="s">
        <v>117</v>
      </c>
      <c r="ED16" s="111"/>
      <c r="EE16" s="389" t="s">
        <v>120</v>
      </c>
      <c r="EF16" s="111"/>
      <c r="EG16" s="375" t="s">
        <v>119</v>
      </c>
      <c r="EH16" s="693" t="e">
        <f t="shared" si="32"/>
        <v>#VALUE!</v>
      </c>
      <c r="EI16" s="379"/>
      <c r="EJ16" s="389" t="s">
        <v>118</v>
      </c>
      <c r="EK16" s="682"/>
      <c r="EL16" s="111"/>
      <c r="EM16" s="389" t="s">
        <v>120</v>
      </c>
      <c r="EN16" s="682"/>
      <c r="EO16" s="111"/>
    </row>
    <row r="17" spans="1:145" ht="15.75" thickBot="1" x14ac:dyDescent="0.3">
      <c r="A17" s="16" t="s">
        <v>163</v>
      </c>
      <c r="B17" s="12">
        <v>7.732055441325511E-2</v>
      </c>
      <c r="C17" s="400">
        <v>3.1603853519141625</v>
      </c>
      <c r="D17" s="348">
        <v>29.669516773162936</v>
      </c>
      <c r="E17" s="210"/>
      <c r="F17" s="22">
        <v>0.76599440894568682</v>
      </c>
      <c r="G17" s="210"/>
      <c r="H17" s="7">
        <v>5.4640934504792336</v>
      </c>
      <c r="I17" s="7"/>
      <c r="J17" s="7">
        <v>39.126994408945684</v>
      </c>
      <c r="K17" s="93"/>
      <c r="L17" s="10">
        <v>67.305375399361012</v>
      </c>
      <c r="M17" s="160"/>
      <c r="N17" s="67">
        <v>0.17466666666666666</v>
      </c>
      <c r="O17" s="185">
        <v>5.7735026918962634E-4</v>
      </c>
      <c r="P17" s="67">
        <v>13.335333333333333</v>
      </c>
      <c r="Q17" s="185">
        <v>1.5275252316518753E-3</v>
      </c>
      <c r="R17" s="67" t="s">
        <v>74</v>
      </c>
      <c r="S17" s="185"/>
      <c r="T17" s="58">
        <v>2.9960335668893592</v>
      </c>
      <c r="U17" s="10">
        <v>7.5169300961381483E-2</v>
      </c>
      <c r="V17" s="160" t="s">
        <v>72</v>
      </c>
      <c r="W17" s="175">
        <v>372.68581467600887</v>
      </c>
      <c r="X17" s="165">
        <v>2.3060060308948747</v>
      </c>
      <c r="Y17" s="228">
        <v>130.9</v>
      </c>
      <c r="Z17" s="230">
        <f t="shared" si="0"/>
        <v>44.506000000000007</v>
      </c>
      <c r="AA17" s="230">
        <f t="shared" si="1"/>
        <v>2.6180000000000003</v>
      </c>
      <c r="AB17" s="229">
        <v>4.9000000000000004</v>
      </c>
      <c r="AC17" s="297">
        <f t="shared" si="4"/>
        <v>2.9890000000000003</v>
      </c>
      <c r="AD17" s="302">
        <f t="shared" si="5"/>
        <v>4.9000000000000002E-2</v>
      </c>
      <c r="AE17" s="231">
        <v>9.9</v>
      </c>
      <c r="AF17" s="232">
        <v>0.18</v>
      </c>
      <c r="AG17" s="232">
        <v>13.2</v>
      </c>
      <c r="AH17" s="233">
        <v>290</v>
      </c>
      <c r="AI17" s="231">
        <v>34.4</v>
      </c>
      <c r="AJ17" s="231">
        <v>0.314</v>
      </c>
      <c r="AK17" s="231">
        <v>2.6</v>
      </c>
      <c r="AL17" s="47">
        <f t="shared" si="6"/>
        <v>1.1045793487607872E-2</v>
      </c>
      <c r="AM17" s="8">
        <f t="shared" si="7"/>
        <v>1.2899789901375189</v>
      </c>
      <c r="AN17" s="362">
        <f t="shared" si="8"/>
        <v>4.2555244941427046E-2</v>
      </c>
      <c r="AO17" s="8">
        <f t="shared" si="36"/>
        <v>0.14010496026869829</v>
      </c>
      <c r="AP17" s="8">
        <f t="shared" si="37"/>
        <v>3.2203287579379163</v>
      </c>
      <c r="AQ17" s="9">
        <f t="shared" si="38"/>
        <v>3.3593898377519844</v>
      </c>
      <c r="AR17" s="48">
        <f t="shared" si="39"/>
        <v>9.19298245614035E-3</v>
      </c>
      <c r="AS17" s="7">
        <f>P17/35.45</f>
        <v>0.37617301363422656</v>
      </c>
      <c r="AT17" s="60"/>
      <c r="AU17" s="7">
        <f t="shared" si="40"/>
        <v>4.8323122046602565E-2</v>
      </c>
      <c r="AV17" s="59"/>
      <c r="AW17" s="10">
        <f t="shared" si="41"/>
        <v>7.7642878057501852</v>
      </c>
      <c r="AX17" s="36">
        <f t="shared" si="12"/>
        <v>8.1801988179816973</v>
      </c>
      <c r="AY17" s="329">
        <f t="shared" si="13"/>
        <v>9.357300226877717</v>
      </c>
      <c r="AZ17" s="22">
        <f t="shared" si="14"/>
        <v>8.2469769238871535</v>
      </c>
      <c r="BA17" s="30">
        <f t="shared" si="34"/>
        <v>-0.40650996224052766</v>
      </c>
      <c r="BB17" s="324">
        <f t="shared" si="15"/>
        <v>6.3071223741914455</v>
      </c>
      <c r="BC17" s="492">
        <f t="shared" si="16"/>
        <v>8.0460642709932557</v>
      </c>
      <c r="BD17" s="492">
        <f t="shared" si="17"/>
        <v>0.82665088229452088</v>
      </c>
      <c r="BE17" s="493"/>
      <c r="BF17" s="365">
        <v>1.7804110068081391</v>
      </c>
      <c r="BG17" s="674">
        <f t="shared" si="18"/>
        <v>1.7804110068081391E-3</v>
      </c>
      <c r="BH17" s="111">
        <v>0.15832100722432238</v>
      </c>
      <c r="BI17" s="370">
        <v>1173.6170905461897</v>
      </c>
      <c r="BJ17" s="679">
        <f t="shared" si="19"/>
        <v>1.1736170905461898</v>
      </c>
      <c r="BK17" s="202">
        <v>24.106470507367536</v>
      </c>
      <c r="BL17" s="370">
        <v>508.94660375805825</v>
      </c>
      <c r="BM17" s="202">
        <v>9.8005277027273046</v>
      </c>
      <c r="BN17" s="340">
        <f t="shared" si="20"/>
        <v>314</v>
      </c>
      <c r="BO17" s="370">
        <v>12000.889615426664</v>
      </c>
      <c r="BP17" s="202">
        <v>791.72282823734577</v>
      </c>
      <c r="BQ17" s="370">
        <v>144.70423444687191</v>
      </c>
      <c r="BR17" s="679">
        <f t="shared" si="21"/>
        <v>0.14470423444687192</v>
      </c>
      <c r="BS17" s="202">
        <v>2.7446290508716462</v>
      </c>
      <c r="BT17" s="373" t="s">
        <v>115</v>
      </c>
      <c r="BU17" s="680"/>
      <c r="BV17" s="111"/>
      <c r="BW17" s="375" t="s">
        <v>119</v>
      </c>
      <c r="BX17" s="680"/>
      <c r="BY17" s="379"/>
      <c r="BZ17" s="370">
        <v>1579.4647992107818</v>
      </c>
      <c r="CA17" s="111">
        <v>28.118664874180357</v>
      </c>
      <c r="CB17" s="340">
        <f t="shared" si="22"/>
        <v>2600</v>
      </c>
      <c r="CC17" s="370">
        <v>80.100025459232995</v>
      </c>
      <c r="CD17" s="111">
        <v>0.24030007637769898</v>
      </c>
      <c r="CE17" s="340">
        <f t="shared" si="23"/>
        <v>34400</v>
      </c>
      <c r="CF17" s="370">
        <v>25.828747241613502</v>
      </c>
      <c r="CG17" s="147">
        <v>0.57670538097486801</v>
      </c>
      <c r="CH17" s="376">
        <v>52.396391600405842</v>
      </c>
      <c r="CI17" s="111">
        <v>1.0776670660694538</v>
      </c>
      <c r="CJ17" s="383">
        <v>6.9422110413979654</v>
      </c>
      <c r="CK17" s="111">
        <v>0.17256388384179114</v>
      </c>
      <c r="CL17" s="253">
        <v>184.52035126709512</v>
      </c>
      <c r="CM17" s="111">
        <v>4.3767957999855795</v>
      </c>
      <c r="CN17" s="385" t="s">
        <v>116</v>
      </c>
      <c r="CO17" s="685" t="e">
        <f t="shared" si="24"/>
        <v>#VALUE!</v>
      </c>
      <c r="CP17" s="111"/>
      <c r="CQ17" s="368" t="s">
        <v>73</v>
      </c>
      <c r="CR17" s="686" t="e">
        <f t="shared" si="25"/>
        <v>#VALUE!</v>
      </c>
      <c r="CS17" s="111"/>
      <c r="CT17" s="368" t="s">
        <v>115</v>
      </c>
      <c r="CU17" s="685" t="e">
        <f t="shared" si="26"/>
        <v>#VALUE!</v>
      </c>
      <c r="CV17" s="111"/>
      <c r="CW17" s="384">
        <v>7.7273314644090361</v>
      </c>
      <c r="CX17" s="674">
        <f t="shared" si="27"/>
        <v>7.727331464409036E-3</v>
      </c>
      <c r="CY17" s="111">
        <v>0.19042076763004814</v>
      </c>
      <c r="CZ17" s="370">
        <v>490.47681156003875</v>
      </c>
      <c r="DA17" s="679">
        <f t="shared" si="28"/>
        <v>0.49047681156003875</v>
      </c>
      <c r="DB17" s="111">
        <v>6.9314379582584795</v>
      </c>
      <c r="DC17" s="255" t="s">
        <v>116</v>
      </c>
      <c r="DD17" s="698"/>
      <c r="DE17" s="111"/>
      <c r="DF17" s="389" t="s">
        <v>117</v>
      </c>
      <c r="DG17" s="111"/>
      <c r="DH17" s="389" t="s">
        <v>116</v>
      </c>
      <c r="DI17" s="682"/>
      <c r="DJ17" s="111"/>
      <c r="DK17" s="389" t="s">
        <v>116</v>
      </c>
      <c r="DL17" s="682"/>
      <c r="DM17" s="111"/>
      <c r="DN17" s="391">
        <v>9.5910409235476326</v>
      </c>
      <c r="DO17" s="674">
        <f t="shared" si="29"/>
        <v>9.5910409235476328E-3</v>
      </c>
      <c r="DP17" s="111">
        <v>0.24443713112988963</v>
      </c>
      <c r="DQ17" s="389" t="s">
        <v>118</v>
      </c>
      <c r="DR17" s="111"/>
      <c r="DS17" s="368" t="s">
        <v>121</v>
      </c>
      <c r="DT17" s="692" t="e">
        <f t="shared" si="30"/>
        <v>#VALUE!</v>
      </c>
      <c r="DU17" s="111"/>
      <c r="DV17" s="384">
        <v>13.592050164319247</v>
      </c>
      <c r="DW17" s="674">
        <f t="shared" si="31"/>
        <v>1.3592050164319247E-2</v>
      </c>
      <c r="DX17" s="111">
        <v>0.42533824483535115</v>
      </c>
      <c r="DY17" s="389" t="s">
        <v>119</v>
      </c>
      <c r="DZ17" s="111"/>
      <c r="EA17" s="368" t="s">
        <v>115</v>
      </c>
      <c r="EB17" s="111"/>
      <c r="EC17" s="389" t="s">
        <v>117</v>
      </c>
      <c r="ED17" s="111"/>
      <c r="EE17" s="389" t="s">
        <v>120</v>
      </c>
      <c r="EF17" s="111"/>
      <c r="EG17" s="375" t="s">
        <v>119</v>
      </c>
      <c r="EH17" s="693" t="e">
        <f t="shared" si="32"/>
        <v>#VALUE!</v>
      </c>
      <c r="EI17" s="379"/>
      <c r="EJ17" s="389" t="s">
        <v>118</v>
      </c>
      <c r="EK17" s="682"/>
      <c r="EL17" s="111"/>
      <c r="EM17" s="389" t="s">
        <v>120</v>
      </c>
      <c r="EN17" s="682"/>
      <c r="EO17" s="111"/>
    </row>
    <row r="18" spans="1:145" ht="15.75" thickBot="1" x14ac:dyDescent="0.3">
      <c r="A18" s="17" t="s">
        <v>164</v>
      </c>
      <c r="B18" s="13">
        <v>7.8505238159924162E-2</v>
      </c>
      <c r="C18" s="401">
        <v>1.0189732942461773</v>
      </c>
      <c r="D18" s="349">
        <v>27.857808517094885</v>
      </c>
      <c r="E18" s="211"/>
      <c r="F18" s="23">
        <v>0.61458456402994133</v>
      </c>
      <c r="G18" s="211"/>
      <c r="H18" s="11">
        <v>5.0678038640501724</v>
      </c>
      <c r="I18" s="11"/>
      <c r="J18" s="11">
        <v>40.129349484118961</v>
      </c>
      <c r="K18" s="92"/>
      <c r="L18" s="31">
        <v>68.883846955290309</v>
      </c>
      <c r="M18" s="158"/>
      <c r="N18" s="68">
        <v>0.16833333333333333</v>
      </c>
      <c r="O18" s="182">
        <v>1.5275252316519479E-3</v>
      </c>
      <c r="P18" s="68">
        <v>12.88</v>
      </c>
      <c r="Q18" s="182">
        <v>8.6602540378447161E-3</v>
      </c>
      <c r="R18" s="68" t="s">
        <v>74</v>
      </c>
      <c r="S18" s="182"/>
      <c r="T18" s="51">
        <v>0.61618057273768612</v>
      </c>
      <c r="U18" s="31">
        <v>7.360386611162506E-2</v>
      </c>
      <c r="V18" s="158" t="s">
        <v>72</v>
      </c>
      <c r="W18" s="173">
        <v>315.04432426116841</v>
      </c>
      <c r="X18" s="163">
        <v>0.62341994874060713</v>
      </c>
      <c r="Y18" s="222">
        <v>129.4</v>
      </c>
      <c r="Z18" s="224">
        <f t="shared" si="0"/>
        <v>43.996000000000002</v>
      </c>
      <c r="AA18" s="224">
        <f t="shared" si="1"/>
        <v>2.5880000000000001</v>
      </c>
      <c r="AB18" s="223">
        <v>6.2</v>
      </c>
      <c r="AC18" s="295">
        <f t="shared" si="4"/>
        <v>3.782</v>
      </c>
      <c r="AD18" s="300">
        <f t="shared" si="5"/>
        <v>6.2E-2</v>
      </c>
      <c r="AE18" s="225">
        <v>13.8</v>
      </c>
      <c r="AF18" s="226">
        <v>0.24</v>
      </c>
      <c r="AG18" s="226">
        <v>19.399999999999999</v>
      </c>
      <c r="AH18" s="227">
        <v>330</v>
      </c>
      <c r="AI18" s="225">
        <v>29.4</v>
      </c>
      <c r="AJ18" s="225">
        <v>0.33100000000000002</v>
      </c>
      <c r="AK18" s="225">
        <v>0.4</v>
      </c>
      <c r="AL18" s="264">
        <f t="shared" si="6"/>
        <v>1.1215034022846309E-2</v>
      </c>
      <c r="AM18" s="356">
        <f t="shared" si="7"/>
        <v>1.2112090659606471</v>
      </c>
      <c r="AN18" s="363">
        <f t="shared" si="8"/>
        <v>3.4143586890552295E-2</v>
      </c>
      <c r="AO18" s="356">
        <f t="shared" si="36"/>
        <v>0.1299436888217993</v>
      </c>
      <c r="AP18" s="356">
        <f t="shared" si="37"/>
        <v>3.3028271180344824</v>
      </c>
      <c r="AQ18" s="357">
        <f t="shared" si="38"/>
        <v>3.4381755405685204</v>
      </c>
      <c r="AR18" s="52">
        <f t="shared" si="39"/>
        <v>8.859649122807017E-3</v>
      </c>
      <c r="AS18" s="11">
        <f>P18/35.45</f>
        <v>0.36332863187588149</v>
      </c>
      <c r="AT18" s="54"/>
      <c r="AU18" s="11">
        <f t="shared" si="40"/>
        <v>9.9383963344788079E-3</v>
      </c>
      <c r="AV18" s="53"/>
      <c r="AW18" s="31">
        <f t="shared" si="41"/>
        <v>6.5634234221076753</v>
      </c>
      <c r="AX18" s="55">
        <f t="shared" si="12"/>
        <v>8.2398769532973386</v>
      </c>
      <c r="AY18" s="331">
        <f t="shared" si="13"/>
        <v>9.176272627099948</v>
      </c>
      <c r="AZ18" s="23">
        <f t="shared" si="14"/>
        <v>7.0075500994408424</v>
      </c>
      <c r="BA18" s="56">
        <f t="shared" si="34"/>
        <v>8.0821954392311124</v>
      </c>
      <c r="BB18" s="326">
        <f t="shared" si="15"/>
        <v>13.40055785523708</v>
      </c>
      <c r="BC18" s="492">
        <f t="shared" si="16"/>
        <v>6.9560267842158083</v>
      </c>
      <c r="BD18" s="492">
        <f t="shared" si="17"/>
        <v>8.4486595286344972</v>
      </c>
      <c r="BE18" s="495"/>
      <c r="BF18" s="367" t="s">
        <v>114</v>
      </c>
      <c r="BG18" s="674" t="e">
        <f t="shared" si="18"/>
        <v>#VALUE!</v>
      </c>
      <c r="BH18" s="199"/>
      <c r="BI18" s="371">
        <v>1120.3328919257838</v>
      </c>
      <c r="BJ18" s="679">
        <f t="shared" si="19"/>
        <v>1.1203328919257838</v>
      </c>
      <c r="BK18" s="203">
        <v>32.814576589158612</v>
      </c>
      <c r="BL18" s="371">
        <v>473.23506193646085</v>
      </c>
      <c r="BM18" s="203">
        <v>20.957648336094632</v>
      </c>
      <c r="BN18" s="338">
        <f t="shared" si="20"/>
        <v>331</v>
      </c>
      <c r="BO18" s="371">
        <v>11093.013865967745</v>
      </c>
      <c r="BP18" s="203">
        <v>863.42685672959908</v>
      </c>
      <c r="BQ18" s="371">
        <v>147.71367258778901</v>
      </c>
      <c r="BR18" s="679">
        <f t="shared" si="21"/>
        <v>0.147713672587789</v>
      </c>
      <c r="BS18" s="203">
        <v>2.2381196048637246</v>
      </c>
      <c r="BT18" s="374" t="s">
        <v>115</v>
      </c>
      <c r="BU18" s="683"/>
      <c r="BV18" s="199"/>
      <c r="BW18" s="374" t="s">
        <v>119</v>
      </c>
      <c r="BX18" s="683"/>
      <c r="BY18" s="380"/>
      <c r="BZ18" s="371">
        <v>1605.6786923803822</v>
      </c>
      <c r="CA18" s="199">
        <v>24.37576365670138</v>
      </c>
      <c r="CB18" s="338">
        <f t="shared" si="22"/>
        <v>400</v>
      </c>
      <c r="CC18" s="371">
        <v>39.698486857972483</v>
      </c>
      <c r="CD18" s="199">
        <v>3.0890152174002732</v>
      </c>
      <c r="CE18" s="338">
        <f t="shared" si="23"/>
        <v>29400</v>
      </c>
      <c r="CF18" s="371">
        <v>25.595405534842442</v>
      </c>
      <c r="CG18" s="268">
        <v>0.47393239757041461</v>
      </c>
      <c r="CH18" s="382">
        <v>51.624132437527749</v>
      </c>
      <c r="CI18" s="199">
        <v>0.69440700502303587</v>
      </c>
      <c r="CJ18" s="382">
        <v>1.165</v>
      </c>
      <c r="CK18" s="199"/>
      <c r="CL18" s="261">
        <v>152.72999903425605</v>
      </c>
      <c r="CM18" s="199">
        <v>6.9546919833180425</v>
      </c>
      <c r="CN18" s="374" t="s">
        <v>116</v>
      </c>
      <c r="CO18" s="685" t="e">
        <f t="shared" si="24"/>
        <v>#VALUE!</v>
      </c>
      <c r="CP18" s="199"/>
      <c r="CQ18" s="367" t="s">
        <v>73</v>
      </c>
      <c r="CR18" s="686" t="e">
        <f t="shared" si="25"/>
        <v>#VALUE!</v>
      </c>
      <c r="CS18" s="199"/>
      <c r="CT18" s="367" t="s">
        <v>115</v>
      </c>
      <c r="CU18" s="685" t="e">
        <f t="shared" si="26"/>
        <v>#VALUE!</v>
      </c>
      <c r="CV18" s="199"/>
      <c r="CW18" s="381">
        <v>7.6107298888740615</v>
      </c>
      <c r="CX18" s="674">
        <f t="shared" si="27"/>
        <v>7.6107298888740613E-3</v>
      </c>
      <c r="CY18" s="199">
        <v>0.2071330865830355</v>
      </c>
      <c r="CZ18" s="371">
        <v>493.88050827771735</v>
      </c>
      <c r="DA18" s="679">
        <f t="shared" si="28"/>
        <v>0.49388050827771734</v>
      </c>
      <c r="DB18" s="199">
        <v>8.2490196615192879</v>
      </c>
      <c r="DC18" s="265" t="s">
        <v>116</v>
      </c>
      <c r="DD18" s="699"/>
      <c r="DE18" s="199"/>
      <c r="DF18" s="390" t="s">
        <v>117</v>
      </c>
      <c r="DG18" s="199"/>
      <c r="DH18" s="390" t="s">
        <v>116</v>
      </c>
      <c r="DI18" s="704"/>
      <c r="DJ18" s="199"/>
      <c r="DK18" s="390" t="s">
        <v>116</v>
      </c>
      <c r="DL18" s="704"/>
      <c r="DM18" s="199"/>
      <c r="DN18" s="392">
        <v>21.393582568817216</v>
      </c>
      <c r="DO18" s="674">
        <f t="shared" si="29"/>
        <v>2.1393582568817217E-2</v>
      </c>
      <c r="DP18" s="199">
        <v>0.79284276354279382</v>
      </c>
      <c r="DQ18" s="390" t="s">
        <v>118</v>
      </c>
      <c r="DR18" s="199"/>
      <c r="DS18" s="367" t="s">
        <v>121</v>
      </c>
      <c r="DT18" s="692" t="e">
        <f t="shared" si="30"/>
        <v>#VALUE!</v>
      </c>
      <c r="DU18" s="199"/>
      <c r="DV18" s="381">
        <v>12.483075166317978</v>
      </c>
      <c r="DW18" s="674">
        <f t="shared" si="31"/>
        <v>1.2483075166317978E-2</v>
      </c>
      <c r="DX18" s="199">
        <v>0.16466904552542055</v>
      </c>
      <c r="DY18" s="390" t="s">
        <v>119</v>
      </c>
      <c r="DZ18" s="199"/>
      <c r="EA18" s="367" t="s">
        <v>115</v>
      </c>
      <c r="EB18" s="199"/>
      <c r="EC18" s="390" t="s">
        <v>117</v>
      </c>
      <c r="ED18" s="199"/>
      <c r="EE18" s="390" t="s">
        <v>120</v>
      </c>
      <c r="EF18" s="199"/>
      <c r="EG18" s="394" t="s">
        <v>119</v>
      </c>
      <c r="EH18" s="693" t="e">
        <f t="shared" si="32"/>
        <v>#VALUE!</v>
      </c>
      <c r="EI18" s="380"/>
      <c r="EJ18" s="390" t="s">
        <v>118</v>
      </c>
      <c r="EK18" s="704"/>
      <c r="EL18" s="199"/>
      <c r="EM18" s="390" t="s">
        <v>120</v>
      </c>
      <c r="EN18" s="704"/>
      <c r="EO18" s="199"/>
    </row>
    <row r="19" spans="1:145" ht="15.75" thickBot="1" x14ac:dyDescent="0.3">
      <c r="A19" s="15" t="s">
        <v>165</v>
      </c>
      <c r="B19" s="460" t="s">
        <v>116</v>
      </c>
      <c r="C19" s="461"/>
      <c r="D19" s="347">
        <v>96.51214705882353</v>
      </c>
      <c r="E19" s="212"/>
      <c r="F19" s="21">
        <v>2.2884323529411765</v>
      </c>
      <c r="G19" s="212"/>
      <c r="H19" s="3">
        <v>10.845179411764706</v>
      </c>
      <c r="I19" s="3"/>
      <c r="J19" s="3">
        <v>48.156576470588234</v>
      </c>
      <c r="K19" s="193"/>
      <c r="L19" s="6">
        <v>96.810638235294121</v>
      </c>
      <c r="M19" s="195"/>
      <c r="N19" s="187">
        <v>5.4333333333333338E-2</v>
      </c>
      <c r="O19" s="186">
        <v>1.5275252316519479E-3</v>
      </c>
      <c r="P19" s="333">
        <v>19.874666666666666</v>
      </c>
      <c r="Q19" s="186">
        <v>5.5075705472867045E-3</v>
      </c>
      <c r="R19" s="187">
        <v>0.19499999999999998</v>
      </c>
      <c r="S19" s="186">
        <v>4.5825756949558439E-3</v>
      </c>
      <c r="T19" s="44">
        <v>1.5288198019801982</v>
      </c>
      <c r="U19" s="5">
        <v>2.1532673267326663E-2</v>
      </c>
      <c r="V19" s="159" t="s">
        <v>72</v>
      </c>
      <c r="W19" s="174">
        <v>518.39910891089119</v>
      </c>
      <c r="X19" s="164">
        <v>0.29914145730948055</v>
      </c>
      <c r="Y19" s="178">
        <v>114</v>
      </c>
      <c r="Z19" s="95">
        <f t="shared" si="0"/>
        <v>38.76</v>
      </c>
      <c r="AA19" s="95">
        <f t="shared" si="1"/>
        <v>2.2799999999999998</v>
      </c>
      <c r="AB19" s="96">
        <v>2.2999999999999998</v>
      </c>
      <c r="AC19" s="296">
        <f t="shared" si="4"/>
        <v>1.403</v>
      </c>
      <c r="AD19" s="301">
        <f t="shared" si="5"/>
        <v>2.3E-2</v>
      </c>
      <c r="AE19" s="101">
        <v>0.5</v>
      </c>
      <c r="AF19" s="99">
        <v>0.04</v>
      </c>
      <c r="AG19" s="99">
        <v>0.06</v>
      </c>
      <c r="AH19" s="103">
        <v>195</v>
      </c>
      <c r="AI19" s="101">
        <v>59.400000000000006</v>
      </c>
      <c r="AJ19" s="101">
        <v>0.69399999999999995</v>
      </c>
      <c r="AK19" s="101">
        <v>1</v>
      </c>
      <c r="AL19" s="44"/>
      <c r="AM19" s="4">
        <f t="shared" si="7"/>
        <v>4.1961803069053705</v>
      </c>
      <c r="AN19" s="361">
        <f t="shared" si="8"/>
        <v>0.12713513071895424</v>
      </c>
      <c r="AO19" s="4">
        <f t="shared" si="36"/>
        <v>0.27808152337858222</v>
      </c>
      <c r="AP19" s="4">
        <f t="shared" si="37"/>
        <v>3.963504236262406</v>
      </c>
      <c r="AQ19" s="5">
        <f t="shared" si="38"/>
        <v>4.8320757791511912</v>
      </c>
      <c r="AR19" s="45">
        <f t="shared" si="39"/>
        <v>2.8596491228070177E-3</v>
      </c>
      <c r="AS19" s="411">
        <f>AE19/35.45</f>
        <v>1.4104372355430182E-2</v>
      </c>
      <c r="AT19" s="46">
        <f>R19/79.9</f>
        <v>2.4405506883604503E-3</v>
      </c>
      <c r="AU19" s="4">
        <f t="shared" si="40"/>
        <v>2.4658383902906422E-2</v>
      </c>
      <c r="AV19" s="4"/>
      <c r="AW19" s="5">
        <f t="shared" si="41"/>
        <v>10.799981435643566</v>
      </c>
      <c r="AX19" s="35">
        <f t="shared" si="12"/>
        <v>13.474088087527615</v>
      </c>
      <c r="AY19" s="332">
        <f t="shared" si="13"/>
        <v>15.467527119488089</v>
      </c>
      <c r="AZ19" s="21">
        <f t="shared" si="14"/>
        <v>10.867044391713071</v>
      </c>
      <c r="BA19" s="29">
        <f t="shared" si="34"/>
        <v>10.71044536665646</v>
      </c>
      <c r="BB19" s="327">
        <f t="shared" si="15"/>
        <v>17.469366174491377</v>
      </c>
      <c r="BC19" s="492">
        <f t="shared" si="16"/>
        <v>10.814711103976142</v>
      </c>
      <c r="BD19" s="492">
        <f t="shared" si="17"/>
        <v>10.948985013971896</v>
      </c>
      <c r="BE19" s="496"/>
      <c r="BF19" s="457"/>
      <c r="BG19" s="674">
        <f t="shared" si="18"/>
        <v>0</v>
      </c>
      <c r="BH19" s="422"/>
      <c r="BI19" s="450"/>
      <c r="BJ19" s="679">
        <f t="shared" si="19"/>
        <v>0</v>
      </c>
      <c r="BK19" s="451"/>
      <c r="BL19" s="450">
        <v>694</v>
      </c>
      <c r="BM19" s="451"/>
      <c r="BN19" s="339">
        <f t="shared" si="20"/>
        <v>694</v>
      </c>
      <c r="BO19" s="450"/>
      <c r="BP19" s="451"/>
      <c r="BQ19" s="450"/>
      <c r="BR19" s="679">
        <f t="shared" si="21"/>
        <v>0</v>
      </c>
      <c r="BS19" s="451"/>
      <c r="BT19" s="468"/>
      <c r="BU19" s="684"/>
      <c r="BV19" s="422"/>
      <c r="BW19" s="454"/>
      <c r="BX19" s="689"/>
      <c r="BY19" s="452"/>
      <c r="BZ19" s="450"/>
      <c r="CA19" s="422"/>
      <c r="CB19" s="339">
        <f t="shared" si="22"/>
        <v>1000</v>
      </c>
      <c r="CC19" s="450"/>
      <c r="CD19" s="422"/>
      <c r="CE19" s="339">
        <f t="shared" si="23"/>
        <v>59400.000000000007</v>
      </c>
      <c r="CF19" s="450"/>
      <c r="CG19" s="448"/>
      <c r="CH19" s="450"/>
      <c r="CI19" s="422"/>
      <c r="CJ19" s="450"/>
      <c r="CK19" s="422"/>
      <c r="CL19" s="453"/>
      <c r="CM19" s="422"/>
      <c r="CN19" s="468"/>
      <c r="CO19" s="685">
        <f t="shared" si="24"/>
        <v>0</v>
      </c>
      <c r="CP19" s="422"/>
      <c r="CQ19" s="457"/>
      <c r="CR19" s="686">
        <f t="shared" si="25"/>
        <v>0</v>
      </c>
      <c r="CS19" s="422"/>
      <c r="CT19" s="457"/>
      <c r="CU19" s="685">
        <f t="shared" si="26"/>
        <v>0</v>
      </c>
      <c r="CV19" s="422"/>
      <c r="CW19" s="454"/>
      <c r="CX19" s="674">
        <f t="shared" si="27"/>
        <v>0</v>
      </c>
      <c r="CY19" s="422"/>
      <c r="CZ19" s="450"/>
      <c r="DA19" s="679">
        <f t="shared" si="28"/>
        <v>0</v>
      </c>
      <c r="DB19" s="422"/>
      <c r="DC19" s="455"/>
      <c r="DD19" s="701"/>
      <c r="DE19" s="422"/>
      <c r="DF19" s="456"/>
      <c r="DG19" s="422"/>
      <c r="DH19" s="456"/>
      <c r="DI19" s="706"/>
      <c r="DJ19" s="422"/>
      <c r="DK19" s="454"/>
      <c r="DL19" s="689"/>
      <c r="DM19" s="422"/>
      <c r="DN19" s="454"/>
      <c r="DO19" s="674">
        <f t="shared" si="29"/>
        <v>0</v>
      </c>
      <c r="DP19" s="422"/>
      <c r="DQ19" s="456"/>
      <c r="DR19" s="422"/>
      <c r="DS19" s="449"/>
      <c r="DT19" s="692">
        <f t="shared" si="30"/>
        <v>0</v>
      </c>
      <c r="DU19" s="422"/>
      <c r="DV19" s="454"/>
      <c r="DW19" s="674">
        <f t="shared" si="31"/>
        <v>0</v>
      </c>
      <c r="DX19" s="422"/>
      <c r="DY19" s="456"/>
      <c r="DZ19" s="422"/>
      <c r="EA19" s="457"/>
      <c r="EB19" s="422"/>
      <c r="EC19" s="456"/>
      <c r="ED19" s="422"/>
      <c r="EE19" s="456"/>
      <c r="EF19" s="422"/>
      <c r="EG19" s="449"/>
      <c r="EH19" s="693">
        <f t="shared" si="32"/>
        <v>0</v>
      </c>
      <c r="EI19" s="458"/>
      <c r="EJ19" s="456"/>
      <c r="EK19" s="706"/>
      <c r="EL19" s="422"/>
      <c r="EM19" s="456"/>
      <c r="EN19" s="706"/>
      <c r="EO19" s="422"/>
    </row>
    <row r="20" spans="1:145" ht="15.75" thickBot="1" x14ac:dyDescent="0.3">
      <c r="A20" s="16" t="s">
        <v>166</v>
      </c>
      <c r="B20" s="462" t="s">
        <v>116</v>
      </c>
      <c r="C20" s="463"/>
      <c r="D20" s="348">
        <v>87.333405315614613</v>
      </c>
      <c r="E20" s="210"/>
      <c r="F20" s="22">
        <v>3.5875083056478401</v>
      </c>
      <c r="G20" s="210"/>
      <c r="H20" s="7">
        <v>5.9418106312292354</v>
      </c>
      <c r="I20" s="7"/>
      <c r="J20" s="7">
        <v>41.368455149501656</v>
      </c>
      <c r="K20" s="93"/>
      <c r="L20" s="10">
        <v>78.700963455149491</v>
      </c>
      <c r="M20" s="160"/>
      <c r="N20" s="184">
        <v>4.8666666666666671E-2</v>
      </c>
      <c r="O20" s="181">
        <v>5.7735026918962634E-4</v>
      </c>
      <c r="P20" s="334">
        <v>19.621333333333332</v>
      </c>
      <c r="Q20" s="181">
        <v>2.9484459183327056E-2</v>
      </c>
      <c r="R20" s="184">
        <v>0.20099999999999998</v>
      </c>
      <c r="S20" s="181">
        <v>6.9999999999999923E-3</v>
      </c>
      <c r="T20" s="47">
        <v>19.166123450353378</v>
      </c>
      <c r="U20" s="9">
        <v>0.13225225116323747</v>
      </c>
      <c r="V20" s="157" t="s">
        <v>72</v>
      </c>
      <c r="W20" s="172">
        <v>441.03764210404347</v>
      </c>
      <c r="X20" s="162">
        <v>0.35287088305451053</v>
      </c>
      <c r="Y20" s="177">
        <v>108.4</v>
      </c>
      <c r="Z20" s="97">
        <f t="shared" si="0"/>
        <v>36.856000000000002</v>
      </c>
      <c r="AA20" s="97">
        <f t="shared" si="1"/>
        <v>2.1680000000000001</v>
      </c>
      <c r="AB20" s="98">
        <v>2.1</v>
      </c>
      <c r="AC20" s="294">
        <f t="shared" si="4"/>
        <v>1.2810000000000001</v>
      </c>
      <c r="AD20" s="299">
        <f t="shared" si="5"/>
        <v>2.1000000000000001E-2</v>
      </c>
      <c r="AE20" s="102">
        <v>2.2000000000000002</v>
      </c>
      <c r="AF20" s="100">
        <v>0.03</v>
      </c>
      <c r="AG20" s="100">
        <v>0.03</v>
      </c>
      <c r="AH20" s="104">
        <v>204</v>
      </c>
      <c r="AI20" s="102">
        <v>30.6</v>
      </c>
      <c r="AJ20" s="102">
        <v>0.47799999999999998</v>
      </c>
      <c r="AK20" s="102">
        <v>0.9</v>
      </c>
      <c r="AL20" s="47"/>
      <c r="AM20" s="8">
        <f t="shared" si="7"/>
        <v>3.7971045789397659</v>
      </c>
      <c r="AN20" s="362">
        <f t="shared" si="8"/>
        <v>0.19930601698043557</v>
      </c>
      <c r="AO20" s="8">
        <f t="shared" si="36"/>
        <v>0.15235411874946758</v>
      </c>
      <c r="AP20" s="8">
        <f t="shared" si="37"/>
        <v>3.4048111234157741</v>
      </c>
      <c r="AQ20" s="9">
        <f t="shared" si="38"/>
        <v>3.9281738684876211</v>
      </c>
      <c r="AR20" s="49">
        <f t="shared" si="39"/>
        <v>2.5614035087719298E-3</v>
      </c>
      <c r="AS20" s="411">
        <f t="shared" ref="AS20:AS22" si="42">AE20/35.45</f>
        <v>6.2059238363892807E-2</v>
      </c>
      <c r="AT20" s="50">
        <f>R20/79.9</f>
        <v>2.515644555694618E-3</v>
      </c>
      <c r="AU20" s="8">
        <f t="shared" si="40"/>
        <v>0.30913102339279641</v>
      </c>
      <c r="AV20" s="8"/>
      <c r="AW20" s="9">
        <f t="shared" si="41"/>
        <v>9.188284210500905</v>
      </c>
      <c r="AX20" s="36">
        <f t="shared" si="12"/>
        <v>11.534860817684175</v>
      </c>
      <c r="AY20" s="329">
        <f t="shared" si="13"/>
        <v>12.44196628395733</v>
      </c>
      <c r="AZ20" s="22">
        <f t="shared" si="14"/>
        <v>9.5855515203220616</v>
      </c>
      <c r="BA20" s="30">
        <f t="shared" si="34"/>
        <v>9.2295039801582188</v>
      </c>
      <c r="BB20" s="324">
        <f t="shared" si="15"/>
        <v>12.967483622146197</v>
      </c>
      <c r="BC20" s="492">
        <f t="shared" si="16"/>
        <v>9.2507399124545628</v>
      </c>
      <c r="BD20" s="492">
        <f t="shared" si="17"/>
        <v>10.98895786022522</v>
      </c>
      <c r="BE20" s="493"/>
      <c r="BF20" s="464"/>
      <c r="BG20" s="674">
        <f t="shared" si="18"/>
        <v>0</v>
      </c>
      <c r="BH20" s="465"/>
      <c r="BI20" s="466"/>
      <c r="BJ20" s="679">
        <f t="shared" si="19"/>
        <v>0</v>
      </c>
      <c r="BK20" s="467"/>
      <c r="BL20" s="466">
        <v>478</v>
      </c>
      <c r="BM20" s="467"/>
      <c r="BN20" s="337">
        <f t="shared" si="20"/>
        <v>478</v>
      </c>
      <c r="BO20" s="466"/>
      <c r="BP20" s="467"/>
      <c r="BQ20" s="466"/>
      <c r="BR20" s="679">
        <f t="shared" si="21"/>
        <v>0</v>
      </c>
      <c r="BS20" s="467"/>
      <c r="BT20" s="469"/>
      <c r="BU20" s="691"/>
      <c r="BV20" s="465"/>
      <c r="BW20" s="470"/>
      <c r="BX20" s="690"/>
      <c r="BY20" s="471"/>
      <c r="BZ20" s="466"/>
      <c r="CA20" s="465"/>
      <c r="CB20" s="337">
        <f t="shared" si="22"/>
        <v>900</v>
      </c>
      <c r="CC20" s="466"/>
      <c r="CD20" s="465"/>
      <c r="CE20" s="337">
        <f t="shared" si="23"/>
        <v>30600</v>
      </c>
      <c r="CF20" s="466"/>
      <c r="CG20" s="472"/>
      <c r="CH20" s="473"/>
      <c r="CI20" s="465"/>
      <c r="CJ20" s="466"/>
      <c r="CK20" s="465"/>
      <c r="CL20" s="474"/>
      <c r="CM20" s="465"/>
      <c r="CN20" s="475"/>
      <c r="CO20" s="685">
        <f t="shared" si="24"/>
        <v>0</v>
      </c>
      <c r="CP20" s="465"/>
      <c r="CQ20" s="464"/>
      <c r="CR20" s="686">
        <f t="shared" si="25"/>
        <v>0</v>
      </c>
      <c r="CS20" s="465"/>
      <c r="CT20" s="464"/>
      <c r="CU20" s="685">
        <f t="shared" si="26"/>
        <v>0</v>
      </c>
      <c r="CV20" s="465"/>
      <c r="CW20" s="476"/>
      <c r="CX20" s="674">
        <f t="shared" si="27"/>
        <v>0</v>
      </c>
      <c r="CY20" s="465"/>
      <c r="CZ20" s="466"/>
      <c r="DA20" s="679">
        <f t="shared" si="28"/>
        <v>0</v>
      </c>
      <c r="DB20" s="465"/>
      <c r="DC20" s="477"/>
      <c r="DD20" s="702"/>
      <c r="DE20" s="465"/>
      <c r="DF20" s="478"/>
      <c r="DG20" s="465"/>
      <c r="DH20" s="478"/>
      <c r="DI20" s="707"/>
      <c r="DJ20" s="465"/>
      <c r="DK20" s="470"/>
      <c r="DL20" s="690"/>
      <c r="DM20" s="465"/>
      <c r="DN20" s="470"/>
      <c r="DO20" s="674">
        <f t="shared" si="29"/>
        <v>0</v>
      </c>
      <c r="DP20" s="465"/>
      <c r="DQ20" s="478"/>
      <c r="DR20" s="465"/>
      <c r="DS20" s="469"/>
      <c r="DT20" s="692">
        <f t="shared" si="30"/>
        <v>0</v>
      </c>
      <c r="DU20" s="465"/>
      <c r="DV20" s="476"/>
      <c r="DW20" s="674">
        <f t="shared" si="31"/>
        <v>0</v>
      </c>
      <c r="DX20" s="465"/>
      <c r="DY20" s="478"/>
      <c r="DZ20" s="465"/>
      <c r="EA20" s="464"/>
      <c r="EB20" s="465"/>
      <c r="EC20" s="478"/>
      <c r="ED20" s="465"/>
      <c r="EE20" s="478"/>
      <c r="EF20" s="465"/>
      <c r="EG20" s="479"/>
      <c r="EH20" s="693">
        <f t="shared" si="32"/>
        <v>0</v>
      </c>
      <c r="EI20" s="480"/>
      <c r="EJ20" s="478"/>
      <c r="EK20" s="707"/>
      <c r="EL20" s="465"/>
      <c r="EM20" s="478"/>
      <c r="EN20" s="707"/>
      <c r="EO20" s="465"/>
    </row>
    <row r="21" spans="1:145" ht="15.75" thickBot="1" x14ac:dyDescent="0.3">
      <c r="A21" s="16" t="s">
        <v>167</v>
      </c>
      <c r="B21" s="12">
        <v>2.8589427679597178E-2</v>
      </c>
      <c r="C21" s="189">
        <v>1.4694623605287072</v>
      </c>
      <c r="D21" s="348">
        <v>151.15920244150561</v>
      </c>
      <c r="E21" s="210"/>
      <c r="F21" s="22">
        <v>2.0607934893184132</v>
      </c>
      <c r="G21" s="210"/>
      <c r="H21" s="7">
        <v>7.2127772126144469</v>
      </c>
      <c r="I21" s="7"/>
      <c r="J21" s="7">
        <v>28.851108850457788</v>
      </c>
      <c r="K21" s="93"/>
      <c r="L21" s="10">
        <v>109.42813428280775</v>
      </c>
      <c r="M21" s="160"/>
      <c r="N21" s="184">
        <v>1.6063333333333334</v>
      </c>
      <c r="O21" s="181">
        <v>0.30992633533362968</v>
      </c>
      <c r="P21" s="334">
        <v>81.535666666666671</v>
      </c>
      <c r="Q21" s="181">
        <v>1.644594276207155</v>
      </c>
      <c r="R21" s="184">
        <v>1.264</v>
      </c>
      <c r="S21" s="181">
        <v>4.938623289946293E-2</v>
      </c>
      <c r="T21" s="407"/>
      <c r="U21" s="408"/>
      <c r="V21" s="157" t="s">
        <v>72</v>
      </c>
      <c r="W21" s="172">
        <v>682.18329727111256</v>
      </c>
      <c r="X21" s="162">
        <v>2.8397179975668028</v>
      </c>
      <c r="Y21" s="177">
        <v>123.6</v>
      </c>
      <c r="Z21" s="97">
        <f t="shared" si="0"/>
        <v>42.024000000000001</v>
      </c>
      <c r="AA21" s="97">
        <f t="shared" si="1"/>
        <v>2.472</v>
      </c>
      <c r="AB21" s="98">
        <v>2.2999999999999998</v>
      </c>
      <c r="AC21" s="294">
        <f t="shared" si="4"/>
        <v>1.403</v>
      </c>
      <c r="AD21" s="299">
        <f t="shared" si="5"/>
        <v>2.3E-2</v>
      </c>
      <c r="AE21" s="102">
        <v>1</v>
      </c>
      <c r="AF21" s="100">
        <v>0.01</v>
      </c>
      <c r="AG21" s="100">
        <v>0.03</v>
      </c>
      <c r="AH21" s="104">
        <v>208</v>
      </c>
      <c r="AI21" s="102">
        <v>19.2</v>
      </c>
      <c r="AJ21" s="102">
        <v>0.21199999999999999</v>
      </c>
      <c r="AK21" s="102">
        <v>1.2</v>
      </c>
      <c r="AL21" s="47">
        <f t="shared" si="6"/>
        <v>4.0842039542281685E-3</v>
      </c>
      <c r="AM21" s="8">
        <f t="shared" si="7"/>
        <v>6.5721392365872005</v>
      </c>
      <c r="AN21" s="362">
        <f t="shared" si="8"/>
        <v>0.11448852718435629</v>
      </c>
      <c r="AO21" s="8">
        <f t="shared" si="36"/>
        <v>0.18494300545165249</v>
      </c>
      <c r="AP21" s="8">
        <f t="shared" si="37"/>
        <v>2.3745768601199826</v>
      </c>
      <c r="AQ21" s="9">
        <f t="shared" si="38"/>
        <v>5.4618484793016098</v>
      </c>
      <c r="AR21" s="49">
        <f t="shared" si="39"/>
        <v>8.454385964912281E-2</v>
      </c>
      <c r="AS21" s="411">
        <f t="shared" si="42"/>
        <v>2.8208744710860365E-2</v>
      </c>
      <c r="AT21" s="50">
        <f>R21/79.9</f>
        <v>1.5819774718397996E-2</v>
      </c>
      <c r="AU21" s="411">
        <f>AF21/62</f>
        <v>1.6129032258064516E-4</v>
      </c>
      <c r="AV21" s="8"/>
      <c r="AW21" s="9">
        <f t="shared" si="41"/>
        <v>14.212152026481512</v>
      </c>
      <c r="AX21" s="36">
        <f t="shared" si="12"/>
        <v>17.868639696303628</v>
      </c>
      <c r="AY21" s="329">
        <f t="shared" si="13"/>
        <v>15.338467915132908</v>
      </c>
      <c r="AZ21" s="22">
        <f t="shared" si="14"/>
        <v>14.363885695882473</v>
      </c>
      <c r="BA21" s="30">
        <f t="shared" si="34"/>
        <v>10.873345968947215</v>
      </c>
      <c r="BB21" s="324">
        <f t="shared" si="15"/>
        <v>3.2811615941741463</v>
      </c>
      <c r="BC21" s="492">
        <f t="shared" si="16"/>
        <v>14.2404823308886</v>
      </c>
      <c r="BD21" s="492">
        <f t="shared" si="17"/>
        <v>11.299459892869237</v>
      </c>
      <c r="BE21" s="493"/>
      <c r="BF21" s="368" t="s">
        <v>114</v>
      </c>
      <c r="BG21" s="674" t="e">
        <f t="shared" si="18"/>
        <v>#VALUE!</v>
      </c>
      <c r="BH21" s="111"/>
      <c r="BI21" s="370">
        <v>2008.3004842364264</v>
      </c>
      <c r="BJ21" s="679">
        <f t="shared" si="19"/>
        <v>2.0083004842364263</v>
      </c>
      <c r="BK21" s="202">
        <v>69.662055491945836</v>
      </c>
      <c r="BL21" s="370">
        <v>16809.20858960121</v>
      </c>
      <c r="BM21" s="202">
        <v>13079.291073384347</v>
      </c>
      <c r="BN21" s="337">
        <f t="shared" si="20"/>
        <v>212</v>
      </c>
      <c r="BO21" s="370">
        <v>10175.671788793237</v>
      </c>
      <c r="BP21" s="202">
        <v>599.90772960649736</v>
      </c>
      <c r="BQ21" s="370">
        <v>356.84274313571791</v>
      </c>
      <c r="BR21" s="679">
        <f t="shared" si="21"/>
        <v>0.3568427431357179</v>
      </c>
      <c r="BS21" s="202">
        <v>4.6770775133462266</v>
      </c>
      <c r="BT21" s="370">
        <v>173.97723023145232</v>
      </c>
      <c r="BU21" s="675"/>
      <c r="BV21" s="111">
        <v>2.7691622400009503</v>
      </c>
      <c r="BW21" s="376">
        <v>145.45712961023023</v>
      </c>
      <c r="BX21" s="675"/>
      <c r="BY21" s="378">
        <v>1.9917288028534683</v>
      </c>
      <c r="BZ21" s="370">
        <v>2034.7590590912321</v>
      </c>
      <c r="CA21" s="111">
        <v>72.347102789019587</v>
      </c>
      <c r="CB21" s="337">
        <f t="shared" si="22"/>
        <v>1200</v>
      </c>
      <c r="CC21" s="370">
        <v>34624.031604240277</v>
      </c>
      <c r="CD21" s="147">
        <v>1454.2093273780918</v>
      </c>
      <c r="CE21" s="337">
        <f t="shared" si="23"/>
        <v>19200</v>
      </c>
      <c r="CF21" s="370">
        <v>45.778269641863353</v>
      </c>
      <c r="CG21" s="147">
        <v>0.73630907531563272</v>
      </c>
      <c r="CH21" s="376">
        <v>99.8135056368005</v>
      </c>
      <c r="CI21" s="111">
        <v>3.0474859130341216</v>
      </c>
      <c r="CJ21" s="376">
        <v>114.19516615336673</v>
      </c>
      <c r="CK21" s="111">
        <v>3.5418109800577549</v>
      </c>
      <c r="CL21" s="37">
        <v>2605.4035742919641</v>
      </c>
      <c r="CM21" s="111">
        <v>133.68812824318286</v>
      </c>
      <c r="CN21" s="370">
        <v>23.195472330065485</v>
      </c>
      <c r="CO21" s="685">
        <f t="shared" si="24"/>
        <v>2.3195472330065484E-2</v>
      </c>
      <c r="CP21" s="111">
        <v>0.73632897106899975</v>
      </c>
      <c r="CQ21" s="365">
        <v>93.560840792166999</v>
      </c>
      <c r="CR21" s="686">
        <f t="shared" si="25"/>
        <v>9.3560840792167005E-2</v>
      </c>
      <c r="CS21" s="111">
        <v>2.7095789995511326</v>
      </c>
      <c r="CT21" s="365">
        <v>319.38445640157983</v>
      </c>
      <c r="CU21" s="685">
        <f t="shared" si="26"/>
        <v>0.31938445640157981</v>
      </c>
      <c r="CV21" s="111">
        <v>2.7999791556502838</v>
      </c>
      <c r="CW21" s="384">
        <v>24.644921516257988</v>
      </c>
      <c r="CX21" s="674">
        <f t="shared" si="27"/>
        <v>2.4644921516257988E-2</v>
      </c>
      <c r="CY21" s="111">
        <v>0.84598378318671019</v>
      </c>
      <c r="CZ21" s="370">
        <v>558.76798418927353</v>
      </c>
      <c r="DA21" s="679">
        <f t="shared" si="28"/>
        <v>0.55876798418927354</v>
      </c>
      <c r="DB21" s="111">
        <v>25.509804122125484</v>
      </c>
      <c r="DC21" s="256">
        <v>5.9790973937437277</v>
      </c>
      <c r="DD21" s="703">
        <f>DC21/1000</f>
        <v>5.9790973937437278E-3</v>
      </c>
      <c r="DE21" s="111">
        <v>0.20031105638541419</v>
      </c>
      <c r="DF21" s="389" t="s">
        <v>117</v>
      </c>
      <c r="DG21" s="111"/>
      <c r="DH21" s="391">
        <v>17.640683370877085</v>
      </c>
      <c r="DI21" s="681"/>
      <c r="DJ21" s="111">
        <v>0.55560689459844859</v>
      </c>
      <c r="DK21" s="391">
        <v>2.5529999999999999</v>
      </c>
      <c r="DL21" s="681"/>
      <c r="DM21" s="111">
        <v>0.19658100000000001</v>
      </c>
      <c r="DN21" s="391">
        <v>43.386593029993406</v>
      </c>
      <c r="DO21" s="674">
        <f t="shared" si="29"/>
        <v>4.3386593029993405E-2</v>
      </c>
      <c r="DP21" s="111">
        <v>1.2913063155138316</v>
      </c>
      <c r="DQ21" s="389" t="s">
        <v>118</v>
      </c>
      <c r="DR21" s="111"/>
      <c r="DS21" s="365">
        <v>50.118124828313945</v>
      </c>
      <c r="DT21" s="692">
        <f t="shared" si="30"/>
        <v>5.0118124828313945E-2</v>
      </c>
      <c r="DU21" s="111">
        <v>0.60394094496083361</v>
      </c>
      <c r="DV21" s="384">
        <v>105.51476227390263</v>
      </c>
      <c r="DW21" s="674">
        <f t="shared" si="31"/>
        <v>0.10551476227390263</v>
      </c>
      <c r="DX21" s="111">
        <v>3.4737620925293551</v>
      </c>
      <c r="DY21" s="389" t="s">
        <v>119</v>
      </c>
      <c r="DZ21" s="111"/>
      <c r="EA21" s="365">
        <v>3.4669479821925586</v>
      </c>
      <c r="EB21" s="111">
        <v>5.9671333066259998E-2</v>
      </c>
      <c r="EC21" s="389" t="s">
        <v>117</v>
      </c>
      <c r="ED21" s="111"/>
      <c r="EE21" s="389" t="s">
        <v>120</v>
      </c>
      <c r="EF21" s="111"/>
      <c r="EG21" s="376">
        <v>588.70224523725335</v>
      </c>
      <c r="EH21" s="693">
        <f t="shared" si="32"/>
        <v>0.58870224523725334</v>
      </c>
      <c r="EI21" s="379">
        <v>25.330203141149312</v>
      </c>
      <c r="EJ21" s="389" t="s">
        <v>118</v>
      </c>
      <c r="EK21" s="682"/>
      <c r="EL21" s="111"/>
      <c r="EM21" s="391">
        <v>8.9180682508974023</v>
      </c>
      <c r="EN21" s="681"/>
      <c r="EO21" s="111">
        <v>0.1918169538326906</v>
      </c>
    </row>
    <row r="22" spans="1:145" ht="15.75" thickBot="1" x14ac:dyDescent="0.3">
      <c r="A22" s="16" t="s">
        <v>168</v>
      </c>
      <c r="B22" s="12">
        <v>2.1885952713553012E-2</v>
      </c>
      <c r="C22" s="189">
        <v>0.67956473437195386</v>
      </c>
      <c r="D22" s="348">
        <v>106.95859044573255</v>
      </c>
      <c r="E22" s="210"/>
      <c r="F22" s="22">
        <v>1.2094329402358583</v>
      </c>
      <c r="G22" s="210"/>
      <c r="H22" s="7">
        <v>7.5106801918848687</v>
      </c>
      <c r="I22" s="7"/>
      <c r="J22" s="7">
        <v>40.856474115530681</v>
      </c>
      <c r="K22" s="93"/>
      <c r="L22" s="10">
        <v>89.914732960223859</v>
      </c>
      <c r="M22" s="160"/>
      <c r="N22" s="184">
        <v>5.8666666666666666E-2</v>
      </c>
      <c r="O22" s="181">
        <v>1.1547005383792486E-3</v>
      </c>
      <c r="P22" s="334">
        <v>19.288</v>
      </c>
      <c r="Q22" s="181">
        <v>7.9372539331940724E-3</v>
      </c>
      <c r="R22" s="184">
        <v>0.20033333333333334</v>
      </c>
      <c r="S22" s="181">
        <v>5.5075705472860973E-3</v>
      </c>
      <c r="T22" s="167">
        <v>59.798726114649675</v>
      </c>
      <c r="U22" s="168">
        <v>0.93838749464444371</v>
      </c>
      <c r="V22" s="157" t="s">
        <v>72</v>
      </c>
      <c r="W22" s="172">
        <v>682.85401273885338</v>
      </c>
      <c r="X22" s="162">
        <v>2.7278510096181279</v>
      </c>
      <c r="Y22" s="177">
        <v>148.4</v>
      </c>
      <c r="Z22" s="97">
        <f t="shared" si="0"/>
        <v>50.456000000000003</v>
      </c>
      <c r="AA22" s="97">
        <f t="shared" si="1"/>
        <v>2.968</v>
      </c>
      <c r="AB22" s="98">
        <v>4.2</v>
      </c>
      <c r="AC22" s="294">
        <f t="shared" si="4"/>
        <v>2.5620000000000003</v>
      </c>
      <c r="AD22" s="299">
        <f t="shared" si="5"/>
        <v>4.2000000000000003E-2</v>
      </c>
      <c r="AE22" s="102">
        <v>1.5</v>
      </c>
      <c r="AF22" s="100">
        <v>0.01</v>
      </c>
      <c r="AG22" s="100">
        <v>0.03</v>
      </c>
      <c r="AH22" s="104">
        <v>250</v>
      </c>
      <c r="AI22" s="102">
        <v>18.600000000000001</v>
      </c>
      <c r="AJ22" s="102">
        <v>0.23400000000000001</v>
      </c>
      <c r="AK22" s="102">
        <v>0.6</v>
      </c>
      <c r="AL22" s="47">
        <f t="shared" si="6"/>
        <v>3.1265646733647161E-3</v>
      </c>
      <c r="AM22" s="8">
        <f t="shared" si="7"/>
        <v>4.6503734976405458</v>
      </c>
      <c r="AN22" s="362">
        <f t="shared" si="8"/>
        <v>6.719071890199213E-2</v>
      </c>
      <c r="AO22" s="8">
        <f t="shared" si="36"/>
        <v>0.19258154338166331</v>
      </c>
      <c r="AP22" s="8">
        <f t="shared" si="37"/>
        <v>3.362672766710344</v>
      </c>
      <c r="AQ22" s="9">
        <f t="shared" si="38"/>
        <v>4.4878828530184105</v>
      </c>
      <c r="AR22" s="49">
        <f t="shared" si="39"/>
        <v>3.087719298245614E-3</v>
      </c>
      <c r="AS22" s="411">
        <f t="shared" si="42"/>
        <v>4.2313117066290547E-2</v>
      </c>
      <c r="AT22" s="50">
        <f>R22/79.9</f>
        <v>2.5073007926574883E-3</v>
      </c>
      <c r="AU22" s="8">
        <f t="shared" si="40"/>
        <v>0.96449558249434963</v>
      </c>
      <c r="AV22" s="8"/>
      <c r="AW22" s="9">
        <f t="shared" si="41"/>
        <v>14.226125265392779</v>
      </c>
      <c r="AX22" s="37">
        <f t="shared" si="12"/>
        <v>13.564224704830137</v>
      </c>
      <c r="AY22" s="330">
        <f t="shared" si="13"/>
        <v>13.397086986189876</v>
      </c>
      <c r="AZ22" s="38">
        <f t="shared" si="14"/>
        <v>15.280528985044322</v>
      </c>
      <c r="BA22" s="39">
        <f t="shared" si="34"/>
        <v>-5.9501436506170258</v>
      </c>
      <c r="BB22" s="325">
        <f t="shared" si="15"/>
        <v>-6.5676379819845545</v>
      </c>
      <c r="BC22" s="492">
        <f t="shared" si="16"/>
        <v>14.26854007684212</v>
      </c>
      <c r="BD22" s="492">
        <f t="shared" si="17"/>
        <v>-2.5305260815331274</v>
      </c>
      <c r="BE22" s="494"/>
      <c r="BF22" s="368" t="s">
        <v>114</v>
      </c>
      <c r="BG22" s="674" t="e">
        <f t="shared" si="18"/>
        <v>#VALUE!</v>
      </c>
      <c r="BH22" s="111"/>
      <c r="BI22" s="370">
        <v>1744.3552546877834</v>
      </c>
      <c r="BJ22" s="679">
        <f t="shared" si="19"/>
        <v>1.7443552546877834</v>
      </c>
      <c r="BK22" s="202">
        <v>46.755656371308802</v>
      </c>
      <c r="BL22" s="370">
        <v>803.8865032277065</v>
      </c>
      <c r="BM22" s="202">
        <v>28.545363583358082</v>
      </c>
      <c r="BN22" s="337">
        <f t="shared" si="20"/>
        <v>234</v>
      </c>
      <c r="BO22" s="370">
        <v>7668.6282335615933</v>
      </c>
      <c r="BP22" s="202">
        <v>497.39951759378278</v>
      </c>
      <c r="BQ22" s="370">
        <v>173.24498986561491</v>
      </c>
      <c r="BR22" s="679">
        <f t="shared" si="21"/>
        <v>0.1732449898656149</v>
      </c>
      <c r="BS22" s="202">
        <v>3.829914298173942</v>
      </c>
      <c r="BT22" s="373" t="s">
        <v>115</v>
      </c>
      <c r="BU22" s="680"/>
      <c r="BV22" s="111"/>
      <c r="BW22" s="374" t="s">
        <v>119</v>
      </c>
      <c r="BX22" s="696"/>
      <c r="BY22" s="379"/>
      <c r="BZ22" s="370">
        <v>2124.8410947383236</v>
      </c>
      <c r="CA22" s="111">
        <v>24.968721397313971</v>
      </c>
      <c r="CB22" s="337">
        <f t="shared" si="22"/>
        <v>600</v>
      </c>
      <c r="CC22" s="370">
        <v>18063.559037166491</v>
      </c>
      <c r="CD22" s="111">
        <v>1487.9027113232189</v>
      </c>
      <c r="CE22" s="337">
        <f t="shared" si="23"/>
        <v>18600</v>
      </c>
      <c r="CF22" s="370">
        <v>41.274807971503662</v>
      </c>
      <c r="CG22" s="147">
        <v>0.80919299124634658</v>
      </c>
      <c r="CH22" s="376">
        <v>60.227255782384901</v>
      </c>
      <c r="CI22" s="111">
        <v>0.84732862215548155</v>
      </c>
      <c r="CJ22" s="376">
        <v>7.0739592923076389</v>
      </c>
      <c r="CK22" s="111">
        <v>0.1600287463317224</v>
      </c>
      <c r="CL22" s="37">
        <v>117.70099421493587</v>
      </c>
      <c r="CM22" s="111">
        <v>2.3395033537777454</v>
      </c>
      <c r="CN22" s="385" t="s">
        <v>116</v>
      </c>
      <c r="CO22" s="685" t="e">
        <f t="shared" si="24"/>
        <v>#VALUE!</v>
      </c>
      <c r="CP22" s="111"/>
      <c r="CQ22" s="368" t="s">
        <v>73</v>
      </c>
      <c r="CR22" s="686" t="e">
        <f t="shared" si="25"/>
        <v>#VALUE!</v>
      </c>
      <c r="CS22" s="111"/>
      <c r="CT22" s="368" t="s">
        <v>115</v>
      </c>
      <c r="CU22" s="685" t="e">
        <f t="shared" si="26"/>
        <v>#VALUE!</v>
      </c>
      <c r="CV22" s="111"/>
      <c r="CW22" s="384">
        <v>16.92317328441391</v>
      </c>
      <c r="CX22" s="674">
        <f t="shared" si="27"/>
        <v>1.6923173284413909E-2</v>
      </c>
      <c r="CY22" s="111">
        <v>0.23739801941621497</v>
      </c>
      <c r="CZ22" s="370">
        <v>665.49386373991956</v>
      </c>
      <c r="DA22" s="679">
        <f t="shared" si="28"/>
        <v>0.66549386373991959</v>
      </c>
      <c r="DB22" s="111">
        <v>10.143888917075984</v>
      </c>
      <c r="DC22" s="255" t="s">
        <v>116</v>
      </c>
      <c r="DD22" s="703" t="e">
        <f t="shared" ref="DD22:DD43" si="43">DC22/1000</f>
        <v>#VALUE!</v>
      </c>
      <c r="DE22" s="111"/>
      <c r="DF22" s="389" t="s">
        <v>117</v>
      </c>
      <c r="DG22" s="111"/>
      <c r="DH22" s="389" t="s">
        <v>116</v>
      </c>
      <c r="DI22" s="682"/>
      <c r="DJ22" s="111"/>
      <c r="DK22" s="389" t="s">
        <v>116</v>
      </c>
      <c r="DL22" s="682"/>
      <c r="DM22" s="111"/>
      <c r="DN22" s="391">
        <v>2.2752960855202953</v>
      </c>
      <c r="DO22" s="674">
        <f t="shared" si="29"/>
        <v>2.2752960855202953E-3</v>
      </c>
      <c r="DP22" s="111">
        <v>5.723456159889212E-2</v>
      </c>
      <c r="DQ22" s="389" t="s">
        <v>118</v>
      </c>
      <c r="DR22" s="111"/>
      <c r="DS22" s="365">
        <v>1.7369458759913008</v>
      </c>
      <c r="DT22" s="692">
        <f t="shared" si="30"/>
        <v>1.7369458759913007E-3</v>
      </c>
      <c r="DU22" s="111">
        <v>2.2733918615798189E-2</v>
      </c>
      <c r="DV22" s="384">
        <v>11.340273190330429</v>
      </c>
      <c r="DW22" s="674">
        <f t="shared" si="31"/>
        <v>1.1340273190330428E-2</v>
      </c>
      <c r="DX22" s="111">
        <v>0.2852620525436928</v>
      </c>
      <c r="DY22" s="389" t="s">
        <v>119</v>
      </c>
      <c r="DZ22" s="111"/>
      <c r="EA22" s="368" t="s">
        <v>115</v>
      </c>
      <c r="EB22" s="111"/>
      <c r="EC22" s="389" t="s">
        <v>117</v>
      </c>
      <c r="ED22" s="111"/>
      <c r="EE22" s="389" t="s">
        <v>120</v>
      </c>
      <c r="EF22" s="111"/>
      <c r="EG22" s="375" t="s">
        <v>119</v>
      </c>
      <c r="EH22" s="693" t="e">
        <f t="shared" si="32"/>
        <v>#VALUE!</v>
      </c>
      <c r="EI22" s="379"/>
      <c r="EJ22" s="389" t="s">
        <v>118</v>
      </c>
      <c r="EK22" s="682"/>
      <c r="EL22" s="111"/>
      <c r="EM22" s="389" t="s">
        <v>120</v>
      </c>
      <c r="EN22" s="682"/>
      <c r="EO22" s="111"/>
    </row>
    <row r="23" spans="1:145" ht="15.75" thickBot="1" x14ac:dyDescent="0.3">
      <c r="A23" s="17" t="s">
        <v>169</v>
      </c>
      <c r="B23" s="13">
        <v>2.3065185379971837E-2</v>
      </c>
      <c r="C23" s="190">
        <v>0.73437902551956202</v>
      </c>
      <c r="D23" s="349">
        <v>162.4577333729805</v>
      </c>
      <c r="E23" s="211"/>
      <c r="F23" s="23">
        <v>1.1479317078005751</v>
      </c>
      <c r="G23" s="211"/>
      <c r="H23" s="11">
        <v>9.4171034790365749</v>
      </c>
      <c r="I23" s="11"/>
      <c r="J23" s="11">
        <v>41.498239171374763</v>
      </c>
      <c r="K23" s="92"/>
      <c r="L23" s="31">
        <v>92.261201506591348</v>
      </c>
      <c r="M23" s="158"/>
      <c r="N23" s="68">
        <v>9.3000000000000013E-2</v>
      </c>
      <c r="O23" s="166">
        <v>2.0000000000000018E-3</v>
      </c>
      <c r="P23" s="335">
        <v>66.475999999999999</v>
      </c>
      <c r="Q23" s="182">
        <v>5.5434646206140033E-2</v>
      </c>
      <c r="R23" s="68">
        <v>0.15666666666666665</v>
      </c>
      <c r="S23" s="182">
        <v>1.3503086067019408E-2</v>
      </c>
      <c r="T23" s="169">
        <v>181.09453324669698</v>
      </c>
      <c r="U23" s="170">
        <v>0.12629251045643619</v>
      </c>
      <c r="V23" s="158" t="s">
        <v>72</v>
      </c>
      <c r="W23" s="173">
        <v>644.66597687892579</v>
      </c>
      <c r="X23" s="163">
        <v>0.94121028273021057</v>
      </c>
      <c r="Y23" s="222">
        <v>114.4</v>
      </c>
      <c r="Z23" s="224">
        <f t="shared" si="0"/>
        <v>38.896000000000001</v>
      </c>
      <c r="AA23" s="224">
        <f t="shared" si="1"/>
        <v>2.2880000000000003</v>
      </c>
      <c r="AB23" s="223">
        <v>2.2999999999999998</v>
      </c>
      <c r="AC23" s="295">
        <f t="shared" si="4"/>
        <v>1.403</v>
      </c>
      <c r="AD23" s="300">
        <f t="shared" si="5"/>
        <v>2.3E-2</v>
      </c>
      <c r="AE23" s="225">
        <v>2.1</v>
      </c>
      <c r="AF23" s="226">
        <v>0.02</v>
      </c>
      <c r="AG23" s="226">
        <v>0.03</v>
      </c>
      <c r="AH23" s="227">
        <v>270</v>
      </c>
      <c r="AI23" s="225">
        <v>2</v>
      </c>
      <c r="AJ23" s="225">
        <v>1.7999999999999999E-2</v>
      </c>
      <c r="AK23" s="225">
        <v>0.7</v>
      </c>
      <c r="AL23" s="264">
        <f t="shared" si="6"/>
        <v>3.2950264828531194E-3</v>
      </c>
      <c r="AM23" s="356">
        <f t="shared" si="7"/>
        <v>7.0633797118687172</v>
      </c>
      <c r="AN23" s="363">
        <f t="shared" si="8"/>
        <v>6.3773983766698614E-2</v>
      </c>
      <c r="AO23" s="356">
        <f t="shared" si="36"/>
        <v>0.24146419177016859</v>
      </c>
      <c r="AP23" s="356">
        <f t="shared" si="37"/>
        <v>3.4154929359156183</v>
      </c>
      <c r="AQ23" s="357">
        <f t="shared" si="38"/>
        <v>4.6050013230142923</v>
      </c>
      <c r="AR23" s="52">
        <f t="shared" si="39"/>
        <v>4.8947368421052642E-3</v>
      </c>
      <c r="AS23" s="411">
        <f t="shared" ref="AS23" si="44">AE23/35.45</f>
        <v>5.9238363892806768E-2</v>
      </c>
      <c r="AT23" s="54">
        <f>R23/79.9</f>
        <v>1.9607843137254897E-3</v>
      </c>
      <c r="AU23" s="11">
        <f t="shared" si="40"/>
        <v>2.9208795684951125</v>
      </c>
      <c r="AV23" s="53"/>
      <c r="AW23" s="31">
        <f t="shared" si="41"/>
        <v>13.430541184977621</v>
      </c>
      <c r="AX23" s="55">
        <f t="shared" si="12"/>
        <v>16.939309664591239</v>
      </c>
      <c r="AY23" s="331">
        <f t="shared" si="13"/>
        <v>15.426263173102686</v>
      </c>
      <c r="AZ23" s="23">
        <f t="shared" si="14"/>
        <v>16.440514638521371</v>
      </c>
      <c r="BA23" s="56">
        <f t="shared" si="34"/>
        <v>1.4943009332237727</v>
      </c>
      <c r="BB23" s="326">
        <f t="shared" si="15"/>
        <v>-3.1827863846614441</v>
      </c>
      <c r="BC23" s="492">
        <f t="shared" si="16"/>
        <v>13.490018695200247</v>
      </c>
      <c r="BD23" s="492">
        <f t="shared" si="17"/>
        <v>11.335416045359695</v>
      </c>
      <c r="BE23" s="495"/>
      <c r="BF23" s="367" t="s">
        <v>114</v>
      </c>
      <c r="BG23" s="674" t="e">
        <f t="shared" si="18"/>
        <v>#VALUE!</v>
      </c>
      <c r="BH23" s="199"/>
      <c r="BI23" s="371">
        <v>1675.1641404993723</v>
      </c>
      <c r="BJ23" s="679">
        <f t="shared" si="19"/>
        <v>1.6751641404993722</v>
      </c>
      <c r="BK23" s="203">
        <v>106.20757675905661</v>
      </c>
      <c r="BL23" s="371">
        <v>2000.2024141510115</v>
      </c>
      <c r="BM23" s="203">
        <v>58.290386880186681</v>
      </c>
      <c r="BN23" s="338">
        <f t="shared" si="20"/>
        <v>18</v>
      </c>
      <c r="BO23" s="371">
        <v>16365.603071391359</v>
      </c>
      <c r="BP23" s="203">
        <v>1065.6182297936591</v>
      </c>
      <c r="BQ23" s="371">
        <v>181.82134737844828</v>
      </c>
      <c r="BR23" s="679">
        <f t="shared" si="21"/>
        <v>0.18182134737844827</v>
      </c>
      <c r="BS23" s="207">
        <v>2.1091323357124483</v>
      </c>
      <c r="BT23" s="374" t="s">
        <v>115</v>
      </c>
      <c r="BU23" s="683"/>
      <c r="BV23" s="199"/>
      <c r="BW23" s="371">
        <v>2.123775465934076</v>
      </c>
      <c r="BX23" s="676"/>
      <c r="BY23" s="380">
        <v>3.4182212837166139E-2</v>
      </c>
      <c r="BZ23" s="371">
        <v>2120.8060442602123</v>
      </c>
      <c r="CA23" s="199">
        <v>29.809573615536401</v>
      </c>
      <c r="CB23" s="338">
        <f t="shared" si="22"/>
        <v>700</v>
      </c>
      <c r="CC23" s="371">
        <v>35554.820439997668</v>
      </c>
      <c r="CD23" s="199">
        <v>468.85808590001784</v>
      </c>
      <c r="CE23" s="338">
        <f t="shared" si="23"/>
        <v>2000</v>
      </c>
      <c r="CF23" s="371">
        <v>41.884383534753567</v>
      </c>
      <c r="CG23" s="268">
        <v>0.7696909901684994</v>
      </c>
      <c r="CH23" s="382">
        <v>66.819726237374013</v>
      </c>
      <c r="CI23" s="199">
        <v>1.1407610821294747</v>
      </c>
      <c r="CJ23" s="382">
        <v>29.300722022814639</v>
      </c>
      <c r="CK23" s="199">
        <v>0.51269784491203341</v>
      </c>
      <c r="CL23" s="261">
        <v>150.39471724376381</v>
      </c>
      <c r="CM23" s="199">
        <v>2.1477476045332931</v>
      </c>
      <c r="CN23" s="374" t="s">
        <v>116</v>
      </c>
      <c r="CO23" s="685" t="e">
        <f t="shared" si="24"/>
        <v>#VALUE!</v>
      </c>
      <c r="CP23" s="199"/>
      <c r="CQ23" s="366">
        <v>1.1214263168821306</v>
      </c>
      <c r="CR23" s="686">
        <f t="shared" si="25"/>
        <v>1.1214263168821306E-3</v>
      </c>
      <c r="CS23" s="199">
        <v>6.2286793182238911E-2</v>
      </c>
      <c r="CT23" s="367" t="s">
        <v>115</v>
      </c>
      <c r="CU23" s="685" t="e">
        <f t="shared" si="26"/>
        <v>#VALUE!</v>
      </c>
      <c r="CV23" s="199"/>
      <c r="CW23" s="381">
        <v>18.10863885853659</v>
      </c>
      <c r="CX23" s="674">
        <f t="shared" si="27"/>
        <v>1.8108638858536589E-2</v>
      </c>
      <c r="CY23" s="199">
        <v>0.33912993462517249</v>
      </c>
      <c r="CZ23" s="371">
        <v>681.70246319338355</v>
      </c>
      <c r="DA23" s="679">
        <f t="shared" si="28"/>
        <v>0.68170246319338357</v>
      </c>
      <c r="DB23" s="199">
        <v>9.7918128970945926</v>
      </c>
      <c r="DC23" s="265" t="s">
        <v>116</v>
      </c>
      <c r="DD23" s="703" t="e">
        <f t="shared" si="43"/>
        <v>#VALUE!</v>
      </c>
      <c r="DE23" s="199"/>
      <c r="DF23" s="390" t="s">
        <v>117</v>
      </c>
      <c r="DG23" s="199"/>
      <c r="DH23" s="390" t="s">
        <v>116</v>
      </c>
      <c r="DI23" s="704"/>
      <c r="DJ23" s="199"/>
      <c r="DK23" s="390" t="s">
        <v>116</v>
      </c>
      <c r="DL23" s="704"/>
      <c r="DM23" s="199"/>
      <c r="DN23" s="392">
        <v>4.0758275917183324</v>
      </c>
      <c r="DO23" s="674">
        <f t="shared" si="29"/>
        <v>4.0758275917183321E-3</v>
      </c>
      <c r="DP23" s="199">
        <v>0.10718114713649227</v>
      </c>
      <c r="DQ23" s="390" t="s">
        <v>118</v>
      </c>
      <c r="DR23" s="199"/>
      <c r="DS23" s="366">
        <v>12.117268604075258</v>
      </c>
      <c r="DT23" s="692">
        <f t="shared" si="30"/>
        <v>1.2117268604075259E-2</v>
      </c>
      <c r="DU23" s="199">
        <v>0.27850669194825406</v>
      </c>
      <c r="DV23" s="381">
        <v>17.065987772816452</v>
      </c>
      <c r="DW23" s="674">
        <f t="shared" si="31"/>
        <v>1.7065987772816451E-2</v>
      </c>
      <c r="DX23" s="199">
        <v>0.39606479288306873</v>
      </c>
      <c r="DY23" s="390" t="s">
        <v>119</v>
      </c>
      <c r="DZ23" s="199"/>
      <c r="EA23" s="367" t="s">
        <v>115</v>
      </c>
      <c r="EB23" s="199"/>
      <c r="EC23" s="390" t="s">
        <v>117</v>
      </c>
      <c r="ED23" s="199"/>
      <c r="EE23" s="390" t="s">
        <v>120</v>
      </c>
      <c r="EF23" s="199"/>
      <c r="EG23" s="382">
        <v>4.3008656327603978</v>
      </c>
      <c r="EH23" s="693">
        <f t="shared" si="32"/>
        <v>4.300865632760398E-3</v>
      </c>
      <c r="EI23" s="380">
        <v>4.2338508827447156E-2</v>
      </c>
      <c r="EJ23" s="390" t="s">
        <v>118</v>
      </c>
      <c r="EK23" s="704"/>
      <c r="EL23" s="199"/>
      <c r="EM23" s="390" t="s">
        <v>120</v>
      </c>
      <c r="EN23" s="704"/>
      <c r="EO23" s="199"/>
    </row>
    <row r="24" spans="1:145" ht="15.75" thickBot="1" x14ac:dyDescent="0.3">
      <c r="A24" s="15" t="s">
        <v>170</v>
      </c>
      <c r="B24" s="14">
        <v>0.35049970333078179</v>
      </c>
      <c r="C24" s="191">
        <v>1.4019988133231272E-2</v>
      </c>
      <c r="D24" s="3">
        <v>38.442880904799999</v>
      </c>
      <c r="E24" s="212">
        <v>3.8E-3</v>
      </c>
      <c r="F24" s="212"/>
      <c r="G24" s="212"/>
      <c r="H24" s="3">
        <v>25.622338680000002</v>
      </c>
      <c r="I24" s="3">
        <v>0.58931378964000003</v>
      </c>
      <c r="J24" s="3">
        <v>29.73367257512195</v>
      </c>
      <c r="K24" s="193">
        <v>1.2488142481551219</v>
      </c>
      <c r="L24" s="6">
        <v>5.5855615140000001</v>
      </c>
      <c r="M24" s="195">
        <v>0.150810160878</v>
      </c>
      <c r="N24" s="61"/>
      <c r="O24" s="148"/>
      <c r="P24" s="40"/>
      <c r="Q24" s="40"/>
      <c r="R24" s="40"/>
      <c r="S24" s="40"/>
      <c r="T24" s="624"/>
      <c r="U24" s="40"/>
      <c r="V24" s="624"/>
      <c r="W24" s="619"/>
      <c r="X24" s="94"/>
      <c r="Y24" s="94"/>
      <c r="Z24" s="87"/>
      <c r="AA24" s="87"/>
      <c r="AB24" s="94"/>
      <c r="AC24" s="87"/>
      <c r="AD24" s="87"/>
      <c r="AE24" s="87"/>
      <c r="AF24" s="87"/>
      <c r="AG24" s="87"/>
      <c r="AH24" s="87"/>
      <c r="AI24" s="99">
        <v>6.42</v>
      </c>
      <c r="AJ24" s="99">
        <v>2.3E-2</v>
      </c>
      <c r="AK24" s="99">
        <v>0.2</v>
      </c>
      <c r="AL24" s="57">
        <f t="shared" si="6"/>
        <v>5.0071386190111686E-2</v>
      </c>
      <c r="AM24" s="3">
        <f t="shared" si="7"/>
        <v>1.6714296045565218</v>
      </c>
      <c r="AN24" s="3"/>
      <c r="AO24" s="3">
        <f t="shared" si="36"/>
        <v>0.65698304307692312</v>
      </c>
      <c r="AP24" s="3">
        <f t="shared" si="37"/>
        <v>2.4472158498042758</v>
      </c>
      <c r="AQ24" s="6">
        <f t="shared" si="38"/>
        <v>0.27879019286249063</v>
      </c>
      <c r="AR24" s="61"/>
      <c r="AS24" s="40"/>
      <c r="AT24" s="40"/>
      <c r="AU24" s="40"/>
      <c r="AV24" s="40"/>
      <c r="AW24" s="41"/>
      <c r="AX24" s="75"/>
      <c r="AY24" s="308"/>
      <c r="AZ24" s="76"/>
      <c r="BA24" s="77"/>
      <c r="BB24" s="77"/>
      <c r="BC24" s="498"/>
      <c r="BD24" s="498"/>
      <c r="BE24" s="498"/>
      <c r="BF24" s="167">
        <v>21.491160860550266</v>
      </c>
      <c r="BG24" s="674">
        <f t="shared" si="18"/>
        <v>2.1491160860550265E-2</v>
      </c>
      <c r="BH24" s="200">
        <v>0.45720321401794983</v>
      </c>
      <c r="BI24" s="247">
        <v>1616.1268629645094</v>
      </c>
      <c r="BJ24" s="679">
        <f t="shared" si="19"/>
        <v>1.6161268629645094</v>
      </c>
      <c r="BK24" s="204">
        <v>54.94831334079332</v>
      </c>
      <c r="BL24" s="247">
        <v>222071.21814000001</v>
      </c>
      <c r="BM24" s="204">
        <v>10659.418470719998</v>
      </c>
      <c r="BN24" s="339">
        <f t="shared" si="20"/>
        <v>23</v>
      </c>
      <c r="BO24" s="247">
        <v>8053.596922610629</v>
      </c>
      <c r="BP24" s="200">
        <v>104.69675999393817</v>
      </c>
      <c r="BQ24" s="247">
        <v>388.57696510235729</v>
      </c>
      <c r="BR24" s="679">
        <f t="shared" si="21"/>
        <v>0.38857696510235729</v>
      </c>
      <c r="BS24" s="205">
        <v>10.491578057763647</v>
      </c>
      <c r="BT24" s="247">
        <v>475.45376718875741</v>
      </c>
      <c r="BU24" s="695">
        <f>BT24/1000</f>
        <v>0.47545376718875743</v>
      </c>
      <c r="BV24" s="204">
        <v>11.886344179718936</v>
      </c>
      <c r="BW24" s="247">
        <v>360.11843721172147</v>
      </c>
      <c r="BX24" s="695">
        <f>BW24/1000</f>
        <v>0.36011843721172149</v>
      </c>
      <c r="BY24" s="204">
        <v>18.005921860586071</v>
      </c>
      <c r="BZ24" s="247">
        <v>14359.670595609756</v>
      </c>
      <c r="CA24" s="205">
        <v>387.71110608146341</v>
      </c>
      <c r="CB24" s="339">
        <f t="shared" si="22"/>
        <v>200</v>
      </c>
      <c r="CC24" s="247">
        <v>427193.39499999996</v>
      </c>
      <c r="CD24" s="204">
        <v>13670.18864</v>
      </c>
      <c r="CE24" s="339">
        <f t="shared" si="23"/>
        <v>6420</v>
      </c>
      <c r="CF24" s="247">
        <v>267.39596251592661</v>
      </c>
      <c r="CG24" s="204">
        <v>14.344034063256467</v>
      </c>
      <c r="CH24" s="247">
        <v>496.11141093945719</v>
      </c>
      <c r="CI24" s="204">
        <v>10.914451040668059</v>
      </c>
      <c r="CJ24" s="247">
        <v>974.69271281837143</v>
      </c>
      <c r="CK24" s="204">
        <v>14.620390692275571</v>
      </c>
      <c r="CL24" s="247">
        <v>2075.196593987474</v>
      </c>
      <c r="CM24" s="205">
        <v>62.255897819624224</v>
      </c>
      <c r="CN24" s="247">
        <v>119.19135034345588</v>
      </c>
      <c r="CO24" s="685">
        <f t="shared" si="24"/>
        <v>0.11919135034345588</v>
      </c>
      <c r="CP24" s="200">
        <v>6.9014257105584083</v>
      </c>
      <c r="CQ24" s="251">
        <v>69.442884729903199</v>
      </c>
      <c r="CR24" s="686">
        <f t="shared" si="25"/>
        <v>6.9442884729903204E-2</v>
      </c>
      <c r="CS24" s="200">
        <v>3.7964584616407246</v>
      </c>
      <c r="CT24" s="251">
        <v>168.03410559396241</v>
      </c>
      <c r="CU24" s="685">
        <f t="shared" si="26"/>
        <v>0.1680341055939624</v>
      </c>
      <c r="CV24" s="200">
        <v>10.203223005523382</v>
      </c>
      <c r="CW24" s="247">
        <v>319.87898814222848</v>
      </c>
      <c r="CX24" s="674">
        <f t="shared" si="27"/>
        <v>0.31987898814222848</v>
      </c>
      <c r="CY24" s="204">
        <v>30.643285052868027</v>
      </c>
      <c r="CZ24" s="247">
        <v>750.15812442588719</v>
      </c>
      <c r="DA24" s="679">
        <f t="shared" si="28"/>
        <v>0.75015812442588714</v>
      </c>
      <c r="DB24" s="205">
        <v>8.2517393686847598</v>
      </c>
      <c r="DC24" s="247">
        <v>152.64129028833193</v>
      </c>
      <c r="DD24" s="703">
        <f t="shared" si="43"/>
        <v>0.15264129028833193</v>
      </c>
      <c r="DE24" s="200"/>
      <c r="DF24" s="269" t="s">
        <v>117</v>
      </c>
      <c r="DG24" s="200"/>
      <c r="DH24" s="250">
        <v>12.141367010401952</v>
      </c>
      <c r="DI24" s="695">
        <f>DH24/1000</f>
        <v>1.2141367010401952E-2</v>
      </c>
      <c r="DJ24" s="200">
        <v>0.6119477236855474</v>
      </c>
      <c r="DK24" s="250">
        <v>4.3650518158314693</v>
      </c>
      <c r="DL24" s="695">
        <f>DK24/1000</f>
        <v>4.3650518158314692E-3</v>
      </c>
      <c r="DM24" s="200">
        <v>0.22751567891805149</v>
      </c>
      <c r="DN24" s="250">
        <v>20.856256501280249</v>
      </c>
      <c r="DO24" s="674">
        <f t="shared" si="29"/>
        <v>2.085625650128025E-2</v>
      </c>
      <c r="DP24" s="200">
        <v>1.0646191200247934</v>
      </c>
      <c r="DQ24" s="249" t="s">
        <v>118</v>
      </c>
      <c r="DR24" s="200"/>
      <c r="DS24" s="250">
        <v>27.401658874336633</v>
      </c>
      <c r="DT24" s="692">
        <f t="shared" si="30"/>
        <v>2.7401658874336633E-2</v>
      </c>
      <c r="DU24" s="200">
        <v>1.3088158185691361</v>
      </c>
      <c r="DV24" s="247">
        <v>2269.3099159916492</v>
      </c>
      <c r="DW24" s="674">
        <f t="shared" si="31"/>
        <v>2.269309915991649</v>
      </c>
      <c r="DX24" s="204">
        <v>29.501028907891442</v>
      </c>
      <c r="DY24" s="249" t="s">
        <v>119</v>
      </c>
      <c r="DZ24" s="200"/>
      <c r="EA24" s="246" t="s">
        <v>115</v>
      </c>
      <c r="EB24" s="200"/>
      <c r="EC24" s="249" t="s">
        <v>117</v>
      </c>
      <c r="ED24" s="200"/>
      <c r="EE24" s="250">
        <v>2.3420779347488017</v>
      </c>
      <c r="EF24" s="200">
        <v>9.2020967594247591E-2</v>
      </c>
      <c r="EG24" s="247">
        <v>316.20370322401169</v>
      </c>
      <c r="EH24" s="693">
        <f t="shared" si="32"/>
        <v>0.3162037032240117</v>
      </c>
      <c r="EI24" s="204">
        <v>15.952870014512024</v>
      </c>
      <c r="EJ24" s="250">
        <v>3.257387940335112</v>
      </c>
      <c r="EK24" s="708">
        <f>EJ24/1000</f>
        <v>3.2573879403351119E-3</v>
      </c>
      <c r="EL24" s="200">
        <v>0.15091725062577374</v>
      </c>
      <c r="EM24" s="250">
        <v>17.774343023803976</v>
      </c>
      <c r="EN24" s="708">
        <f>EM24/1000</f>
        <v>1.7774343023803974E-2</v>
      </c>
      <c r="EO24" s="200">
        <v>1.1819011051917829</v>
      </c>
    </row>
    <row r="25" spans="1:145" ht="15.75" thickBot="1" x14ac:dyDescent="0.3">
      <c r="A25" s="16" t="s">
        <v>171</v>
      </c>
      <c r="B25" s="12">
        <v>0.34532625131414268</v>
      </c>
      <c r="C25" s="189">
        <v>9.6691350367959939E-3</v>
      </c>
      <c r="D25" s="7">
        <v>18.607322583333335</v>
      </c>
      <c r="E25" s="210">
        <v>5.7000000000000002E-3</v>
      </c>
      <c r="F25" s="210"/>
      <c r="G25" s="210"/>
      <c r="H25" s="7">
        <v>24.677080439999994</v>
      </c>
      <c r="I25" s="7">
        <v>0.64160409143999997</v>
      </c>
      <c r="J25" s="7">
        <v>31.987516416666669</v>
      </c>
      <c r="K25" s="93">
        <v>0.70372536116666684</v>
      </c>
      <c r="L25" s="10">
        <v>4.8669719322000002</v>
      </c>
      <c r="M25" s="160">
        <v>0.10707338250840001</v>
      </c>
      <c r="N25" s="62"/>
      <c r="O25" s="149"/>
      <c r="P25" s="42"/>
      <c r="Q25" s="42"/>
      <c r="R25" s="42"/>
      <c r="S25" s="42"/>
      <c r="T25" s="354"/>
      <c r="U25" s="42"/>
      <c r="V25" s="354"/>
      <c r="W25" s="16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100">
        <v>0.28999999999999998</v>
      </c>
      <c r="AJ25" s="100">
        <v>3.2000000000000001E-2</v>
      </c>
      <c r="AK25" s="100">
        <v>0.1</v>
      </c>
      <c r="AL25" s="58">
        <f t="shared" si="6"/>
        <v>4.9332321616306095E-2</v>
      </c>
      <c r="AM25" s="7">
        <f t="shared" si="7"/>
        <v>0.80901402536231892</v>
      </c>
      <c r="AN25" s="7"/>
      <c r="AO25" s="7">
        <f t="shared" si="36"/>
        <v>0.6327456523076922</v>
      </c>
      <c r="AP25" s="7">
        <f t="shared" si="37"/>
        <v>2.6327174005486969</v>
      </c>
      <c r="AQ25" s="10">
        <f t="shared" si="38"/>
        <v>0.2429234805190916</v>
      </c>
      <c r="AR25" s="62"/>
      <c r="AS25" s="42"/>
      <c r="AT25" s="42"/>
      <c r="AU25" s="42"/>
      <c r="AV25" s="42"/>
      <c r="AW25" s="43"/>
      <c r="AX25" s="78"/>
      <c r="AY25" s="309"/>
      <c r="AZ25" s="79"/>
      <c r="BA25" s="80"/>
      <c r="BB25" s="80"/>
      <c r="BC25" s="498"/>
      <c r="BD25" s="498"/>
      <c r="BE25" s="498"/>
      <c r="BF25" s="118">
        <v>19.31385451152698</v>
      </c>
      <c r="BG25" s="674">
        <f t="shared" si="18"/>
        <v>1.9313854511526979E-2</v>
      </c>
      <c r="BH25" s="111">
        <v>0.59665978372618578</v>
      </c>
      <c r="BI25" s="253">
        <v>1588.8242</v>
      </c>
      <c r="BJ25" s="679">
        <f t="shared" si="19"/>
        <v>1.5888241999999999</v>
      </c>
      <c r="BK25" s="202">
        <v>139.81652960000002</v>
      </c>
      <c r="BL25" s="253">
        <v>173289.52116666667</v>
      </c>
      <c r="BM25" s="202">
        <v>6065.1332408333337</v>
      </c>
      <c r="BN25" s="337">
        <f t="shared" si="20"/>
        <v>32</v>
      </c>
      <c r="BO25" s="253">
        <v>10120.989184944967</v>
      </c>
      <c r="BP25" s="111">
        <v>394.71857821285369</v>
      </c>
      <c r="BQ25" s="253">
        <v>319.6488625782228</v>
      </c>
      <c r="BR25" s="679">
        <f t="shared" si="21"/>
        <v>0.31964886257822278</v>
      </c>
      <c r="BS25" s="206">
        <v>14.384198816020024</v>
      </c>
      <c r="BT25" s="253">
        <v>454.93460675844801</v>
      </c>
      <c r="BU25" s="695">
        <f t="shared" ref="BU25:BU43" si="45">BT25/1000</f>
        <v>0.45493460675844799</v>
      </c>
      <c r="BV25" s="202">
        <v>10.463495955444303</v>
      </c>
      <c r="BW25" s="266">
        <v>335.53741276595741</v>
      </c>
      <c r="BX25" s="695">
        <f t="shared" ref="BX25:BX43" si="46">BW25/1000</f>
        <v>0.33553741276595739</v>
      </c>
      <c r="BY25" s="202">
        <v>12.079346859574466</v>
      </c>
      <c r="BZ25" s="253">
        <v>13297.764399999998</v>
      </c>
      <c r="CA25" s="206">
        <v>252.65752359999996</v>
      </c>
      <c r="CB25" s="337">
        <f t="shared" si="22"/>
        <v>100</v>
      </c>
      <c r="CC25" s="253">
        <v>443516.38045833341</v>
      </c>
      <c r="CD25" s="206">
        <v>9313.843989625002</v>
      </c>
      <c r="CE25" s="337">
        <f t="shared" si="23"/>
        <v>290</v>
      </c>
      <c r="CF25" s="253">
        <v>246.20667929971191</v>
      </c>
      <c r="CG25" s="202">
        <v>6.4121167809491659</v>
      </c>
      <c r="CH25" s="266">
        <v>484.56748535669584</v>
      </c>
      <c r="CI25" s="202">
        <v>8.7222147364205256</v>
      </c>
      <c r="CJ25" s="253">
        <v>283.03727459324153</v>
      </c>
      <c r="CK25" s="202">
        <v>6.2268200410513144</v>
      </c>
      <c r="CL25" s="253">
        <v>1223.9377722152692</v>
      </c>
      <c r="CM25" s="206">
        <v>15.911191038798499</v>
      </c>
      <c r="CN25" s="253">
        <v>104.37908409030658</v>
      </c>
      <c r="CO25" s="685">
        <f t="shared" si="24"/>
        <v>0.10437908409030658</v>
      </c>
      <c r="CP25" s="111">
        <v>3.3045290249431627</v>
      </c>
      <c r="CQ25" s="47">
        <v>56.901197429265338</v>
      </c>
      <c r="CR25" s="686">
        <f t="shared" si="25"/>
        <v>5.6901197429265339E-2</v>
      </c>
      <c r="CS25" s="111">
        <v>1.7124691450052725</v>
      </c>
      <c r="CT25" s="47">
        <v>189.70432592266047</v>
      </c>
      <c r="CU25" s="685">
        <f t="shared" si="26"/>
        <v>0.18970432592266048</v>
      </c>
      <c r="CV25" s="111">
        <v>6.2851341864348145</v>
      </c>
      <c r="CW25" s="253">
        <v>290.29522780086216</v>
      </c>
      <c r="CX25" s="674">
        <f t="shared" si="27"/>
        <v>0.29029522780086214</v>
      </c>
      <c r="CY25" s="202">
        <v>9.5759079391731934</v>
      </c>
      <c r="CZ25" s="253">
        <v>446.83717296620779</v>
      </c>
      <c r="DA25" s="679">
        <f t="shared" si="28"/>
        <v>0.44683717296620779</v>
      </c>
      <c r="DB25" s="206">
        <v>16.532975399749688</v>
      </c>
      <c r="DC25" s="266">
        <v>144.5918804782464</v>
      </c>
      <c r="DD25" s="703">
        <f t="shared" si="43"/>
        <v>0.14459188047824639</v>
      </c>
      <c r="DE25" s="111">
        <v>3.3963059889781664</v>
      </c>
      <c r="DF25" s="255" t="s">
        <v>117</v>
      </c>
      <c r="DG25" s="111"/>
      <c r="DH25" s="256">
        <v>15.454015323223384</v>
      </c>
      <c r="DI25" s="695">
        <f t="shared" ref="DI25:DI43" si="47">DH25/1000</f>
        <v>1.5454015323223384E-2</v>
      </c>
      <c r="DJ25" s="111">
        <v>0.44842390418045525</v>
      </c>
      <c r="DK25" s="256">
        <v>4.3202897051501203</v>
      </c>
      <c r="DL25" s="695">
        <f t="shared" ref="DL25:DL43" si="48">DK25/1000</f>
        <v>4.3202897051501203E-3</v>
      </c>
      <c r="DM25" s="111">
        <v>0.13611597605361628</v>
      </c>
      <c r="DN25" s="256">
        <v>17.847617167174747</v>
      </c>
      <c r="DO25" s="674">
        <f t="shared" si="29"/>
        <v>1.7847617167174746E-2</v>
      </c>
      <c r="DP25" s="111">
        <v>0.45207293754463973</v>
      </c>
      <c r="DQ25" s="255" t="s">
        <v>118</v>
      </c>
      <c r="DR25" s="111"/>
      <c r="DS25" s="37">
        <v>25.299393928574087</v>
      </c>
      <c r="DT25" s="692">
        <f t="shared" si="30"/>
        <v>2.5299393928574086E-2</v>
      </c>
      <c r="DU25" s="111">
        <v>0.77258211616187988</v>
      </c>
      <c r="DV25" s="258">
        <v>1864.4759999999999</v>
      </c>
      <c r="DW25" s="674">
        <f t="shared" si="31"/>
        <v>1.8644759999999998</v>
      </c>
      <c r="DX25" s="202">
        <v>39.153995999999999</v>
      </c>
      <c r="DY25" s="255" t="s">
        <v>119</v>
      </c>
      <c r="DZ25" s="111"/>
      <c r="EA25" s="254" t="s">
        <v>115</v>
      </c>
      <c r="EB25" s="111"/>
      <c r="EC25" s="255" t="s">
        <v>117</v>
      </c>
      <c r="ED25" s="111"/>
      <c r="EE25" s="256">
        <v>2.1841497616427104</v>
      </c>
      <c r="EF25" s="111">
        <v>4.9790180400109484E-2</v>
      </c>
      <c r="EG25" s="266">
        <v>235.46512471528067</v>
      </c>
      <c r="EH25" s="693">
        <f t="shared" si="32"/>
        <v>0.23546512471528067</v>
      </c>
      <c r="EI25" s="202">
        <v>7.5931481381037278</v>
      </c>
      <c r="EJ25" s="256">
        <v>2.3026710639075572</v>
      </c>
      <c r="EK25" s="708">
        <f t="shared" ref="EK25:EK43" si="49">EJ25/1000</f>
        <v>2.3026710639075573E-3</v>
      </c>
      <c r="EL25" s="111">
        <v>5.2200863809176747E-2</v>
      </c>
      <c r="EM25" s="256">
        <v>17.452453966161549</v>
      </c>
      <c r="EN25" s="708">
        <f t="shared" ref="EN25:EN43" si="50">EM25/1000</f>
        <v>1.745245396616155E-2</v>
      </c>
      <c r="EO25" s="111">
        <v>0.46283166461296277</v>
      </c>
    </row>
    <row r="26" spans="1:145" ht="15.75" thickBot="1" x14ac:dyDescent="0.3">
      <c r="A26" s="16" t="s">
        <v>172</v>
      </c>
      <c r="B26" s="12">
        <v>0.30598192751224718</v>
      </c>
      <c r="C26" s="189">
        <v>1.2545259028002133E-2</v>
      </c>
      <c r="D26" s="7">
        <v>14.182461536850921</v>
      </c>
      <c r="E26" s="210">
        <v>2.7000000000000001E-3</v>
      </c>
      <c r="F26" s="210"/>
      <c r="G26" s="210"/>
      <c r="H26" s="7">
        <v>24.677080439999994</v>
      </c>
      <c r="I26" s="7">
        <v>0.56757285011999992</v>
      </c>
      <c r="J26" s="7">
        <v>28.574611592417064</v>
      </c>
      <c r="K26" s="93">
        <v>0.94296218254976294</v>
      </c>
      <c r="L26" s="10">
        <v>5.0629849446000001</v>
      </c>
      <c r="M26" s="160">
        <v>0.12657462361500002</v>
      </c>
      <c r="N26" s="62"/>
      <c r="O26" s="149"/>
      <c r="P26" s="42"/>
      <c r="Q26" s="42"/>
      <c r="R26" s="42"/>
      <c r="S26" s="42"/>
      <c r="T26" s="354"/>
      <c r="U26" s="42"/>
      <c r="V26" s="354"/>
      <c r="W26" s="16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100">
        <v>0.34</v>
      </c>
      <c r="AJ26" s="100">
        <v>7.0000000000000001E-3</v>
      </c>
      <c r="AK26" s="100">
        <v>0.3</v>
      </c>
      <c r="AL26" s="58">
        <f t="shared" si="6"/>
        <v>4.3711703930321026E-2</v>
      </c>
      <c r="AM26" s="7">
        <f t="shared" si="7"/>
        <v>0.61662876247177922</v>
      </c>
      <c r="AN26" s="7"/>
      <c r="AO26" s="7">
        <f t="shared" si="36"/>
        <v>0.6327456523076922</v>
      </c>
      <c r="AP26" s="7">
        <f t="shared" si="37"/>
        <v>2.3518198841495526</v>
      </c>
      <c r="AQ26" s="10">
        <f t="shared" si="38"/>
        <v>0.25270700996256551</v>
      </c>
      <c r="AR26" s="62"/>
      <c r="AS26" s="42"/>
      <c r="AT26" s="42"/>
      <c r="AU26" s="42"/>
      <c r="AV26" s="42"/>
      <c r="AW26" s="43"/>
      <c r="AX26" s="78"/>
      <c r="AY26" s="309"/>
      <c r="AZ26" s="79"/>
      <c r="BA26" s="80"/>
      <c r="BB26" s="80"/>
      <c r="BC26" s="499"/>
      <c r="BD26" s="499"/>
      <c r="BE26" s="499"/>
      <c r="BF26" s="47">
        <v>22.783352147961416</v>
      </c>
      <c r="BG26" s="674">
        <f t="shared" si="18"/>
        <v>2.2783352147961417E-2</v>
      </c>
      <c r="BH26" s="111">
        <v>6.7647734376017565E-2</v>
      </c>
      <c r="BI26" s="258">
        <v>1609.5358225586315</v>
      </c>
      <c r="BJ26" s="679">
        <f t="shared" si="19"/>
        <v>1.6095358225586316</v>
      </c>
      <c r="BK26" s="202">
        <v>101.40075682119377</v>
      </c>
      <c r="BL26" s="253">
        <v>164564.6821421801</v>
      </c>
      <c r="BM26" s="202">
        <v>6253.4579214028436</v>
      </c>
      <c r="BN26" s="337">
        <f t="shared" si="20"/>
        <v>7</v>
      </c>
      <c r="BO26" s="253">
        <v>7139.8764708209428</v>
      </c>
      <c r="BP26" s="111">
        <v>335.57419412858434</v>
      </c>
      <c r="BQ26" s="253">
        <v>391.63323926760597</v>
      </c>
      <c r="BR26" s="679">
        <f t="shared" si="21"/>
        <v>0.39163323926760596</v>
      </c>
      <c r="BS26" s="206">
        <v>18.015129006309873</v>
      </c>
      <c r="BT26" s="253">
        <v>451.15879129935973</v>
      </c>
      <c r="BU26" s="695">
        <f t="shared" si="45"/>
        <v>0.45115879129935971</v>
      </c>
      <c r="BV26" s="202">
        <v>22.106780773668628</v>
      </c>
      <c r="BW26" s="266">
        <v>332.15831855314605</v>
      </c>
      <c r="BX26" s="695">
        <f t="shared" si="46"/>
        <v>0.33215831855314604</v>
      </c>
      <c r="BY26" s="202">
        <v>17.272232564763595</v>
      </c>
      <c r="BZ26" s="266">
        <v>11504.12074120603</v>
      </c>
      <c r="CA26" s="206">
        <v>264.59477704773866</v>
      </c>
      <c r="CB26" s="337">
        <f t="shared" si="22"/>
        <v>300</v>
      </c>
      <c r="CC26" s="258">
        <v>473269.22104265407</v>
      </c>
      <c r="CD26" s="206">
        <v>12304.999747109006</v>
      </c>
      <c r="CE26" s="337">
        <f t="shared" si="23"/>
        <v>340</v>
      </c>
      <c r="CF26" s="253">
        <v>284.56091601115384</v>
      </c>
      <c r="CG26" s="202">
        <v>2.6578598162694358</v>
      </c>
      <c r="CH26" s="266">
        <v>475.44494649462303</v>
      </c>
      <c r="CI26" s="202">
        <v>20.444132699268788</v>
      </c>
      <c r="CJ26" s="253">
        <v>285.67876927743015</v>
      </c>
      <c r="CK26" s="202">
        <v>14.855296002426369</v>
      </c>
      <c r="CL26" s="253">
        <v>1115.0705067001675</v>
      </c>
      <c r="CM26" s="206">
        <v>46.83296128140703</v>
      </c>
      <c r="CN26" s="253">
        <v>114.21628720488519</v>
      </c>
      <c r="CO26" s="685">
        <f t="shared" si="24"/>
        <v>0.11421628720488519</v>
      </c>
      <c r="CP26" s="111">
        <v>1.8300103450996179</v>
      </c>
      <c r="CQ26" s="47">
        <v>71.052709291952297</v>
      </c>
      <c r="CR26" s="686">
        <f t="shared" si="25"/>
        <v>7.1052709291952301E-2</v>
      </c>
      <c r="CS26" s="111">
        <v>1.3158955000946064</v>
      </c>
      <c r="CT26" s="47">
        <v>250.51237185985332</v>
      </c>
      <c r="CU26" s="685">
        <f t="shared" si="26"/>
        <v>0.25051237185985331</v>
      </c>
      <c r="CV26" s="111">
        <v>4.2578714799480828</v>
      </c>
      <c r="CW26" s="253">
        <v>295.20172177864498</v>
      </c>
      <c r="CX26" s="674">
        <f t="shared" si="27"/>
        <v>0.29520172177864495</v>
      </c>
      <c r="CY26" s="202">
        <v>4.4076720418015505</v>
      </c>
      <c r="CZ26" s="253">
        <v>627.65956338557487</v>
      </c>
      <c r="DA26" s="679">
        <f t="shared" si="28"/>
        <v>0.62765956338557483</v>
      </c>
      <c r="DB26" s="206">
        <v>19.45744646495282</v>
      </c>
      <c r="DC26" s="266">
        <v>152.99178883792294</v>
      </c>
      <c r="DD26" s="703">
        <f t="shared" si="43"/>
        <v>0.15299178883792294</v>
      </c>
      <c r="DE26" s="111">
        <v>2.2779463118876473</v>
      </c>
      <c r="DF26" s="255" t="s">
        <v>117</v>
      </c>
      <c r="DG26" s="111"/>
      <c r="DH26" s="256">
        <v>16.843177957492085</v>
      </c>
      <c r="DI26" s="695">
        <f t="shared" si="47"/>
        <v>1.6843177957492083E-2</v>
      </c>
      <c r="DJ26" s="111">
        <v>0.29102273333240364</v>
      </c>
      <c r="DK26" s="256">
        <v>2.5034615961681901</v>
      </c>
      <c r="DL26" s="695">
        <f t="shared" si="48"/>
        <v>2.5034615961681901E-3</v>
      </c>
      <c r="DM26" s="111">
        <v>0.12441611273796069</v>
      </c>
      <c r="DN26" s="256">
        <v>8.4653008760296977</v>
      </c>
      <c r="DO26" s="674">
        <f t="shared" si="29"/>
        <v>8.465300876029697E-3</v>
      </c>
      <c r="DP26" s="111">
        <v>0.1296722425597002</v>
      </c>
      <c r="DQ26" s="255" t="s">
        <v>118</v>
      </c>
      <c r="DR26" s="111"/>
      <c r="DS26" s="37">
        <v>25.822195126647873</v>
      </c>
      <c r="DT26" s="692">
        <f t="shared" si="30"/>
        <v>2.5822195126647872E-2</v>
      </c>
      <c r="DU26" s="111">
        <v>0.27667578674191801</v>
      </c>
      <c r="DV26" s="258">
        <v>1744.1165871021776</v>
      </c>
      <c r="DW26" s="674">
        <f t="shared" si="31"/>
        <v>1.7441165871021775</v>
      </c>
      <c r="DX26" s="202">
        <v>24.417632219430484</v>
      </c>
      <c r="DY26" s="255" t="s">
        <v>119</v>
      </c>
      <c r="DZ26" s="111"/>
      <c r="EA26" s="254" t="s">
        <v>115</v>
      </c>
      <c r="EB26" s="111"/>
      <c r="EC26" s="255" t="s">
        <v>117</v>
      </c>
      <c r="ED26" s="111"/>
      <c r="EE26" s="256">
        <v>2.0035420318865831</v>
      </c>
      <c r="EF26" s="111">
        <v>2.5109348773831589E-2</v>
      </c>
      <c r="EG26" s="266">
        <v>286.41588810164484</v>
      </c>
      <c r="EH26" s="693">
        <f t="shared" si="32"/>
        <v>0.28641588810164487</v>
      </c>
      <c r="EI26" s="202">
        <v>3.751891428533781</v>
      </c>
      <c r="EJ26" s="256">
        <v>2.8322952914114596</v>
      </c>
      <c r="EK26" s="708">
        <f t="shared" si="49"/>
        <v>2.8322952914114595E-3</v>
      </c>
      <c r="EL26" s="111">
        <v>3.869330885824683E-2</v>
      </c>
      <c r="EM26" s="256">
        <v>17.71938448122097</v>
      </c>
      <c r="EN26" s="708">
        <f t="shared" si="50"/>
        <v>1.7719384481220971E-2</v>
      </c>
      <c r="EO26" s="111">
        <v>0.1543920853259132</v>
      </c>
    </row>
    <row r="27" spans="1:145" ht="15.75" thickBot="1" x14ac:dyDescent="0.3">
      <c r="A27" s="16" t="s">
        <v>173</v>
      </c>
      <c r="B27" s="12">
        <v>0.94253306915887869</v>
      </c>
      <c r="C27" s="189">
        <v>3.5816256628037384E-2</v>
      </c>
      <c r="D27" s="7">
        <v>10.084962750938674</v>
      </c>
      <c r="E27" s="210">
        <v>4.2000000000000006E-3</v>
      </c>
      <c r="F27" s="210"/>
      <c r="G27" s="210"/>
      <c r="H27" s="7">
        <v>24.225702651428563</v>
      </c>
      <c r="I27" s="7">
        <v>0.46028835037714272</v>
      </c>
      <c r="J27" s="7">
        <v>30.128879392405061</v>
      </c>
      <c r="K27" s="93">
        <v>1.2654129344810126</v>
      </c>
      <c r="L27" s="10">
        <v>5.8627508470588223</v>
      </c>
      <c r="M27" s="160">
        <v>0.12311776778823529</v>
      </c>
      <c r="N27" s="62"/>
      <c r="O27" s="149"/>
      <c r="P27" s="42"/>
      <c r="Q27" s="42"/>
      <c r="R27" s="42"/>
      <c r="S27" s="42"/>
      <c r="T27" s="354"/>
      <c r="U27" s="42"/>
      <c r="V27" s="354"/>
      <c r="W27" s="16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100">
        <v>1.37</v>
      </c>
      <c r="AJ27" s="100">
        <v>2.3E-2</v>
      </c>
      <c r="AK27" s="100">
        <v>0.1</v>
      </c>
      <c r="AL27" s="58">
        <f t="shared" si="6"/>
        <v>0.13464758130841123</v>
      </c>
      <c r="AM27" s="7">
        <f t="shared" si="7"/>
        <v>0.43847664134515973</v>
      </c>
      <c r="AN27" s="7"/>
      <c r="AO27" s="7">
        <f t="shared" si="36"/>
        <v>0.62117186285714265</v>
      </c>
      <c r="AP27" s="7">
        <f t="shared" si="37"/>
        <v>2.4797431598687294</v>
      </c>
      <c r="AQ27" s="10">
        <f t="shared" si="38"/>
        <v>0.29262544781925742</v>
      </c>
      <c r="AR27" s="62"/>
      <c r="AS27" s="42"/>
      <c r="AT27" s="42"/>
      <c r="AU27" s="42"/>
      <c r="AV27" s="42"/>
      <c r="AW27" s="43"/>
      <c r="AX27" s="81"/>
      <c r="AY27" s="310"/>
      <c r="AZ27" s="82"/>
      <c r="BA27" s="83"/>
      <c r="BB27" s="83"/>
      <c r="BC27" s="500"/>
      <c r="BD27" s="500"/>
      <c r="BE27" s="500"/>
      <c r="BF27" s="47">
        <v>28.666869269264428</v>
      </c>
      <c r="BG27" s="674">
        <f t="shared" si="18"/>
        <v>2.8666869269264428E-2</v>
      </c>
      <c r="BH27" s="111">
        <v>1.2495825525154103</v>
      </c>
      <c r="BI27" s="253">
        <v>1654.9158056074768</v>
      </c>
      <c r="BJ27" s="679">
        <f t="shared" si="19"/>
        <v>1.6549158056074769</v>
      </c>
      <c r="BK27" s="202">
        <v>46.337642557009346</v>
      </c>
      <c r="BL27" s="253">
        <v>218297.21832911391</v>
      </c>
      <c r="BM27" s="202">
        <v>9168.4831698227845</v>
      </c>
      <c r="BN27" s="337">
        <f t="shared" si="20"/>
        <v>23</v>
      </c>
      <c r="BO27" s="253">
        <v>6869.8844186915894</v>
      </c>
      <c r="BP27" s="111">
        <v>288.53514558504679</v>
      </c>
      <c r="BQ27" s="253">
        <v>470.60193644859822</v>
      </c>
      <c r="BR27" s="679">
        <f t="shared" si="21"/>
        <v>0.47060193644859821</v>
      </c>
      <c r="BS27" s="206">
        <v>14.118058093457947</v>
      </c>
      <c r="BT27" s="253">
        <v>433.38444112149534</v>
      </c>
      <c r="BU27" s="695">
        <f t="shared" si="45"/>
        <v>0.43338444112149532</v>
      </c>
      <c r="BV27" s="202">
        <v>3.033691087850467</v>
      </c>
      <c r="BW27" s="266">
        <v>335.19006728971965</v>
      </c>
      <c r="BX27" s="695">
        <f t="shared" si="46"/>
        <v>0.33519006728971967</v>
      </c>
      <c r="BY27" s="202">
        <v>4.3574708747663555</v>
      </c>
      <c r="BZ27" s="253">
        <v>9980.7853566958693</v>
      </c>
      <c r="CA27" s="206">
        <v>319.38513141426779</v>
      </c>
      <c r="CB27" s="337">
        <f t="shared" si="22"/>
        <v>100</v>
      </c>
      <c r="CC27" s="253">
        <v>390105.74339240504</v>
      </c>
      <c r="CD27" s="206">
        <v>5851.5861508860753</v>
      </c>
      <c r="CE27" s="337">
        <f t="shared" si="23"/>
        <v>1370</v>
      </c>
      <c r="CF27" s="253">
        <v>277.56418706839224</v>
      </c>
      <c r="CG27" s="202">
        <v>5.3754289395430241</v>
      </c>
      <c r="CH27" s="266">
        <v>568.66339065420561</v>
      </c>
      <c r="CI27" s="202">
        <v>22.746535626168225</v>
      </c>
      <c r="CJ27" s="253">
        <v>411.41947289719633</v>
      </c>
      <c r="CK27" s="202">
        <v>2.4685168373831776</v>
      </c>
      <c r="CL27" s="253">
        <v>1311.0859626168226</v>
      </c>
      <c r="CM27" s="206">
        <v>11.799773663551404</v>
      </c>
      <c r="CN27" s="253">
        <v>126.10327168582558</v>
      </c>
      <c r="CO27" s="685">
        <f t="shared" si="24"/>
        <v>0.12610327168582558</v>
      </c>
      <c r="CP27" s="111">
        <v>2.0869306890777497</v>
      </c>
      <c r="CQ27" s="47">
        <v>96.642719142597386</v>
      </c>
      <c r="CR27" s="686">
        <f t="shared" si="25"/>
        <v>9.664271914259738E-2</v>
      </c>
      <c r="CS27" s="111">
        <v>3.3641239757191266</v>
      </c>
      <c r="CT27" s="47">
        <v>166.67848479427423</v>
      </c>
      <c r="CU27" s="685">
        <f t="shared" si="26"/>
        <v>0.16667848479427422</v>
      </c>
      <c r="CV27" s="111">
        <v>3.267409887085277</v>
      </c>
      <c r="CW27" s="253">
        <v>329.08270233552327</v>
      </c>
      <c r="CX27" s="674">
        <f t="shared" si="27"/>
        <v>0.32908270233552328</v>
      </c>
      <c r="CY27" s="202">
        <v>17.621867715828806</v>
      </c>
      <c r="CZ27" s="258">
        <v>714.27684112149541</v>
      </c>
      <c r="DA27" s="679">
        <f t="shared" si="28"/>
        <v>0.71427684112149536</v>
      </c>
      <c r="DB27" s="206">
        <v>21.42830523364486</v>
      </c>
      <c r="DC27" s="266">
        <v>120.40318532462847</v>
      </c>
      <c r="DD27" s="703">
        <f t="shared" si="43"/>
        <v>0.12040318532462847</v>
      </c>
      <c r="DE27" s="111">
        <v>3.9749739937456878</v>
      </c>
      <c r="DF27" s="256">
        <v>1.2316741570052767</v>
      </c>
      <c r="DG27" s="111">
        <v>3.3050485906155724E-2</v>
      </c>
      <c r="DH27" s="256">
        <v>12.521680559635161</v>
      </c>
      <c r="DI27" s="695">
        <f t="shared" si="47"/>
        <v>1.2521680559635161E-2</v>
      </c>
      <c r="DJ27" s="111">
        <v>0.25683005553823041</v>
      </c>
      <c r="DK27" s="256">
        <v>1.6963984376834977</v>
      </c>
      <c r="DL27" s="695">
        <f t="shared" si="48"/>
        <v>1.6963984376834977E-3</v>
      </c>
      <c r="DM27" s="111">
        <v>7.6527599409307562E-2</v>
      </c>
      <c r="DN27" s="256">
        <v>8.4689214995637609</v>
      </c>
      <c r="DO27" s="674">
        <f t="shared" si="29"/>
        <v>8.4689214995637609E-3</v>
      </c>
      <c r="DP27" s="111">
        <v>0.20791714429318134</v>
      </c>
      <c r="DQ27" s="255" t="s">
        <v>118</v>
      </c>
      <c r="DR27" s="111"/>
      <c r="DS27" s="257">
        <v>30.72961577343127</v>
      </c>
      <c r="DT27" s="692">
        <f t="shared" si="30"/>
        <v>3.0729615773431269E-2</v>
      </c>
      <c r="DU27" s="111">
        <v>0.4726444732072389</v>
      </c>
      <c r="DV27" s="258">
        <v>1733.7371439252338</v>
      </c>
      <c r="DW27" s="674">
        <f t="shared" si="31"/>
        <v>1.7337371439252338</v>
      </c>
      <c r="DX27" s="202">
        <v>52.01211431775701</v>
      </c>
      <c r="DY27" s="255" t="s">
        <v>119</v>
      </c>
      <c r="DZ27" s="111"/>
      <c r="EA27" s="254" t="s">
        <v>115</v>
      </c>
      <c r="EB27" s="111"/>
      <c r="EC27" s="255" t="s">
        <v>117</v>
      </c>
      <c r="ED27" s="111"/>
      <c r="EE27" s="256">
        <v>2.3045275469533801</v>
      </c>
      <c r="EF27" s="111">
        <v>3.2386573361455388E-2</v>
      </c>
      <c r="EG27" s="266">
        <v>288.3064275388661</v>
      </c>
      <c r="EH27" s="693">
        <f t="shared" si="32"/>
        <v>0.28830642753886609</v>
      </c>
      <c r="EI27" s="202">
        <v>4.4247387907755096</v>
      </c>
      <c r="EJ27" s="256">
        <v>3.2169526384110498</v>
      </c>
      <c r="EK27" s="708">
        <f t="shared" si="49"/>
        <v>3.2169526384110496E-3</v>
      </c>
      <c r="EL27" s="111">
        <v>6.7216083718945066E-2</v>
      </c>
      <c r="EM27" s="256">
        <v>25.53742102148453</v>
      </c>
      <c r="EN27" s="708">
        <f t="shared" si="50"/>
        <v>2.5537421021484531E-2</v>
      </c>
      <c r="EO27" s="111">
        <v>0.42181772750891894</v>
      </c>
    </row>
    <row r="28" spans="1:145" ht="15.75" thickBot="1" x14ac:dyDescent="0.3">
      <c r="A28" s="17" t="s">
        <v>174</v>
      </c>
      <c r="B28" s="13">
        <v>0.55681374574574583</v>
      </c>
      <c r="C28" s="190">
        <v>2.0045294846846848E-2</v>
      </c>
      <c r="D28" s="11">
        <v>38.442880904799999</v>
      </c>
      <c r="E28" s="211">
        <v>2.5999999999999999E-3</v>
      </c>
      <c r="F28" s="211"/>
      <c r="G28" s="211"/>
      <c r="H28" s="11">
        <v>34.325548746000003</v>
      </c>
      <c r="I28" s="11">
        <v>0.58353432868200006</v>
      </c>
      <c r="J28" s="11">
        <v>42.355177838709679</v>
      </c>
      <c r="K28" s="92">
        <v>2.3718899589677416</v>
      </c>
      <c r="L28" s="31">
        <v>5.9629418841176456</v>
      </c>
      <c r="M28" s="158">
        <v>6.5592360725294119E-2</v>
      </c>
      <c r="N28" s="63"/>
      <c r="O28" s="150"/>
      <c r="P28" s="64"/>
      <c r="Q28" s="64"/>
      <c r="R28" s="64"/>
      <c r="S28" s="64"/>
      <c r="T28" s="625"/>
      <c r="U28" s="64"/>
      <c r="V28" s="625"/>
      <c r="W28" s="620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304">
        <v>2.83</v>
      </c>
      <c r="AJ28" s="304">
        <v>2.1000000000000001E-2</v>
      </c>
      <c r="AK28" s="304">
        <v>0.2</v>
      </c>
      <c r="AL28" s="51">
        <f t="shared" si="6"/>
        <v>7.954482082082083E-2</v>
      </c>
      <c r="AM28" s="11">
        <f t="shared" si="7"/>
        <v>1.6714296045565218</v>
      </c>
      <c r="AN28" s="11"/>
      <c r="AO28" s="11">
        <f t="shared" si="36"/>
        <v>0.88014227553846158</v>
      </c>
      <c r="AP28" s="11">
        <f t="shared" si="37"/>
        <v>3.4860228673835127</v>
      </c>
      <c r="AQ28" s="31">
        <f t="shared" si="38"/>
        <v>0.29762624827140732</v>
      </c>
      <c r="AR28" s="63"/>
      <c r="AS28" s="64"/>
      <c r="AT28" s="64"/>
      <c r="AU28" s="64"/>
      <c r="AV28" s="64"/>
      <c r="AW28" s="65"/>
      <c r="AX28" s="84"/>
      <c r="AY28" s="311"/>
      <c r="AZ28" s="85"/>
      <c r="BA28" s="86"/>
      <c r="BB28" s="86"/>
      <c r="BC28" s="501"/>
      <c r="BD28" s="501"/>
      <c r="BE28" s="501"/>
      <c r="BF28" s="264">
        <v>25.834191679466972</v>
      </c>
      <c r="BG28" s="674">
        <f t="shared" si="18"/>
        <v>2.5834191679466972E-2</v>
      </c>
      <c r="BH28" s="199">
        <v>0.69773791738013724</v>
      </c>
      <c r="BI28" s="261">
        <v>1554.3467802802804</v>
      </c>
      <c r="BJ28" s="679">
        <f t="shared" si="19"/>
        <v>1.5543467802802804</v>
      </c>
      <c r="BK28" s="203">
        <v>102.58688749849851</v>
      </c>
      <c r="BL28" s="261">
        <v>264932.23946236563</v>
      </c>
      <c r="BM28" s="203">
        <v>14041.408691505378</v>
      </c>
      <c r="BN28" s="341">
        <f t="shared" si="20"/>
        <v>21</v>
      </c>
      <c r="BO28" s="261">
        <v>10878.819825406381</v>
      </c>
      <c r="BP28" s="199">
        <v>467.78925249247436</v>
      </c>
      <c r="BQ28" s="261">
        <v>429.09610410410409</v>
      </c>
      <c r="BR28" s="679">
        <f t="shared" si="21"/>
        <v>0.42909610410410409</v>
      </c>
      <c r="BS28" s="207">
        <v>32.182207807807806</v>
      </c>
      <c r="BT28" s="261">
        <v>526.06588838838843</v>
      </c>
      <c r="BU28" s="695">
        <f t="shared" si="45"/>
        <v>0.52606588838838841</v>
      </c>
      <c r="BV28" s="203">
        <v>22.620833200700698</v>
      </c>
      <c r="BW28" s="262">
        <v>385.43359709709711</v>
      </c>
      <c r="BX28" s="695">
        <f t="shared" si="46"/>
        <v>0.38543359709709712</v>
      </c>
      <c r="BY28" s="203">
        <v>13.4901758983984</v>
      </c>
      <c r="BZ28" s="262">
        <v>6801.3491091091091</v>
      </c>
      <c r="CA28" s="207">
        <v>204.04047327327328</v>
      </c>
      <c r="CB28" s="341">
        <f t="shared" si="22"/>
        <v>200</v>
      </c>
      <c r="CC28" s="261">
        <v>555104.53914999997</v>
      </c>
      <c r="CD28" s="207">
        <v>8881.672626399999</v>
      </c>
      <c r="CE28" s="341">
        <f t="shared" si="23"/>
        <v>2830</v>
      </c>
      <c r="CF28" s="261">
        <v>268.95257504785087</v>
      </c>
      <c r="CG28" s="203">
        <v>6.6270490059167004</v>
      </c>
      <c r="CH28" s="262">
        <v>569.59100550550545</v>
      </c>
      <c r="CI28" s="203">
        <v>22.214049214714713</v>
      </c>
      <c r="CJ28" s="261">
        <v>376.7505560560561</v>
      </c>
      <c r="CK28" s="203">
        <v>16.953775022522525</v>
      </c>
      <c r="CL28" s="261">
        <v>1398.0520415415415</v>
      </c>
      <c r="CM28" s="207">
        <v>76.892862284784783</v>
      </c>
      <c r="CN28" s="262">
        <v>145.42513795679497</v>
      </c>
      <c r="CO28" s="685">
        <f t="shared" si="24"/>
        <v>0.14542513795679496</v>
      </c>
      <c r="CP28" s="199">
        <v>3.0968908880600852</v>
      </c>
      <c r="CQ28" s="264">
        <v>86.833825783043793</v>
      </c>
      <c r="CR28" s="686">
        <f t="shared" si="25"/>
        <v>8.6833825783043786E-2</v>
      </c>
      <c r="CS28" s="199">
        <v>2.4123616067988936</v>
      </c>
      <c r="CT28" s="264">
        <v>182.67214519259673</v>
      </c>
      <c r="CU28" s="685">
        <f t="shared" si="26"/>
        <v>0.18267214519259672</v>
      </c>
      <c r="CV28" s="199">
        <v>3.1422535070353792</v>
      </c>
      <c r="CW28" s="261">
        <v>434.56897324731159</v>
      </c>
      <c r="CX28" s="674">
        <f t="shared" si="27"/>
        <v>0.43456897324731159</v>
      </c>
      <c r="CY28" s="203">
        <v>6.0030640031903362</v>
      </c>
      <c r="CZ28" s="261">
        <v>648.50775825825826</v>
      </c>
      <c r="DA28" s="679">
        <f t="shared" si="28"/>
        <v>0.64850775825825824</v>
      </c>
      <c r="DB28" s="207">
        <v>15.564186198198197</v>
      </c>
      <c r="DC28" s="262">
        <v>181.5110786887752</v>
      </c>
      <c r="DD28" s="703">
        <f t="shared" si="43"/>
        <v>0.1815110786887752</v>
      </c>
      <c r="DE28" s="199">
        <v>3.5207283336682424</v>
      </c>
      <c r="DF28" s="263">
        <v>1.0578868795580767</v>
      </c>
      <c r="DG28" s="199">
        <v>3.2427703987297135E-2</v>
      </c>
      <c r="DH28" s="263">
        <v>15.386384028516309</v>
      </c>
      <c r="DI28" s="695">
        <f t="shared" si="47"/>
        <v>1.5386384028516309E-2</v>
      </c>
      <c r="DJ28" s="199">
        <v>0.25559215317014178</v>
      </c>
      <c r="DK28" s="263">
        <v>2.7438377823096527</v>
      </c>
      <c r="DL28" s="695">
        <f t="shared" si="48"/>
        <v>2.7438377823096527E-3</v>
      </c>
      <c r="DM28" s="199">
        <v>8.471631800023309E-2</v>
      </c>
      <c r="DN28" s="263">
        <v>9.7417634063890421</v>
      </c>
      <c r="DO28" s="674">
        <f t="shared" si="29"/>
        <v>9.7417634063890427E-3</v>
      </c>
      <c r="DP28" s="199">
        <v>0.25626321076001402</v>
      </c>
      <c r="DQ28" s="265" t="s">
        <v>118</v>
      </c>
      <c r="DR28" s="199"/>
      <c r="DS28" s="259">
        <v>39.889403048401498</v>
      </c>
      <c r="DT28" s="692">
        <f t="shared" si="30"/>
        <v>3.9889403048401495E-2</v>
      </c>
      <c r="DU28" s="199">
        <v>0.9542214816050455</v>
      </c>
      <c r="DV28" s="267">
        <v>2432.3231326326327</v>
      </c>
      <c r="DW28" s="674">
        <f t="shared" si="31"/>
        <v>2.4323231326326327</v>
      </c>
      <c r="DX28" s="203">
        <v>92.428279040040039</v>
      </c>
      <c r="DY28" s="265" t="s">
        <v>119</v>
      </c>
      <c r="DZ28" s="199"/>
      <c r="EA28" s="260" t="s">
        <v>115</v>
      </c>
      <c r="EB28" s="199"/>
      <c r="EC28" s="265" t="s">
        <v>117</v>
      </c>
      <c r="ED28" s="199"/>
      <c r="EE28" s="263">
        <v>2.705880632816263</v>
      </c>
      <c r="EF28" s="199">
        <v>5.1502830655015014E-2</v>
      </c>
      <c r="EG28" s="262">
        <v>309.8215519136528</v>
      </c>
      <c r="EH28" s="693">
        <f t="shared" si="32"/>
        <v>0.30982155191365279</v>
      </c>
      <c r="EI28" s="203">
        <v>5.616808348524172</v>
      </c>
      <c r="EJ28" s="263">
        <v>2.9269025772134891</v>
      </c>
      <c r="EK28" s="708">
        <f t="shared" si="49"/>
        <v>2.9269025772134891E-3</v>
      </c>
      <c r="EL28" s="199">
        <v>6.374441461282386E-2</v>
      </c>
      <c r="EM28" s="263">
        <v>22.353877273038549</v>
      </c>
      <c r="EN28" s="708">
        <f t="shared" si="50"/>
        <v>2.2353877273038548E-2</v>
      </c>
      <c r="EO28" s="199">
        <v>0.51253147441443581</v>
      </c>
    </row>
    <row r="29" spans="1:145" ht="15.75" thickBot="1" x14ac:dyDescent="0.3">
      <c r="A29" s="15" t="s">
        <v>175</v>
      </c>
      <c r="B29" s="14">
        <v>0.34151456091966914</v>
      </c>
      <c r="C29" s="191">
        <v>1.0846142084458913E-2</v>
      </c>
      <c r="D29" s="21">
        <v>26.271172194430878</v>
      </c>
      <c r="E29" s="212">
        <v>2.3999999999999998E-3</v>
      </c>
      <c r="F29" s="212"/>
      <c r="G29" s="212"/>
      <c r="H29" s="3">
        <v>29.673897499999995</v>
      </c>
      <c r="I29" s="3">
        <v>0.32641287250000001</v>
      </c>
      <c r="J29" s="3">
        <v>19.975104685393259</v>
      </c>
      <c r="K29" s="193">
        <v>0.45942740776404495</v>
      </c>
      <c r="L29" s="6">
        <v>2.5369872762500001</v>
      </c>
      <c r="M29" s="195">
        <v>4.5665770972500005E-2</v>
      </c>
      <c r="N29" s="61"/>
      <c r="O29" s="148"/>
      <c r="P29" s="40"/>
      <c r="Q29" s="40"/>
      <c r="R29" s="40"/>
      <c r="S29" s="40"/>
      <c r="T29" s="624"/>
      <c r="U29" s="40"/>
      <c r="V29" s="624"/>
      <c r="W29" s="619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99">
        <v>0.36</v>
      </c>
      <c r="AJ29" s="99">
        <v>3.5999999999999997E-2</v>
      </c>
      <c r="AK29" s="99">
        <v>0</v>
      </c>
      <c r="AL29" s="66">
        <f t="shared" si="6"/>
        <v>4.878779441709559E-2</v>
      </c>
      <c r="AM29" s="3">
        <f t="shared" si="7"/>
        <v>1.1422248780187338</v>
      </c>
      <c r="AN29" s="3"/>
      <c r="AO29" s="3">
        <f t="shared" si="36"/>
        <v>0.7608691666666666</v>
      </c>
      <c r="AP29" s="3">
        <f t="shared" si="37"/>
        <v>1.6440415378924491</v>
      </c>
      <c r="AQ29" s="6">
        <f t="shared" si="38"/>
        <v>0.12662776522335911</v>
      </c>
      <c r="AR29" s="61"/>
      <c r="AS29" s="40"/>
      <c r="AT29" s="40"/>
      <c r="AU29" s="40"/>
      <c r="AV29" s="40"/>
      <c r="AW29" s="41"/>
      <c r="AX29" s="75"/>
      <c r="AY29" s="308"/>
      <c r="AZ29" s="76"/>
      <c r="BA29" s="77"/>
      <c r="BB29" s="77"/>
      <c r="BC29" s="502"/>
      <c r="BD29" s="502"/>
      <c r="BE29" s="502"/>
      <c r="BF29" s="44">
        <v>18.374701211634356</v>
      </c>
      <c r="BG29" s="674">
        <f t="shared" si="18"/>
        <v>1.8374701211634356E-2</v>
      </c>
      <c r="BH29" s="6">
        <v>0.51126852163712977</v>
      </c>
      <c r="BI29" s="248">
        <v>1608.0642144888157</v>
      </c>
      <c r="BJ29" s="679">
        <f t="shared" si="19"/>
        <v>1.6080642144888158</v>
      </c>
      <c r="BK29" s="201">
        <v>51.458054863642104</v>
      </c>
      <c r="BL29" s="248">
        <v>176356.35066</v>
      </c>
      <c r="BM29" s="201">
        <v>4408.9087664999997</v>
      </c>
      <c r="BN29" s="339">
        <f t="shared" si="20"/>
        <v>36</v>
      </c>
      <c r="BO29" s="248">
        <v>10278.475295217477</v>
      </c>
      <c r="BP29" s="6">
        <v>452.25291298956904</v>
      </c>
      <c r="BQ29" s="248">
        <v>189.31046731066508</v>
      </c>
      <c r="BR29" s="679">
        <f t="shared" si="21"/>
        <v>0.18931046731066509</v>
      </c>
      <c r="BS29" s="208">
        <v>5.9169774783562925</v>
      </c>
      <c r="BT29" s="248">
        <v>439.94254287248827</v>
      </c>
      <c r="BU29" s="695">
        <f t="shared" si="45"/>
        <v>0.4399425428724883</v>
      </c>
      <c r="BV29" s="201">
        <v>23.316954772241878</v>
      </c>
      <c r="BW29" s="248">
        <v>369.34256257108552</v>
      </c>
      <c r="BX29" s="695">
        <f t="shared" si="46"/>
        <v>0.3693425625710855</v>
      </c>
      <c r="BY29" s="201">
        <v>14.77370250284342</v>
      </c>
      <c r="BZ29" s="248">
        <v>4757.7323878847101</v>
      </c>
      <c r="CA29" s="208">
        <v>157.00516880019543</v>
      </c>
      <c r="CB29" s="339">
        <f t="shared" si="22"/>
        <v>0</v>
      </c>
      <c r="CC29" s="248">
        <v>827998.49959999998</v>
      </c>
      <c r="CD29" s="208">
        <v>31463.9429848</v>
      </c>
      <c r="CE29" s="339">
        <f t="shared" si="23"/>
        <v>360</v>
      </c>
      <c r="CF29" s="248">
        <v>132.10056987390806</v>
      </c>
      <c r="CG29" s="201">
        <v>9.411783771433722</v>
      </c>
      <c r="CH29" s="248">
        <v>307.89194850246429</v>
      </c>
      <c r="CI29" s="201">
        <v>12.007785991596107</v>
      </c>
      <c r="CJ29" s="248">
        <v>700.40764727347403</v>
      </c>
      <c r="CK29" s="201">
        <v>22.413044712751169</v>
      </c>
      <c r="CL29" s="248">
        <v>2339.2885095261358</v>
      </c>
      <c r="CM29" s="208">
        <v>77.196520814362472</v>
      </c>
      <c r="CN29" s="248">
        <v>124.00706280378634</v>
      </c>
      <c r="CO29" s="685">
        <f t="shared" si="24"/>
        <v>0.12400706280378634</v>
      </c>
      <c r="CP29" s="6">
        <v>4.1841927851948295</v>
      </c>
      <c r="CQ29" s="44">
        <v>66.9998841607363</v>
      </c>
      <c r="CR29" s="686">
        <f t="shared" si="25"/>
        <v>6.6999884160736295E-2</v>
      </c>
      <c r="CS29" s="6">
        <v>1.929518903460963</v>
      </c>
      <c r="CT29" s="44">
        <v>245.18555351394488</v>
      </c>
      <c r="CU29" s="685">
        <f t="shared" si="26"/>
        <v>0.24518555351394489</v>
      </c>
      <c r="CV29" s="6">
        <v>6.3286356580275314</v>
      </c>
      <c r="CW29" s="248">
        <v>330.97061258616441</v>
      </c>
      <c r="CX29" s="674">
        <f t="shared" si="27"/>
        <v>0.33097061258616439</v>
      </c>
      <c r="CY29" s="201">
        <v>15.564628497519946</v>
      </c>
      <c r="CZ29" s="248">
        <v>248.32641937318337</v>
      </c>
      <c r="DA29" s="679">
        <f t="shared" si="28"/>
        <v>0.24832641937318337</v>
      </c>
      <c r="DB29" s="208">
        <v>8.1947718393150506</v>
      </c>
      <c r="DC29" s="248">
        <v>202.73663411623431</v>
      </c>
      <c r="DD29" s="703">
        <f t="shared" si="43"/>
        <v>0.20273663411623433</v>
      </c>
      <c r="DE29" s="6">
        <v>8.9953845877306371</v>
      </c>
      <c r="DF29" s="249" t="s">
        <v>117</v>
      </c>
      <c r="DG29" s="6"/>
      <c r="DH29" s="245">
        <v>23.121682019324581</v>
      </c>
      <c r="DI29" s="695">
        <f t="shared" si="47"/>
        <v>2.3121682019324581E-2</v>
      </c>
      <c r="DJ29" s="6">
        <v>0.78095781844570511</v>
      </c>
      <c r="DK29" s="245">
        <v>4.098214033968846</v>
      </c>
      <c r="DL29" s="695">
        <f t="shared" si="48"/>
        <v>4.0982140339688462E-3</v>
      </c>
      <c r="DM29" s="6">
        <v>0.17311812443215441</v>
      </c>
      <c r="DN29" s="245">
        <v>21.505725701108645</v>
      </c>
      <c r="DO29" s="674">
        <f t="shared" si="29"/>
        <v>2.1505725701108643E-2</v>
      </c>
      <c r="DP29" s="6">
        <v>0.6030305770258404</v>
      </c>
      <c r="DQ29" s="249" t="s">
        <v>118</v>
      </c>
      <c r="DR29" s="6"/>
      <c r="DS29" s="250">
        <v>58.072233104266267</v>
      </c>
      <c r="DT29" s="692">
        <f t="shared" si="30"/>
        <v>5.807223310426627E-2</v>
      </c>
      <c r="DU29" s="6">
        <v>1.9638786927282006</v>
      </c>
      <c r="DV29" s="247">
        <v>763.20700412296219</v>
      </c>
      <c r="DW29" s="674">
        <f t="shared" si="31"/>
        <v>0.76320700412296216</v>
      </c>
      <c r="DX29" s="201">
        <v>25.949038140180715</v>
      </c>
      <c r="DY29" s="249" t="s">
        <v>119</v>
      </c>
      <c r="DZ29" s="6"/>
      <c r="EA29" s="246" t="s">
        <v>115</v>
      </c>
      <c r="EB29" s="6"/>
      <c r="EC29" s="249" t="s">
        <v>117</v>
      </c>
      <c r="ED29" s="6"/>
      <c r="EE29" s="245">
        <v>2.7786292052859984</v>
      </c>
      <c r="EF29" s="6">
        <v>7.2569142580464138E-2</v>
      </c>
      <c r="EG29" s="248">
        <v>214.87081180386753</v>
      </c>
      <c r="EH29" s="693">
        <f t="shared" si="32"/>
        <v>0.21487081180386752</v>
      </c>
      <c r="EI29" s="201">
        <v>4.7244164869114851</v>
      </c>
      <c r="EJ29" s="245">
        <v>2.9232481643391761</v>
      </c>
      <c r="EK29" s="708">
        <f t="shared" si="49"/>
        <v>2.9232481643391762E-3</v>
      </c>
      <c r="EL29" s="6">
        <v>7.3536055178195656E-2</v>
      </c>
      <c r="EM29" s="245">
        <v>14.794882477670992</v>
      </c>
      <c r="EN29" s="708">
        <f t="shared" si="50"/>
        <v>1.4794882477670992E-2</v>
      </c>
      <c r="EO29" s="6">
        <v>0.44712160086615571</v>
      </c>
    </row>
    <row r="30" spans="1:145" ht="15.75" thickBot="1" x14ac:dyDescent="0.3">
      <c r="A30" s="16" t="s">
        <v>176</v>
      </c>
      <c r="B30" s="12">
        <v>0.24514579764270178</v>
      </c>
      <c r="C30" s="189">
        <v>6.0643044143769542E-3</v>
      </c>
      <c r="D30" s="22">
        <v>11.256753694581283</v>
      </c>
      <c r="E30" s="210">
        <v>3.0000000000000001E-3</v>
      </c>
      <c r="F30" s="210"/>
      <c r="G30" s="210"/>
      <c r="H30" s="7">
        <v>21.7287599824</v>
      </c>
      <c r="I30" s="7">
        <v>0.30420263975359996</v>
      </c>
      <c r="J30" s="7">
        <v>19.763906896551724</v>
      </c>
      <c r="K30" s="93">
        <v>0.23716688275862072</v>
      </c>
      <c r="L30" s="10">
        <v>0.78061408560000012</v>
      </c>
      <c r="M30" s="160">
        <v>4.6836845136000007E-3</v>
      </c>
      <c r="N30" s="62"/>
      <c r="O30" s="149"/>
      <c r="P30" s="42"/>
      <c r="Q30" s="42"/>
      <c r="R30" s="42"/>
      <c r="S30" s="42"/>
      <c r="T30" s="354"/>
      <c r="U30" s="42"/>
      <c r="V30" s="354"/>
      <c r="W30" s="16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100">
        <v>0.26</v>
      </c>
      <c r="AJ30" s="100">
        <v>3.9E-2</v>
      </c>
      <c r="AK30" s="100">
        <v>0.2</v>
      </c>
      <c r="AL30" s="67">
        <f t="shared" si="6"/>
        <v>3.5020828234671682E-2</v>
      </c>
      <c r="AM30" s="7">
        <f t="shared" si="7"/>
        <v>0.48942407367744706</v>
      </c>
      <c r="AN30" s="7"/>
      <c r="AO30" s="7">
        <f t="shared" si="36"/>
        <v>0.55714769185641022</v>
      </c>
      <c r="AP30" s="7">
        <f t="shared" si="37"/>
        <v>1.6266590038314175</v>
      </c>
      <c r="AQ30" s="10">
        <f t="shared" si="38"/>
        <v>3.8962519870227107E-2</v>
      </c>
      <c r="AR30" s="62"/>
      <c r="AS30" s="42"/>
      <c r="AT30" s="42"/>
      <c r="AU30" s="42"/>
      <c r="AV30" s="42"/>
      <c r="AW30" s="43"/>
      <c r="AX30" s="78"/>
      <c r="AY30" s="309"/>
      <c r="AZ30" s="79"/>
      <c r="BA30" s="80"/>
      <c r="BB30" s="80"/>
      <c r="BC30" s="499"/>
      <c r="BD30" s="499"/>
      <c r="BE30" s="499"/>
      <c r="BF30" s="47">
        <v>12.478800281189077</v>
      </c>
      <c r="BG30" s="674">
        <f t="shared" si="18"/>
        <v>1.2478800281189077E-2</v>
      </c>
      <c r="BH30" s="111">
        <v>1.2102342563139628</v>
      </c>
      <c r="BI30" s="258">
        <v>1490.9814005819594</v>
      </c>
      <c r="BJ30" s="679">
        <f t="shared" si="19"/>
        <v>1.4909814005819595</v>
      </c>
      <c r="BK30" s="202">
        <v>31.310609412221147</v>
      </c>
      <c r="BL30" s="253">
        <v>129733.16364532022</v>
      </c>
      <c r="BM30" s="202">
        <v>3373.062254778326</v>
      </c>
      <c r="BN30" s="337">
        <f t="shared" si="20"/>
        <v>39</v>
      </c>
      <c r="BO30" s="253">
        <v>9361.2282180859438</v>
      </c>
      <c r="BP30" s="111">
        <v>552.31246486707073</v>
      </c>
      <c r="BQ30" s="253">
        <v>286.86252570320084</v>
      </c>
      <c r="BR30" s="679">
        <f t="shared" si="21"/>
        <v>0.28686252570320087</v>
      </c>
      <c r="BS30" s="206">
        <v>5.4503879883608155</v>
      </c>
      <c r="BT30" s="253">
        <v>410.31684966052387</v>
      </c>
      <c r="BU30" s="695">
        <f t="shared" si="45"/>
        <v>0.4103168496605239</v>
      </c>
      <c r="BV30" s="202">
        <v>9.4372875421920472</v>
      </c>
      <c r="BW30" s="266">
        <v>331.22337148399617</v>
      </c>
      <c r="BX30" s="695">
        <f t="shared" si="46"/>
        <v>0.33122337148399617</v>
      </c>
      <c r="BY30" s="202">
        <v>6.2932440581959268</v>
      </c>
      <c r="BZ30" s="253">
        <v>5723.3094343006196</v>
      </c>
      <c r="CA30" s="206">
        <v>160.25266416041734</v>
      </c>
      <c r="CB30" s="337">
        <f t="shared" si="22"/>
        <v>200</v>
      </c>
      <c r="CC30" s="266">
        <v>1108519.89304</v>
      </c>
      <c r="CD30" s="206">
        <v>18844.838181679999</v>
      </c>
      <c r="CE30" s="337">
        <f t="shared" si="23"/>
        <v>260</v>
      </c>
      <c r="CF30" s="253">
        <v>182.02315977935788</v>
      </c>
      <c r="CG30" s="202">
        <v>7.1458004782571516</v>
      </c>
      <c r="CH30" s="266">
        <v>326.98419398642096</v>
      </c>
      <c r="CI30" s="202">
        <v>6.8666680737148411</v>
      </c>
      <c r="CJ30" s="266">
        <v>317.81987196896222</v>
      </c>
      <c r="CK30" s="202">
        <v>8.5811365431619802</v>
      </c>
      <c r="CL30" s="253">
        <v>1192.151384088686</v>
      </c>
      <c r="CM30" s="206">
        <v>22.650876297685031</v>
      </c>
      <c r="CN30" s="253">
        <v>109.11712164129642</v>
      </c>
      <c r="CO30" s="685">
        <f t="shared" si="24"/>
        <v>0.10911712164129642</v>
      </c>
      <c r="CP30" s="111">
        <v>5.0572863069369394</v>
      </c>
      <c r="CQ30" s="47">
        <v>54.872248914722888</v>
      </c>
      <c r="CR30" s="686">
        <f t="shared" si="25"/>
        <v>5.4872248914722886E-2</v>
      </c>
      <c r="CS30" s="111">
        <v>2.9108207331801088</v>
      </c>
      <c r="CT30" s="47">
        <v>180.96274751214602</v>
      </c>
      <c r="CU30" s="685">
        <f t="shared" si="26"/>
        <v>0.18096274751214603</v>
      </c>
      <c r="CV30" s="111">
        <v>6.591582276453706</v>
      </c>
      <c r="CW30" s="253">
        <v>249.53768282272964</v>
      </c>
      <c r="CX30" s="674">
        <f t="shared" si="27"/>
        <v>0.24953768282272965</v>
      </c>
      <c r="CY30" s="202">
        <v>7.4865611327178634</v>
      </c>
      <c r="CZ30" s="258">
        <v>226.67258897610344</v>
      </c>
      <c r="DA30" s="679">
        <f t="shared" si="28"/>
        <v>0.22667258897610343</v>
      </c>
      <c r="DB30" s="206">
        <v>15.089705679911809</v>
      </c>
      <c r="DC30" s="266">
        <v>189.1336418284009</v>
      </c>
      <c r="DD30" s="703">
        <f t="shared" si="43"/>
        <v>0.18913364182840089</v>
      </c>
      <c r="DE30" s="111">
        <v>0.79235345979494698</v>
      </c>
      <c r="DF30" s="255" t="s">
        <v>117</v>
      </c>
      <c r="DG30" s="111"/>
      <c r="DH30" s="256">
        <v>21.121788951741056</v>
      </c>
      <c r="DI30" s="695">
        <f t="shared" si="47"/>
        <v>2.1121788951741056E-2</v>
      </c>
      <c r="DJ30" s="111">
        <v>0.93453119404032237</v>
      </c>
      <c r="DK30" s="256">
        <v>13.660695973644259</v>
      </c>
      <c r="DL30" s="695">
        <f t="shared" si="48"/>
        <v>1.3660695973644259E-2</v>
      </c>
      <c r="DM30" s="111">
        <v>0.47747937171736704</v>
      </c>
      <c r="DN30" s="256">
        <v>5.8301577234103101</v>
      </c>
      <c r="DO30" s="674">
        <f t="shared" si="29"/>
        <v>5.8301577234103098E-3</v>
      </c>
      <c r="DP30" s="111">
        <v>0.23116249311395479</v>
      </c>
      <c r="DQ30" s="255" t="s">
        <v>118</v>
      </c>
      <c r="DR30" s="111"/>
      <c r="DS30" s="37">
        <v>27.375070422704511</v>
      </c>
      <c r="DT30" s="692">
        <f t="shared" si="30"/>
        <v>2.7375070422704512E-2</v>
      </c>
      <c r="DU30" s="111">
        <v>1.0198240625372896</v>
      </c>
      <c r="DV30" s="258">
        <v>608.78787577437231</v>
      </c>
      <c r="DW30" s="674">
        <f t="shared" si="31"/>
        <v>0.60878787577437232</v>
      </c>
      <c r="DX30" s="202">
        <v>13.393333267036191</v>
      </c>
      <c r="DY30" s="255" t="s">
        <v>119</v>
      </c>
      <c r="DZ30" s="111"/>
      <c r="EA30" s="254" t="s">
        <v>115</v>
      </c>
      <c r="EB30" s="111"/>
      <c r="EC30" s="255" t="s">
        <v>117</v>
      </c>
      <c r="ED30" s="111"/>
      <c r="EE30" s="256">
        <v>2.0921224796645119</v>
      </c>
      <c r="EF30" s="111">
        <v>4.6275512925646224E-2</v>
      </c>
      <c r="EG30" s="266">
        <v>165.55731224805007</v>
      </c>
      <c r="EH30" s="693">
        <f t="shared" si="32"/>
        <v>0.16555731224805006</v>
      </c>
      <c r="EI30" s="202">
        <v>5.2025796388100947</v>
      </c>
      <c r="EJ30" s="256">
        <v>2.6731793121405132</v>
      </c>
      <c r="EK30" s="708">
        <f t="shared" si="49"/>
        <v>2.673179312140513E-3</v>
      </c>
      <c r="EL30" s="111">
        <v>9.8060061493083411E-2</v>
      </c>
      <c r="EM30" s="256">
        <v>8.529479890010597</v>
      </c>
      <c r="EN30" s="708">
        <f t="shared" si="50"/>
        <v>8.5294798900105977E-3</v>
      </c>
      <c r="EO30" s="111">
        <v>0.25480311849926823</v>
      </c>
    </row>
    <row r="31" spans="1:145" ht="15.75" thickBot="1" x14ac:dyDescent="0.3">
      <c r="A31" s="16" t="s">
        <v>177</v>
      </c>
      <c r="B31" s="12">
        <v>0.22136177174928243</v>
      </c>
      <c r="C31" s="189">
        <v>9.3019669105000209E-3</v>
      </c>
      <c r="D31" s="22">
        <v>14.217001212328768</v>
      </c>
      <c r="E31" s="210">
        <v>4.0999999999999995E-3</v>
      </c>
      <c r="F31" s="210"/>
      <c r="G31" s="210"/>
      <c r="H31" s="7">
        <v>18.003928799999997</v>
      </c>
      <c r="I31" s="7">
        <v>9.0019643999999982E-2</v>
      </c>
      <c r="J31" s="7">
        <v>19.442879611650486</v>
      </c>
      <c r="K31" s="93">
        <v>0.62217214757281558</v>
      </c>
      <c r="L31" s="10">
        <v>0.90650483466666687</v>
      </c>
      <c r="M31" s="160">
        <v>2.8101649874666672E-2</v>
      </c>
      <c r="N31" s="62"/>
      <c r="O31" s="149"/>
      <c r="P31" s="42"/>
      <c r="Q31" s="42"/>
      <c r="R31" s="42"/>
      <c r="S31" s="42"/>
      <c r="T31" s="354"/>
      <c r="U31" s="42"/>
      <c r="V31" s="354"/>
      <c r="W31" s="16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100">
        <v>0.34</v>
      </c>
      <c r="AJ31" s="100">
        <v>4.2000000000000003E-2</v>
      </c>
      <c r="AK31" s="100">
        <v>0.1</v>
      </c>
      <c r="AL31" s="67">
        <f t="shared" si="6"/>
        <v>3.1623110249897488E-2</v>
      </c>
      <c r="AM31" s="7">
        <f t="shared" si="7"/>
        <v>0.61813048749255517</v>
      </c>
      <c r="AN31" s="7"/>
      <c r="AO31" s="7">
        <f t="shared" si="36"/>
        <v>0.46163919999999992</v>
      </c>
      <c r="AP31" s="7">
        <f t="shared" si="37"/>
        <v>1.6002370050741141</v>
      </c>
      <c r="AQ31" s="10">
        <f t="shared" si="38"/>
        <v>4.524606112636221E-2</v>
      </c>
      <c r="AR31" s="62"/>
      <c r="AS31" s="42"/>
      <c r="AT31" s="42"/>
      <c r="AU31" s="42"/>
      <c r="AV31" s="42"/>
      <c r="AW31" s="43"/>
      <c r="AX31" s="78"/>
      <c r="AY31" s="309"/>
      <c r="AZ31" s="79"/>
      <c r="BA31" s="80"/>
      <c r="BB31" s="80"/>
      <c r="BC31" s="499"/>
      <c r="BD31" s="499"/>
      <c r="BE31" s="499"/>
      <c r="BF31" s="47">
        <v>12.603662770541554</v>
      </c>
      <c r="BG31" s="674">
        <f t="shared" si="18"/>
        <v>1.2603662770541554E-2</v>
      </c>
      <c r="BH31" s="111">
        <v>0.87501541687736983</v>
      </c>
      <c r="BI31" s="253">
        <v>1614.6955951717734</v>
      </c>
      <c r="BJ31" s="679">
        <f t="shared" si="19"/>
        <v>1.6146955951717734</v>
      </c>
      <c r="BK31" s="202">
        <v>51.670259045496749</v>
      </c>
      <c r="BL31" s="253">
        <v>110173.88737864078</v>
      </c>
      <c r="BM31" s="202">
        <v>3084.8688466019416</v>
      </c>
      <c r="BN31" s="337">
        <f t="shared" si="20"/>
        <v>42</v>
      </c>
      <c r="BO31" s="253">
        <v>7287.4540526152887</v>
      </c>
      <c r="BP31" s="111">
        <v>306.07307020984217</v>
      </c>
      <c r="BQ31" s="253">
        <v>462.27856019808104</v>
      </c>
      <c r="BR31" s="679">
        <f t="shared" si="21"/>
        <v>0.46227856019808106</v>
      </c>
      <c r="BS31" s="206">
        <v>13.868356805942431</v>
      </c>
      <c r="BT31" s="253">
        <v>371.19218322500774</v>
      </c>
      <c r="BU31" s="695">
        <f t="shared" si="45"/>
        <v>0.37119218322500774</v>
      </c>
      <c r="BV31" s="202">
        <v>8.1662280309501707</v>
      </c>
      <c r="BW31" s="266">
        <v>311.57171835345093</v>
      </c>
      <c r="BX31" s="695">
        <f t="shared" si="46"/>
        <v>0.31157171835345093</v>
      </c>
      <c r="BY31" s="202">
        <v>8.724008113896625</v>
      </c>
      <c r="BZ31" s="253">
        <v>5263.6660626223093</v>
      </c>
      <c r="CA31" s="206">
        <v>157.90998187866927</v>
      </c>
      <c r="CB31" s="337">
        <f t="shared" si="22"/>
        <v>100</v>
      </c>
      <c r="CC31" s="258">
        <v>765033.86400000006</v>
      </c>
      <c r="CD31" s="206">
        <v>3825.1693200000004</v>
      </c>
      <c r="CE31" s="337">
        <f t="shared" si="23"/>
        <v>340</v>
      </c>
      <c r="CF31" s="253">
        <v>161.20259423651035</v>
      </c>
      <c r="CG31" s="202">
        <v>3.6499898086397273</v>
      </c>
      <c r="CH31" s="266">
        <v>309.07620117610645</v>
      </c>
      <c r="CI31" s="202">
        <v>15.144733857629216</v>
      </c>
      <c r="CJ31" s="266">
        <v>337.4227168059424</v>
      </c>
      <c r="CK31" s="202">
        <v>16.871135840297121</v>
      </c>
      <c r="CL31" s="253">
        <v>1203.0952299597648</v>
      </c>
      <c r="CM31" s="206">
        <v>44.514523508511303</v>
      </c>
      <c r="CN31" s="253">
        <v>103.5764976369849</v>
      </c>
      <c r="CO31" s="685">
        <f t="shared" si="24"/>
        <v>0.1035764976369849</v>
      </c>
      <c r="CP31" s="111">
        <v>2.3818561561685989</v>
      </c>
      <c r="CQ31" s="47">
        <v>51.615629387159366</v>
      </c>
      <c r="CR31" s="686">
        <f t="shared" si="25"/>
        <v>5.1615629387159363E-2</v>
      </c>
      <c r="CS31" s="111">
        <v>2.1456675700021766</v>
      </c>
      <c r="CT31" s="47">
        <v>174.24660206843518</v>
      </c>
      <c r="CU31" s="685">
        <f t="shared" si="26"/>
        <v>0.17424660206843517</v>
      </c>
      <c r="CV31" s="111">
        <v>2.2930712534369828</v>
      </c>
      <c r="CW31" s="253">
        <v>238.2753942221093</v>
      </c>
      <c r="CX31" s="674">
        <f t="shared" si="27"/>
        <v>0.2382753942221093</v>
      </c>
      <c r="CY31" s="202">
        <v>2.8089649573297453</v>
      </c>
      <c r="CZ31" s="258">
        <v>212.85481770349733</v>
      </c>
      <c r="DA31" s="679">
        <f t="shared" si="28"/>
        <v>0.21285481770349735</v>
      </c>
      <c r="DB31" s="206">
        <v>7.23706380191891</v>
      </c>
      <c r="DC31" s="266">
        <v>178.0532555149428</v>
      </c>
      <c r="DD31" s="703">
        <f t="shared" si="43"/>
        <v>0.1780532555149428</v>
      </c>
      <c r="DE31" s="111">
        <v>2.4077882465203899</v>
      </c>
      <c r="DF31" s="255" t="s">
        <v>117</v>
      </c>
      <c r="DG31" s="111"/>
      <c r="DH31" s="256">
        <v>22.015124831357582</v>
      </c>
      <c r="DI31" s="695">
        <f t="shared" si="47"/>
        <v>2.201512483135758E-2</v>
      </c>
      <c r="DJ31" s="111">
        <v>0.25985072767164552</v>
      </c>
      <c r="DK31" s="256">
        <v>2.8561831881938664</v>
      </c>
      <c r="DL31" s="695">
        <f t="shared" si="48"/>
        <v>2.8561831881938663E-3</v>
      </c>
      <c r="DM31" s="111">
        <v>8.5334249704122622E-2</v>
      </c>
      <c r="DN31" s="256">
        <v>7.5865751242114197</v>
      </c>
      <c r="DO31" s="674">
        <f t="shared" si="29"/>
        <v>7.5865751242114197E-3</v>
      </c>
      <c r="DP31" s="111">
        <v>0.19761228512270163</v>
      </c>
      <c r="DQ31" s="255" t="s">
        <v>118</v>
      </c>
      <c r="DR31" s="111"/>
      <c r="DS31" s="37">
        <v>25.803971313515689</v>
      </c>
      <c r="DT31" s="692">
        <f t="shared" si="30"/>
        <v>2.5803971313515688E-2</v>
      </c>
      <c r="DU31" s="111">
        <v>0.52860657840363967</v>
      </c>
      <c r="DV31" s="258">
        <v>662.84775487465174</v>
      </c>
      <c r="DW31" s="674">
        <f t="shared" si="31"/>
        <v>0.66284775487465175</v>
      </c>
      <c r="DX31" s="202">
        <v>22.536823665738158</v>
      </c>
      <c r="DY31" s="255" t="s">
        <v>119</v>
      </c>
      <c r="DZ31" s="111"/>
      <c r="EA31" s="254" t="s">
        <v>115</v>
      </c>
      <c r="EB31" s="111"/>
      <c r="EC31" s="255" t="s">
        <v>117</v>
      </c>
      <c r="ED31" s="111"/>
      <c r="EE31" s="256">
        <v>2.2681323240494971</v>
      </c>
      <c r="EF31" s="111">
        <v>9.0014195880803533E-2</v>
      </c>
      <c r="EG31" s="266">
        <v>169.07026437816344</v>
      </c>
      <c r="EH31" s="693">
        <f t="shared" si="32"/>
        <v>0.16907026437816344</v>
      </c>
      <c r="EI31" s="202">
        <v>2.183722811511251</v>
      </c>
      <c r="EJ31" s="256">
        <v>2.481185979987365</v>
      </c>
      <c r="EK31" s="708">
        <f t="shared" si="49"/>
        <v>2.481185979987365E-3</v>
      </c>
      <c r="EL31" s="111">
        <v>3.8490002287411493E-2</v>
      </c>
      <c r="EM31" s="256">
        <v>9.0853670838758891</v>
      </c>
      <c r="EN31" s="708">
        <f t="shared" si="50"/>
        <v>9.0853670838758893E-3</v>
      </c>
      <c r="EO31" s="111">
        <v>0.12100433060809854</v>
      </c>
    </row>
    <row r="32" spans="1:145" ht="15.75" thickBot="1" x14ac:dyDescent="0.3">
      <c r="A32" s="16" t="s">
        <v>178</v>
      </c>
      <c r="B32" s="12">
        <v>0.29119309753788114</v>
      </c>
      <c r="C32" s="189">
        <v>1.1282638516844207E-2</v>
      </c>
      <c r="D32" s="22">
        <v>30.93761875971223</v>
      </c>
      <c r="E32" s="210">
        <v>4.5999999999999999E-3</v>
      </c>
      <c r="F32" s="210"/>
      <c r="G32" s="210"/>
      <c r="H32" s="7">
        <v>21.239701637</v>
      </c>
      <c r="I32" s="7">
        <v>0.42479403273999999</v>
      </c>
      <c r="J32" s="7">
        <v>22.744323925179859</v>
      </c>
      <c r="K32" s="93">
        <v>0.63684106990503597</v>
      </c>
      <c r="L32" s="10">
        <v>1.3445040763428571</v>
      </c>
      <c r="M32" s="160">
        <v>3.4957105984914284E-2</v>
      </c>
      <c r="N32" s="62"/>
      <c r="O32" s="149"/>
      <c r="P32" s="42"/>
      <c r="Q32" s="42"/>
      <c r="R32" s="42"/>
      <c r="S32" s="42"/>
      <c r="T32" s="354"/>
      <c r="U32" s="42"/>
      <c r="V32" s="354"/>
      <c r="W32" s="16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100">
        <v>1.55</v>
      </c>
      <c r="AJ32" s="100">
        <v>3.3000000000000002E-2</v>
      </c>
      <c r="AK32" s="100">
        <v>0.2</v>
      </c>
      <c r="AL32" s="67">
        <f t="shared" si="6"/>
        <v>4.159901393398302E-2</v>
      </c>
      <c r="AM32" s="7">
        <f t="shared" si="7"/>
        <v>1.345113859117923</v>
      </c>
      <c r="AN32" s="7"/>
      <c r="AO32" s="7">
        <f t="shared" si="36"/>
        <v>0.54460773428205123</v>
      </c>
      <c r="AP32" s="7">
        <f t="shared" si="37"/>
        <v>1.8719608168872313</v>
      </c>
      <c r="AQ32" s="10">
        <f t="shared" si="38"/>
        <v>6.710776522799386E-2</v>
      </c>
      <c r="AR32" s="62"/>
      <c r="AS32" s="42"/>
      <c r="AT32" s="42"/>
      <c r="AU32" s="42"/>
      <c r="AV32" s="42"/>
      <c r="AW32" s="43"/>
      <c r="AX32" s="81"/>
      <c r="AY32" s="310"/>
      <c r="AZ32" s="82"/>
      <c r="BA32" s="83"/>
      <c r="BB32" s="83"/>
      <c r="BC32" s="500"/>
      <c r="BD32" s="500"/>
      <c r="BE32" s="500"/>
      <c r="BF32" s="47">
        <v>21.824997924503304</v>
      </c>
      <c r="BG32" s="674">
        <f t="shared" si="18"/>
        <v>2.1824997924503303E-2</v>
      </c>
      <c r="BH32" s="111">
        <v>1.0377996531176785</v>
      </c>
      <c r="BI32" s="253">
        <v>1505.6509890508544</v>
      </c>
      <c r="BJ32" s="679">
        <f t="shared" si="19"/>
        <v>1.5056509890508545</v>
      </c>
      <c r="BK32" s="202">
        <v>57.214737583932468</v>
      </c>
      <c r="BL32" s="253">
        <v>126822.14017841728</v>
      </c>
      <c r="BM32" s="202">
        <v>4438.7749062446046</v>
      </c>
      <c r="BN32" s="337">
        <f t="shared" si="20"/>
        <v>33</v>
      </c>
      <c r="BO32" s="253">
        <v>6842.3007314820925</v>
      </c>
      <c r="BP32" s="111">
        <v>198.42672121298065</v>
      </c>
      <c r="BQ32" s="253">
        <v>319.80027702658134</v>
      </c>
      <c r="BR32" s="679">
        <f t="shared" si="21"/>
        <v>0.31980027702658131</v>
      </c>
      <c r="BS32" s="206">
        <v>16.949414682408811</v>
      </c>
      <c r="BT32" s="253">
        <v>476.43289097025263</v>
      </c>
      <c r="BU32" s="695">
        <f t="shared" si="45"/>
        <v>0.47643289097025265</v>
      </c>
      <c r="BV32" s="202">
        <v>20.963047202691119</v>
      </c>
      <c r="BW32" s="266">
        <v>371.52449574566327</v>
      </c>
      <c r="BX32" s="695">
        <f t="shared" si="46"/>
        <v>0.37152449574566326</v>
      </c>
      <c r="BY32" s="202">
        <v>12.260308359606888</v>
      </c>
      <c r="BZ32" s="253">
        <v>6273.3695707459774</v>
      </c>
      <c r="CA32" s="206">
        <v>163.10760883939543</v>
      </c>
      <c r="CB32" s="337">
        <f t="shared" si="22"/>
        <v>200</v>
      </c>
      <c r="CC32" s="258">
        <v>1168489.983</v>
      </c>
      <c r="CD32" s="206">
        <v>28043.759591999999</v>
      </c>
      <c r="CE32" s="337">
        <f t="shared" si="23"/>
        <v>1550</v>
      </c>
      <c r="CF32" s="253">
        <v>195.95045758889643</v>
      </c>
      <c r="CG32" s="202">
        <v>7.3605124979375747</v>
      </c>
      <c r="CH32" s="266">
        <v>351.95410922762352</v>
      </c>
      <c r="CI32" s="202">
        <v>14.782072587560187</v>
      </c>
      <c r="CJ32" s="253">
        <v>500.83504254336788</v>
      </c>
      <c r="CK32" s="202">
        <v>22.537576914451556</v>
      </c>
      <c r="CL32" s="253">
        <v>1362.8358327287121</v>
      </c>
      <c r="CM32" s="206">
        <v>57.239104974605915</v>
      </c>
      <c r="CN32" s="253">
        <v>133.50177002322027</v>
      </c>
      <c r="CO32" s="685">
        <f t="shared" si="24"/>
        <v>0.13350177002322028</v>
      </c>
      <c r="CP32" s="111">
        <v>5.9205302752080771</v>
      </c>
      <c r="CQ32" s="47">
        <v>67.157876088530486</v>
      </c>
      <c r="CR32" s="686">
        <f t="shared" si="25"/>
        <v>6.715787608853048E-2</v>
      </c>
      <c r="CS32" s="111">
        <v>2.5327337216160326</v>
      </c>
      <c r="CT32" s="47">
        <v>317.36168488747552</v>
      </c>
      <c r="CU32" s="685">
        <f t="shared" si="26"/>
        <v>0.31736168488747551</v>
      </c>
      <c r="CV32" s="111">
        <v>12.579291158963613</v>
      </c>
      <c r="CW32" s="253">
        <v>310.29862610991626</v>
      </c>
      <c r="CX32" s="674">
        <f t="shared" si="27"/>
        <v>0.31029862610991626</v>
      </c>
      <c r="CY32" s="202">
        <v>11.245701291225796</v>
      </c>
      <c r="CZ32" s="253">
        <v>224.29470516456698</v>
      </c>
      <c r="DA32" s="679">
        <f t="shared" si="28"/>
        <v>0.22429470516456698</v>
      </c>
      <c r="DB32" s="206">
        <v>8.9717882065826799</v>
      </c>
      <c r="DC32" s="266">
        <v>210.14307641111191</v>
      </c>
      <c r="DD32" s="703">
        <f t="shared" si="43"/>
        <v>0.21014307641111191</v>
      </c>
      <c r="DE32" s="111">
        <v>9.8293274808298374</v>
      </c>
      <c r="DF32" s="255" t="s">
        <v>117</v>
      </c>
      <c r="DG32" s="111"/>
      <c r="DH32" s="256">
        <v>27.86667874628937</v>
      </c>
      <c r="DI32" s="695">
        <f t="shared" si="47"/>
        <v>2.7866678746289369E-2</v>
      </c>
      <c r="DJ32" s="111">
        <v>1.0245386645133456</v>
      </c>
      <c r="DK32" s="256">
        <v>2.1048245612317822</v>
      </c>
      <c r="DL32" s="695">
        <f t="shared" si="48"/>
        <v>2.1048245612317823E-3</v>
      </c>
      <c r="DM32" s="111">
        <v>0.12404018986598521</v>
      </c>
      <c r="DN32" s="256">
        <v>11.440770340647896</v>
      </c>
      <c r="DO32" s="674">
        <f t="shared" si="29"/>
        <v>1.1440770340647896E-2</v>
      </c>
      <c r="DP32" s="111">
        <v>0.42686620395783625</v>
      </c>
      <c r="DQ32" s="255" t="s">
        <v>118</v>
      </c>
      <c r="DR32" s="111"/>
      <c r="DS32" s="37">
        <v>36.541369075570849</v>
      </c>
      <c r="DT32" s="692">
        <f t="shared" si="30"/>
        <v>3.6541369075570845E-2</v>
      </c>
      <c r="DU32" s="111">
        <v>1.3399301690651952</v>
      </c>
      <c r="DV32" s="258">
        <v>584.34810401688549</v>
      </c>
      <c r="DW32" s="674">
        <f t="shared" si="31"/>
        <v>0.58434810401688553</v>
      </c>
      <c r="DX32" s="202">
        <v>14.608702600422136</v>
      </c>
      <c r="DY32" s="255" t="s">
        <v>119</v>
      </c>
      <c r="DZ32" s="111"/>
      <c r="EA32" s="254" t="s">
        <v>115</v>
      </c>
      <c r="EB32" s="111"/>
      <c r="EC32" s="255" t="s">
        <v>117</v>
      </c>
      <c r="ED32" s="111"/>
      <c r="EE32" s="256">
        <v>2.3012008034530589</v>
      </c>
      <c r="EF32" s="111">
        <v>7.7928589143802615E-2</v>
      </c>
      <c r="EG32" s="266">
        <v>184.41303828891637</v>
      </c>
      <c r="EH32" s="693">
        <f t="shared" si="32"/>
        <v>0.18441303828891636</v>
      </c>
      <c r="EI32" s="202">
        <v>6.1126264912361696</v>
      </c>
      <c r="EJ32" s="256">
        <v>3.2326274623822844</v>
      </c>
      <c r="EK32" s="708">
        <f t="shared" si="49"/>
        <v>3.2326274623822844E-3</v>
      </c>
      <c r="EL32" s="111">
        <v>0.1111636331679116</v>
      </c>
      <c r="EM32" s="256">
        <v>10.028143385181716</v>
      </c>
      <c r="EN32" s="708">
        <f t="shared" si="50"/>
        <v>1.0028143385181716E-2</v>
      </c>
      <c r="EO32" s="111">
        <v>0.3737129773580723</v>
      </c>
    </row>
    <row r="33" spans="1:145" ht="15.75" thickBot="1" x14ac:dyDescent="0.3">
      <c r="A33" s="17" t="s">
        <v>179</v>
      </c>
      <c r="B33" s="13">
        <v>0.21111483821221613</v>
      </c>
      <c r="C33" s="190">
        <v>1.2333556946272495E-2</v>
      </c>
      <c r="D33" s="23">
        <v>17.664866125827817</v>
      </c>
      <c r="E33" s="211">
        <v>1.9E-3</v>
      </c>
      <c r="F33" s="211"/>
      <c r="G33" s="211"/>
      <c r="H33" s="11">
        <v>18.284340053333334</v>
      </c>
      <c r="I33" s="11">
        <v>0.32911812095999998</v>
      </c>
      <c r="J33" s="11">
        <v>17.602872397350996</v>
      </c>
      <c r="K33" s="92">
        <v>0.29924883075496689</v>
      </c>
      <c r="L33" s="31">
        <v>1.0421813652</v>
      </c>
      <c r="M33" s="158">
        <v>2.6054534130000001E-2</v>
      </c>
      <c r="N33" s="63"/>
      <c r="O33" s="150"/>
      <c r="P33" s="64"/>
      <c r="Q33" s="64"/>
      <c r="R33" s="64"/>
      <c r="S33" s="64"/>
      <c r="T33" s="625"/>
      <c r="U33" s="64"/>
      <c r="V33" s="625"/>
      <c r="W33" s="620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304">
        <v>0.2</v>
      </c>
      <c r="AJ33" s="304">
        <v>8.0000000000000002E-3</v>
      </c>
      <c r="AK33" s="304">
        <v>0.2</v>
      </c>
      <c r="AL33" s="68">
        <f t="shared" si="6"/>
        <v>3.0159262601745163E-2</v>
      </c>
      <c r="AM33" s="11">
        <f t="shared" si="7"/>
        <v>0.76803765764468768</v>
      </c>
      <c r="AN33" s="11"/>
      <c r="AO33" s="11">
        <f t="shared" si="36"/>
        <v>0.46882923213675215</v>
      </c>
      <c r="AP33" s="11">
        <f t="shared" si="37"/>
        <v>1.4487960820865018</v>
      </c>
      <c r="AQ33" s="31">
        <f t="shared" si="38"/>
        <v>5.201803669578238E-2</v>
      </c>
      <c r="AR33" s="63"/>
      <c r="AS33" s="64"/>
      <c r="AT33" s="64"/>
      <c r="AU33" s="64"/>
      <c r="AV33" s="64"/>
      <c r="AW33" s="65"/>
      <c r="AX33" s="84"/>
      <c r="AY33" s="311"/>
      <c r="AZ33" s="85"/>
      <c r="BA33" s="86"/>
      <c r="BB33" s="86"/>
      <c r="BC33" s="501"/>
      <c r="BD33" s="501"/>
      <c r="BE33" s="501"/>
      <c r="BF33" s="264">
        <v>11.004724134661728</v>
      </c>
      <c r="BG33" s="674">
        <f t="shared" si="18"/>
        <v>1.1004724134661728E-2</v>
      </c>
      <c r="BH33" s="199">
        <v>0.64757598658738458</v>
      </c>
      <c r="BI33" s="261">
        <v>1405.4548444114373</v>
      </c>
      <c r="BJ33" s="679">
        <f t="shared" si="19"/>
        <v>1.4054548444114372</v>
      </c>
      <c r="BK33" s="203">
        <v>32.325461421463054</v>
      </c>
      <c r="BL33" s="261">
        <v>113340.10101639344</v>
      </c>
      <c r="BM33" s="203">
        <v>3626.8832325245908</v>
      </c>
      <c r="BN33" s="341">
        <f t="shared" si="20"/>
        <v>8</v>
      </c>
      <c r="BO33" s="261">
        <v>5718.1156004456006</v>
      </c>
      <c r="BP33" s="199">
        <v>263.0333176204976</v>
      </c>
      <c r="BQ33" s="261">
        <v>337.07758598620819</v>
      </c>
      <c r="BR33" s="679">
        <f t="shared" si="21"/>
        <v>0.33707758598620818</v>
      </c>
      <c r="BS33" s="207">
        <v>14.856087790277572</v>
      </c>
      <c r="BT33" s="261">
        <v>315.47930486446347</v>
      </c>
      <c r="BU33" s="695">
        <f t="shared" si="45"/>
        <v>0.31547930486446346</v>
      </c>
      <c r="BV33" s="203">
        <v>11.988213584849611</v>
      </c>
      <c r="BW33" s="262">
        <v>360.3842612510968</v>
      </c>
      <c r="BX33" s="695">
        <f t="shared" si="46"/>
        <v>0.36038426125109679</v>
      </c>
      <c r="BY33" s="207">
        <v>13.058283119889664</v>
      </c>
      <c r="BZ33" s="261">
        <v>5073.1952781456957</v>
      </c>
      <c r="CA33" s="207">
        <v>116.68349139735099</v>
      </c>
      <c r="CB33" s="341">
        <f t="shared" si="22"/>
        <v>200</v>
      </c>
      <c r="CC33" s="267">
        <v>736638.49081967201</v>
      </c>
      <c r="CD33" s="207">
        <v>16206.046798032785</v>
      </c>
      <c r="CE33" s="341">
        <f t="shared" si="23"/>
        <v>200</v>
      </c>
      <c r="CF33" s="261">
        <v>146.70422459554661</v>
      </c>
      <c r="CG33" s="203">
        <v>7.5432253075430333</v>
      </c>
      <c r="CH33" s="262">
        <v>323.71370516152996</v>
      </c>
      <c r="CI33" s="203">
        <v>11.006265975492017</v>
      </c>
      <c r="CJ33" s="262">
        <v>323.89874786483483</v>
      </c>
      <c r="CK33" s="203">
        <v>11.660354923134054</v>
      </c>
      <c r="CL33" s="261">
        <v>1002.7464092090606</v>
      </c>
      <c r="CM33" s="207">
        <v>42.115349186780549</v>
      </c>
      <c r="CN33" s="261">
        <v>98.377515572270553</v>
      </c>
      <c r="CO33" s="685">
        <f t="shared" si="24"/>
        <v>9.8377515572270549E-2</v>
      </c>
      <c r="CP33" s="199">
        <v>5.6068504404576958</v>
      </c>
      <c r="CQ33" s="264">
        <v>46.475260369754388</v>
      </c>
      <c r="CR33" s="686">
        <f t="shared" si="25"/>
        <v>4.6475260369754384E-2</v>
      </c>
      <c r="CS33" s="199">
        <v>2.5633743801473594</v>
      </c>
      <c r="CT33" s="264">
        <v>143.9002408444081</v>
      </c>
      <c r="CU33" s="685">
        <f t="shared" si="26"/>
        <v>0.14390024084440811</v>
      </c>
      <c r="CV33" s="199">
        <v>7.5896382395923956</v>
      </c>
      <c r="CW33" s="261">
        <v>227.91198865900432</v>
      </c>
      <c r="CX33" s="674">
        <f t="shared" si="27"/>
        <v>0.22791198865900433</v>
      </c>
      <c r="CY33" s="203">
        <v>11.782601929592236</v>
      </c>
      <c r="CZ33" s="261">
        <v>213.18769847753438</v>
      </c>
      <c r="DA33" s="679">
        <f t="shared" si="28"/>
        <v>0.21318769847753438</v>
      </c>
      <c r="DB33" s="207">
        <v>7.4615694467137033</v>
      </c>
      <c r="DC33" s="262">
        <v>156.04327329925385</v>
      </c>
      <c r="DD33" s="703">
        <f t="shared" si="43"/>
        <v>0.15604327329925385</v>
      </c>
      <c r="DE33" s="199">
        <v>8.7536797663430583</v>
      </c>
      <c r="DF33" s="265" t="s">
        <v>117</v>
      </c>
      <c r="DG33" s="199"/>
      <c r="DH33" s="263">
        <v>16.627370021354956</v>
      </c>
      <c r="DI33" s="695">
        <f t="shared" si="47"/>
        <v>1.6627370021354955E-2</v>
      </c>
      <c r="DJ33" s="199">
        <v>0.69499664502293701</v>
      </c>
      <c r="DK33" s="263">
        <v>8.7836373518653446</v>
      </c>
      <c r="DL33" s="695">
        <f t="shared" si="48"/>
        <v>8.7836373518653445E-3</v>
      </c>
      <c r="DM33" s="199">
        <v>0.34227015550890505</v>
      </c>
      <c r="DN33" s="263">
        <v>18.651727296145957</v>
      </c>
      <c r="DO33" s="674">
        <f t="shared" si="29"/>
        <v>1.8651727296145958E-2</v>
      </c>
      <c r="DP33" s="199">
        <v>0.51452987054417121</v>
      </c>
      <c r="DQ33" s="265" t="s">
        <v>118</v>
      </c>
      <c r="DR33" s="199"/>
      <c r="DS33" s="259">
        <v>29.340122609924311</v>
      </c>
      <c r="DT33" s="692">
        <f t="shared" si="30"/>
        <v>2.9340122609924312E-2</v>
      </c>
      <c r="DU33" s="199">
        <v>1.2910379806250762</v>
      </c>
      <c r="DV33" s="267">
        <v>605.01562272558488</v>
      </c>
      <c r="DW33" s="674">
        <f t="shared" si="31"/>
        <v>0.60501562272558485</v>
      </c>
      <c r="DX33" s="203">
        <v>20.570531172669885</v>
      </c>
      <c r="DY33" s="265" t="s">
        <v>119</v>
      </c>
      <c r="DZ33" s="199"/>
      <c r="EA33" s="260" t="s">
        <v>115</v>
      </c>
      <c r="EB33" s="199"/>
      <c r="EC33" s="265" t="s">
        <v>117</v>
      </c>
      <c r="ED33" s="199"/>
      <c r="EE33" s="263">
        <v>2.0452622275103316</v>
      </c>
      <c r="EF33" s="199">
        <v>9.6548151622572312E-2</v>
      </c>
      <c r="EG33" s="262">
        <v>175.17124760257428</v>
      </c>
      <c r="EH33" s="693">
        <f t="shared" si="32"/>
        <v>0.17517124760257427</v>
      </c>
      <c r="EI33" s="203">
        <v>5.3145331481213134</v>
      </c>
      <c r="EJ33" s="263">
        <v>2.5461810450604108</v>
      </c>
      <c r="EK33" s="708">
        <f t="shared" si="49"/>
        <v>2.5461810450604109E-3</v>
      </c>
      <c r="EL33" s="199">
        <v>0.12119402728086368</v>
      </c>
      <c r="EM33" s="263">
        <v>7.2906856420630817</v>
      </c>
      <c r="EN33" s="708">
        <f t="shared" si="50"/>
        <v>7.2906856420630814E-3</v>
      </c>
      <c r="EO33" s="199">
        <v>0.37983347257403205</v>
      </c>
    </row>
    <row r="34" spans="1:145" ht="15.75" thickBot="1" x14ac:dyDescent="0.3">
      <c r="A34" s="15" t="s">
        <v>180</v>
      </c>
      <c r="B34" s="14">
        <v>1.2321733920337051E-2</v>
      </c>
      <c r="C34" s="191">
        <v>3.8907798671483488E-4</v>
      </c>
      <c r="D34" s="24">
        <v>21.465730883333332</v>
      </c>
      <c r="E34" s="213">
        <v>5.0999999999999995E-3</v>
      </c>
      <c r="F34" s="213"/>
      <c r="G34" s="213"/>
      <c r="H34" s="18">
        <v>3.1066469548666662</v>
      </c>
      <c r="I34" s="18">
        <v>2.4853175638933335E-2</v>
      </c>
      <c r="J34" s="3">
        <v>2.1355996279724656</v>
      </c>
      <c r="K34" s="193">
        <v>9.8237582886733399E-2</v>
      </c>
      <c r="L34" s="32">
        <v>10.252280708799999</v>
      </c>
      <c r="M34" s="196">
        <v>0.25630701771999997</v>
      </c>
      <c r="N34" s="69"/>
      <c r="O34" s="151"/>
      <c r="P34" s="70"/>
      <c r="Q34" s="70"/>
      <c r="R34" s="70"/>
      <c r="S34" s="70"/>
      <c r="T34" s="626"/>
      <c r="U34" s="70"/>
      <c r="V34" s="626"/>
      <c r="W34" s="621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305">
        <v>1.4</v>
      </c>
      <c r="AJ34" s="305">
        <v>4.79</v>
      </c>
      <c r="AK34" s="305">
        <v>0.2</v>
      </c>
      <c r="AL34" s="66">
        <f t="shared" si="6"/>
        <v>1.7602477029052929E-3</v>
      </c>
      <c r="AM34" s="3">
        <f t="shared" si="7"/>
        <v>0.93329264710144921</v>
      </c>
      <c r="AN34" s="3"/>
      <c r="AO34" s="3">
        <f t="shared" si="36"/>
        <v>7.9657614227350418E-2</v>
      </c>
      <c r="AP34" s="3">
        <f t="shared" si="37"/>
        <v>0.17576951670555271</v>
      </c>
      <c r="AQ34" s="6">
        <f t="shared" si="38"/>
        <v>0.51171852801597195</v>
      </c>
      <c r="AR34" s="69"/>
      <c r="AS34" s="70"/>
      <c r="AT34" s="70"/>
      <c r="AU34" s="70"/>
      <c r="AV34" s="70"/>
      <c r="AW34" s="71"/>
      <c r="AX34" s="75"/>
      <c r="AY34" s="308"/>
      <c r="AZ34" s="76"/>
      <c r="BA34" s="77"/>
      <c r="BB34" s="77"/>
      <c r="BC34" s="502"/>
      <c r="BD34" s="502"/>
      <c r="BE34" s="502"/>
      <c r="BF34" s="44">
        <v>389.41918104513496</v>
      </c>
      <c r="BG34" s="674">
        <f t="shared" si="18"/>
        <v>0.38941918104513495</v>
      </c>
      <c r="BH34" s="6">
        <v>17.709770577108149</v>
      </c>
      <c r="BI34" s="247">
        <v>1706.0036905506884</v>
      </c>
      <c r="BJ34" s="679">
        <f t="shared" si="19"/>
        <v>1.7060036905506883</v>
      </c>
      <c r="BK34" s="201">
        <v>93.830202980287865</v>
      </c>
      <c r="BL34" s="248">
        <v>908970.3825685787</v>
      </c>
      <c r="BM34" s="201">
        <v>25451.1707119202</v>
      </c>
      <c r="BN34" s="342">
        <f t="shared" si="20"/>
        <v>4790</v>
      </c>
      <c r="BO34" s="248">
        <v>8942.2665366082601</v>
      </c>
      <c r="BP34" s="6">
        <v>259.32572956163955</v>
      </c>
      <c r="BQ34" s="248">
        <v>247.24221034779217</v>
      </c>
      <c r="BR34" s="679">
        <f t="shared" si="21"/>
        <v>0.24724221034779217</v>
      </c>
      <c r="BS34" s="208">
        <v>8.9688776625809457</v>
      </c>
      <c r="BT34" s="248">
        <v>404.3626958698373</v>
      </c>
      <c r="BU34" s="695">
        <f t="shared" si="45"/>
        <v>0.40436269586983731</v>
      </c>
      <c r="BV34" s="201">
        <v>21.431222881101377</v>
      </c>
      <c r="BW34" s="248">
        <v>205.05951454943676</v>
      </c>
      <c r="BX34" s="695">
        <f t="shared" si="46"/>
        <v>0.20505951454943674</v>
      </c>
      <c r="BY34" s="208">
        <v>9.6377971838235279</v>
      </c>
      <c r="BZ34" s="248">
        <v>150.27578152377973</v>
      </c>
      <c r="CA34" s="208">
        <v>3.9071703196182734</v>
      </c>
      <c r="CB34" s="342">
        <f t="shared" si="22"/>
        <v>200</v>
      </c>
      <c r="CC34" s="248">
        <v>3851798.423533333</v>
      </c>
      <c r="CD34" s="208">
        <v>107850.35585893331</v>
      </c>
      <c r="CE34" s="342">
        <f t="shared" si="23"/>
        <v>1400</v>
      </c>
      <c r="CF34" s="44">
        <v>8.0495792660344119</v>
      </c>
      <c r="CG34" s="29">
        <v>0.3004866000880782</v>
      </c>
      <c r="CH34" s="250">
        <v>37.088623396912197</v>
      </c>
      <c r="CI34" s="204">
        <v>1.1537541387514028</v>
      </c>
      <c r="CJ34" s="245">
        <v>40.531761210858107</v>
      </c>
      <c r="CK34" s="201">
        <v>1.2516106060844436</v>
      </c>
      <c r="CL34" s="248">
        <v>5006.1962700250306</v>
      </c>
      <c r="CM34" s="208">
        <v>270.33459858135166</v>
      </c>
      <c r="CN34" s="248">
        <v>36.364845002602152</v>
      </c>
      <c r="CO34" s="685">
        <f t="shared" si="24"/>
        <v>3.6364845002602154E-2</v>
      </c>
      <c r="CP34" s="6">
        <v>1.3617787817023941</v>
      </c>
      <c r="CQ34" s="44">
        <v>272.89180558615385</v>
      </c>
      <c r="CR34" s="686">
        <f t="shared" si="25"/>
        <v>0.27289180558615383</v>
      </c>
      <c r="CS34" s="6">
        <v>8.0410699569217261</v>
      </c>
      <c r="CT34" s="44">
        <v>828.97499313896719</v>
      </c>
      <c r="CU34" s="685">
        <f t="shared" si="26"/>
        <v>0.82897499313896716</v>
      </c>
      <c r="CV34" s="6">
        <v>32.736368827833559</v>
      </c>
      <c r="CW34" s="247">
        <v>6.1995040359053482</v>
      </c>
      <c r="CX34" s="674">
        <f t="shared" si="27"/>
        <v>6.1995040359053479E-3</v>
      </c>
      <c r="CY34" s="201">
        <v>0.2746363348837228</v>
      </c>
      <c r="CZ34" s="247">
        <v>165.54049779289278</v>
      </c>
      <c r="DA34" s="679">
        <f t="shared" si="28"/>
        <v>0.16554049779289279</v>
      </c>
      <c r="DB34" s="208">
        <v>7.5783156074439697</v>
      </c>
      <c r="DC34" s="245">
        <v>9.7513680759509942</v>
      </c>
      <c r="DD34" s="703">
        <f t="shared" si="43"/>
        <v>9.7513680759509936E-3</v>
      </c>
      <c r="DE34" s="6">
        <v>0.42170846990563227</v>
      </c>
      <c r="DF34" s="249" t="s">
        <v>117</v>
      </c>
      <c r="DG34" s="6"/>
      <c r="DH34" s="245">
        <v>43.592462152788684</v>
      </c>
      <c r="DI34" s="695">
        <f t="shared" si="47"/>
        <v>4.3592462152788683E-2</v>
      </c>
      <c r="DJ34" s="6">
        <v>1.4347469492983975</v>
      </c>
      <c r="DK34" s="255" t="s">
        <v>116</v>
      </c>
      <c r="DL34" s="695" t="e">
        <f t="shared" si="48"/>
        <v>#VALUE!</v>
      </c>
      <c r="DM34" s="6"/>
      <c r="DN34" s="245">
        <v>25.329065126594681</v>
      </c>
      <c r="DO34" s="674">
        <f t="shared" si="29"/>
        <v>2.532906512659468E-2</v>
      </c>
      <c r="DP34" s="6">
        <v>0.81107873184196644</v>
      </c>
      <c r="DQ34" s="249" t="s">
        <v>118</v>
      </c>
      <c r="DR34" s="6"/>
      <c r="DS34" s="245">
        <v>17.084603271925314</v>
      </c>
      <c r="DT34" s="692">
        <f t="shared" si="30"/>
        <v>1.7084603271925312E-2</v>
      </c>
      <c r="DU34" s="6">
        <v>0.55291531243788228</v>
      </c>
      <c r="DV34" s="247">
        <v>54.586598326032536</v>
      </c>
      <c r="DW34" s="674">
        <f t="shared" si="31"/>
        <v>5.4586598326032534E-2</v>
      </c>
      <c r="DX34" s="208">
        <v>1.9651175397371714</v>
      </c>
      <c r="DY34" s="249" t="s">
        <v>119</v>
      </c>
      <c r="DZ34" s="6"/>
      <c r="EA34" s="246" t="s">
        <v>115</v>
      </c>
      <c r="EB34" s="6"/>
      <c r="EC34" s="249" t="s">
        <v>117</v>
      </c>
      <c r="ED34" s="6"/>
      <c r="EE34" s="249" t="s">
        <v>120</v>
      </c>
      <c r="EF34" s="6"/>
      <c r="EG34" s="248">
        <v>1458.3236539424279</v>
      </c>
      <c r="EH34" s="693">
        <f t="shared" si="32"/>
        <v>1.4583236539424278</v>
      </c>
      <c r="EI34" s="201">
        <v>71.457859043178971</v>
      </c>
      <c r="EJ34" s="249" t="s">
        <v>118</v>
      </c>
      <c r="EK34" s="708" t="e">
        <f t="shared" si="49"/>
        <v>#VALUE!</v>
      </c>
      <c r="EL34" s="6"/>
      <c r="EM34" s="245">
        <v>14.538691074950879</v>
      </c>
      <c r="EN34" s="708">
        <f t="shared" si="50"/>
        <v>1.453869107495088E-2</v>
      </c>
      <c r="EO34" s="6">
        <v>0.49642397034029428</v>
      </c>
    </row>
    <row r="35" spans="1:145" ht="15.75" thickBot="1" x14ac:dyDescent="0.3">
      <c r="A35" s="105" t="s">
        <v>181</v>
      </c>
      <c r="B35" s="481"/>
      <c r="C35" s="482"/>
      <c r="D35" s="483"/>
      <c r="E35" s="484"/>
      <c r="F35" s="484"/>
      <c r="G35" s="484"/>
      <c r="H35" s="485"/>
      <c r="I35" s="485"/>
      <c r="J35" s="486"/>
      <c r="K35" s="487"/>
      <c r="L35" s="488"/>
      <c r="M35" s="489"/>
      <c r="N35" s="107"/>
      <c r="O35" s="152"/>
      <c r="P35" s="108"/>
      <c r="Q35" s="108"/>
      <c r="R35" s="108"/>
      <c r="S35" s="108"/>
      <c r="T35" s="627"/>
      <c r="U35" s="108"/>
      <c r="V35" s="627"/>
      <c r="W35" s="622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306">
        <v>1.39</v>
      </c>
      <c r="AJ35" s="306">
        <v>3.7029999999999998</v>
      </c>
      <c r="AK35" s="306">
        <v>0.3</v>
      </c>
      <c r="AL35" s="242"/>
      <c r="AM35" s="243"/>
      <c r="AN35" s="243"/>
      <c r="AO35" s="243"/>
      <c r="AP35" s="243"/>
      <c r="AQ35" s="244"/>
      <c r="AR35" s="107"/>
      <c r="AS35" s="108"/>
      <c r="AT35" s="108"/>
      <c r="AU35" s="108"/>
      <c r="AV35" s="108"/>
      <c r="AW35" s="109"/>
      <c r="AX35" s="112"/>
      <c r="AY35" s="312"/>
      <c r="AZ35" s="113"/>
      <c r="BA35" s="114"/>
      <c r="BB35" s="114"/>
      <c r="BC35" s="498"/>
      <c r="BD35" s="498"/>
      <c r="BE35" s="498"/>
      <c r="BF35" s="280"/>
      <c r="BG35" s="674">
        <f t="shared" si="18"/>
        <v>0</v>
      </c>
      <c r="BH35" s="244"/>
      <c r="BI35" s="281"/>
      <c r="BJ35" s="679">
        <f t="shared" si="19"/>
        <v>0</v>
      </c>
      <c r="BK35" s="282"/>
      <c r="BL35" s="281"/>
      <c r="BM35" s="282"/>
      <c r="BN35" s="343">
        <f t="shared" si="20"/>
        <v>3703</v>
      </c>
      <c r="BO35" s="281"/>
      <c r="BP35" s="244"/>
      <c r="BQ35" s="281"/>
      <c r="BR35" s="679">
        <f t="shared" si="21"/>
        <v>0</v>
      </c>
      <c r="BS35" s="283"/>
      <c r="BT35" s="281"/>
      <c r="BU35" s="695">
        <f t="shared" si="45"/>
        <v>0</v>
      </c>
      <c r="BV35" s="282"/>
      <c r="BW35" s="281"/>
      <c r="BX35" s="695">
        <f t="shared" si="46"/>
        <v>0</v>
      </c>
      <c r="BY35" s="283"/>
      <c r="BZ35" s="281"/>
      <c r="CA35" s="283"/>
      <c r="CB35" s="343">
        <f t="shared" si="22"/>
        <v>300</v>
      </c>
      <c r="CC35" s="281"/>
      <c r="CD35" s="283"/>
      <c r="CE35" s="343">
        <f t="shared" si="23"/>
        <v>1390</v>
      </c>
      <c r="CF35" s="280"/>
      <c r="CG35" s="284"/>
      <c r="CH35" s="285"/>
      <c r="CI35" s="282"/>
      <c r="CJ35" s="285"/>
      <c r="CK35" s="282"/>
      <c r="CL35" s="281"/>
      <c r="CM35" s="283"/>
      <c r="CN35" s="281"/>
      <c r="CO35" s="685">
        <f t="shared" si="24"/>
        <v>0</v>
      </c>
      <c r="CP35" s="244"/>
      <c r="CQ35" s="280"/>
      <c r="CR35" s="686">
        <f t="shared" si="25"/>
        <v>0</v>
      </c>
      <c r="CS35" s="244"/>
      <c r="CT35" s="280"/>
      <c r="CU35" s="685">
        <f t="shared" si="26"/>
        <v>0</v>
      </c>
      <c r="CV35" s="244"/>
      <c r="CW35" s="281"/>
      <c r="CX35" s="674">
        <f t="shared" si="27"/>
        <v>0</v>
      </c>
      <c r="CY35" s="282"/>
      <c r="CZ35" s="281"/>
      <c r="DA35" s="679">
        <f t="shared" si="28"/>
        <v>0</v>
      </c>
      <c r="DB35" s="283"/>
      <c r="DC35" s="285"/>
      <c r="DD35" s="703">
        <f t="shared" si="43"/>
        <v>0</v>
      </c>
      <c r="DE35" s="244"/>
      <c r="DF35" s="286"/>
      <c r="DG35" s="244"/>
      <c r="DH35" s="285"/>
      <c r="DI35" s="695">
        <f t="shared" si="47"/>
        <v>0</v>
      </c>
      <c r="DJ35" s="244"/>
      <c r="DK35" s="286"/>
      <c r="DL35" s="695">
        <f t="shared" si="48"/>
        <v>0</v>
      </c>
      <c r="DM35" s="244"/>
      <c r="DN35" s="285"/>
      <c r="DO35" s="674">
        <f t="shared" si="29"/>
        <v>0</v>
      </c>
      <c r="DP35" s="244"/>
      <c r="DQ35" s="286"/>
      <c r="DR35" s="244"/>
      <c r="DS35" s="285"/>
      <c r="DT35" s="692">
        <f t="shared" si="30"/>
        <v>0</v>
      </c>
      <c r="DU35" s="244"/>
      <c r="DV35" s="281"/>
      <c r="DW35" s="674">
        <f t="shared" si="31"/>
        <v>0</v>
      </c>
      <c r="DX35" s="283"/>
      <c r="DY35" s="286"/>
      <c r="DZ35" s="244"/>
      <c r="EA35" s="287"/>
      <c r="EB35" s="244"/>
      <c r="EC35" s="286"/>
      <c r="ED35" s="244"/>
      <c r="EE35" s="286"/>
      <c r="EF35" s="244"/>
      <c r="EG35" s="281"/>
      <c r="EH35" s="693">
        <f t="shared" si="32"/>
        <v>0</v>
      </c>
      <c r="EI35" s="282"/>
      <c r="EJ35" s="286"/>
      <c r="EK35" s="708">
        <f t="shared" si="49"/>
        <v>0</v>
      </c>
      <c r="EL35" s="244"/>
      <c r="EM35" s="285"/>
      <c r="EN35" s="708">
        <f t="shared" si="50"/>
        <v>0</v>
      </c>
      <c r="EO35" s="244"/>
    </row>
    <row r="36" spans="1:145" ht="15.75" thickBot="1" x14ac:dyDescent="0.3">
      <c r="A36" s="16" t="s">
        <v>182</v>
      </c>
      <c r="B36" s="12">
        <v>5.185563454516081E-2</v>
      </c>
      <c r="C36" s="189">
        <v>8.0813546229848972E-4</v>
      </c>
      <c r="D36" s="28">
        <v>225.29754487234041</v>
      </c>
      <c r="E36" s="214">
        <v>1.9E-3</v>
      </c>
      <c r="F36" s="214"/>
      <c r="G36" s="214"/>
      <c r="H36" s="19">
        <v>11.600015023999999</v>
      </c>
      <c r="I36" s="19">
        <v>0.11600015023999999</v>
      </c>
      <c r="J36" s="7">
        <v>9.6284551958456976</v>
      </c>
      <c r="K36" s="93">
        <v>0.22145446950445105</v>
      </c>
      <c r="L36" s="33">
        <v>13.964673199999998</v>
      </c>
      <c r="M36" s="197">
        <v>0.47479888879999993</v>
      </c>
      <c r="N36" s="72"/>
      <c r="O36" s="153"/>
      <c r="P36" s="73"/>
      <c r="Q36" s="73"/>
      <c r="R36" s="73"/>
      <c r="S36" s="73"/>
      <c r="T36" s="628"/>
      <c r="U36" s="73"/>
      <c r="V36" s="628"/>
      <c r="W36" s="623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307">
        <v>1</v>
      </c>
      <c r="AJ36" s="307">
        <v>2.1240000000000001</v>
      </c>
      <c r="AK36" s="307">
        <v>0.2</v>
      </c>
      <c r="AL36" s="67">
        <f t="shared" ref="AL36:AL43" si="51">B36/7</f>
        <v>7.4079477921658301E-3</v>
      </c>
      <c r="AM36" s="7">
        <f t="shared" ref="AM36:AM43" si="52">D36/23</f>
        <v>9.7955454292321917</v>
      </c>
      <c r="AN36" s="7"/>
      <c r="AO36" s="7">
        <f t="shared" ref="AO36:AO43" si="53">H36/39</f>
        <v>0.29743628266666666</v>
      </c>
      <c r="AP36" s="7">
        <f t="shared" ref="AP36:AP43" si="54">(J36)/(24.3/2)</f>
        <v>0.79246544821775289</v>
      </c>
      <c r="AQ36" s="10">
        <f t="shared" ref="AQ36:AQ43" si="55">(L36)/(40.07/2)</f>
        <v>0.69701388570002487</v>
      </c>
      <c r="AR36" s="72"/>
      <c r="AS36" s="73"/>
      <c r="AT36" s="73"/>
      <c r="AU36" s="73"/>
      <c r="AV36" s="73"/>
      <c r="AW36" s="74"/>
      <c r="AX36" s="78"/>
      <c r="AY36" s="309"/>
      <c r="AZ36" s="79"/>
      <c r="BA36" s="80"/>
      <c r="BB36" s="80"/>
      <c r="BC36" s="499"/>
      <c r="BD36" s="499"/>
      <c r="BE36" s="499"/>
      <c r="BF36" s="47">
        <v>314.02453938386697</v>
      </c>
      <c r="BG36" s="674">
        <f t="shared" si="18"/>
        <v>0.31402453938386699</v>
      </c>
      <c r="BH36" s="111">
        <v>7.5589600233853753</v>
      </c>
      <c r="BI36" s="253">
        <v>1694.9060741839764</v>
      </c>
      <c r="BJ36" s="679">
        <f t="shared" si="19"/>
        <v>1.6949060741839765</v>
      </c>
      <c r="BK36" s="202">
        <v>54.236994373887249</v>
      </c>
      <c r="BL36" s="253">
        <v>628039.88336170197</v>
      </c>
      <c r="BM36" s="202">
        <v>18841.19650085106</v>
      </c>
      <c r="BN36" s="344">
        <f t="shared" si="20"/>
        <v>2124</v>
      </c>
      <c r="BO36" s="253">
        <v>5414.3015195610687</v>
      </c>
      <c r="BP36" s="111">
        <v>265.30077445849236</v>
      </c>
      <c r="BQ36" s="253">
        <v>395.90026421303878</v>
      </c>
      <c r="BR36" s="679">
        <f t="shared" si="21"/>
        <v>0.39590026421303876</v>
      </c>
      <c r="BS36" s="206">
        <v>10.996662038684839</v>
      </c>
      <c r="BT36" s="253">
        <v>171.6926142652672</v>
      </c>
      <c r="BU36" s="695">
        <f t="shared" si="45"/>
        <v>0.17169261426526719</v>
      </c>
      <c r="BV36" s="202">
        <v>5.1507784279580164</v>
      </c>
      <c r="BW36" s="266">
        <v>214.44777916027076</v>
      </c>
      <c r="BX36" s="695">
        <f t="shared" si="46"/>
        <v>0.21444777916027075</v>
      </c>
      <c r="BY36" s="206">
        <v>4.7770365216336605</v>
      </c>
      <c r="BZ36" s="253">
        <v>7789.7483709198814</v>
      </c>
      <c r="CA36" s="206">
        <v>179.16421253115723</v>
      </c>
      <c r="CB36" s="344">
        <f t="shared" si="22"/>
        <v>200</v>
      </c>
      <c r="CC36" s="253">
        <v>2257667.3460000004</v>
      </c>
      <c r="CD36" s="206">
        <v>20319.006114000003</v>
      </c>
      <c r="CE36" s="344">
        <f t="shared" si="23"/>
        <v>1000</v>
      </c>
      <c r="CF36" s="253">
        <v>243.72038784088176</v>
      </c>
      <c r="CG36" s="202">
        <v>4.8846245785639262</v>
      </c>
      <c r="CH36" s="270">
        <v>167.16768103526618</v>
      </c>
      <c r="CI36" s="271">
        <v>3.3278019410233473</v>
      </c>
      <c r="CJ36" s="266">
        <v>211.88596011944372</v>
      </c>
      <c r="CK36" s="202">
        <v>5.409489736719304</v>
      </c>
      <c r="CL36" s="253">
        <v>4419.0667032640949</v>
      </c>
      <c r="CM36" s="206">
        <v>66.286000548961425</v>
      </c>
      <c r="CN36" s="253">
        <v>32.297944594268181</v>
      </c>
      <c r="CO36" s="685">
        <f t="shared" si="24"/>
        <v>3.2297944594268178E-2</v>
      </c>
      <c r="CP36" s="111">
        <v>0.49546175216791044</v>
      </c>
      <c r="CQ36" s="47">
        <v>176.63745781183724</v>
      </c>
      <c r="CR36" s="686">
        <f t="shared" si="25"/>
        <v>0.17663745781183723</v>
      </c>
      <c r="CS36" s="111">
        <v>1.5962194638210578</v>
      </c>
      <c r="CT36" s="47">
        <v>708.29007319568154</v>
      </c>
      <c r="CU36" s="685">
        <f t="shared" si="26"/>
        <v>0.70829007319568149</v>
      </c>
      <c r="CV36" s="111">
        <v>16.996320105117917</v>
      </c>
      <c r="CW36" s="253">
        <v>18.594315323152131</v>
      </c>
      <c r="CX36" s="674">
        <f t="shared" si="27"/>
        <v>1.859431532315213E-2</v>
      </c>
      <c r="CY36" s="202">
        <v>0.37820966967773506</v>
      </c>
      <c r="CZ36" s="253">
        <v>234.57215195610689</v>
      </c>
      <c r="DA36" s="679">
        <f t="shared" si="28"/>
        <v>0.23457215195610689</v>
      </c>
      <c r="DB36" s="206">
        <v>5.1605873430343525</v>
      </c>
      <c r="DC36" s="256">
        <v>8.9711415186067143</v>
      </c>
      <c r="DD36" s="703">
        <f t="shared" si="43"/>
        <v>8.971141518606715E-3</v>
      </c>
      <c r="DE36" s="111">
        <v>0.22193153872840177</v>
      </c>
      <c r="DF36" s="255" t="s">
        <v>117</v>
      </c>
      <c r="DG36" s="111"/>
      <c r="DH36" s="256">
        <v>27.31543840635203</v>
      </c>
      <c r="DI36" s="695">
        <f t="shared" si="47"/>
        <v>2.7315438406352029E-2</v>
      </c>
      <c r="DJ36" s="111">
        <v>0.55333623338387417</v>
      </c>
      <c r="DK36" s="256">
        <v>5.0040602922665052</v>
      </c>
      <c r="DL36" s="695">
        <f t="shared" si="48"/>
        <v>5.0040602922665055E-3</v>
      </c>
      <c r="DM36" s="111">
        <v>0.14848764800714187</v>
      </c>
      <c r="DN36" s="256">
        <v>41.833350153029663</v>
      </c>
      <c r="DO36" s="674">
        <f t="shared" si="29"/>
        <v>4.1833350153029664E-2</v>
      </c>
      <c r="DP36" s="111">
        <v>0.63800263635810028</v>
      </c>
      <c r="DQ36" s="255" t="s">
        <v>118</v>
      </c>
      <c r="DR36" s="111"/>
      <c r="DS36" s="253">
        <v>131.55699874442487</v>
      </c>
      <c r="DT36" s="692">
        <f t="shared" si="30"/>
        <v>0.13155699874442486</v>
      </c>
      <c r="DU36" s="111">
        <v>2.7504692284722307</v>
      </c>
      <c r="DV36" s="258">
        <v>315.55670205152671</v>
      </c>
      <c r="DW36" s="674">
        <f t="shared" si="31"/>
        <v>0.31555670205152669</v>
      </c>
      <c r="DX36" s="206">
        <v>12.937824784112594</v>
      </c>
      <c r="DY36" s="255" t="s">
        <v>119</v>
      </c>
      <c r="DZ36" s="111"/>
      <c r="EA36" s="47">
        <v>4.8875889656775771</v>
      </c>
      <c r="EB36" s="111">
        <v>6.9169024648398969E-2</v>
      </c>
      <c r="EC36" s="255" t="s">
        <v>117</v>
      </c>
      <c r="ED36" s="111"/>
      <c r="EE36" s="255" t="s">
        <v>120</v>
      </c>
      <c r="EF36" s="111"/>
      <c r="EG36" s="266">
        <v>905.89764688427306</v>
      </c>
      <c r="EH36" s="693">
        <f t="shared" si="32"/>
        <v>0.9058976468842731</v>
      </c>
      <c r="EI36" s="202">
        <v>35.330008228486648</v>
      </c>
      <c r="EJ36" s="255" t="s">
        <v>118</v>
      </c>
      <c r="EK36" s="708" t="e">
        <f t="shared" si="49"/>
        <v>#VALUE!</v>
      </c>
      <c r="EL36" s="111"/>
      <c r="EM36" s="256">
        <v>15.500366176434094</v>
      </c>
      <c r="EN36" s="708">
        <f t="shared" si="50"/>
        <v>1.5500366176434093E-2</v>
      </c>
      <c r="EO36" s="111">
        <v>0.35759081941208931</v>
      </c>
    </row>
    <row r="37" spans="1:145" ht="15.75" thickBot="1" x14ac:dyDescent="0.3">
      <c r="A37" s="16" t="s">
        <v>183</v>
      </c>
      <c r="B37" s="12">
        <v>2.4398411065877354E-2</v>
      </c>
      <c r="C37" s="189">
        <v>1.208539336192044E-3</v>
      </c>
      <c r="D37" s="28">
        <v>170.14725066666665</v>
      </c>
      <c r="E37" s="214">
        <v>2.8E-3</v>
      </c>
      <c r="F37" s="214"/>
      <c r="G37" s="214"/>
      <c r="H37" s="19">
        <v>4.019998157157894</v>
      </c>
      <c r="I37" s="19">
        <v>6.4319970514526315E-2</v>
      </c>
      <c r="J37" s="7">
        <v>3.7963296208068811</v>
      </c>
      <c r="K37" s="93">
        <v>0.26953940307728852</v>
      </c>
      <c r="L37" s="33">
        <v>11.164959513157893</v>
      </c>
      <c r="M37" s="197">
        <v>0.21213423074999993</v>
      </c>
      <c r="N37" s="72"/>
      <c r="O37" s="153"/>
      <c r="P37" s="73"/>
      <c r="Q37" s="73"/>
      <c r="R37" s="73"/>
      <c r="S37" s="73"/>
      <c r="T37" s="628"/>
      <c r="U37" s="73"/>
      <c r="V37" s="628"/>
      <c r="W37" s="623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307">
        <v>2.0499999999999998</v>
      </c>
      <c r="AJ37" s="307">
        <v>5.476</v>
      </c>
      <c r="AK37" s="307">
        <v>0.2</v>
      </c>
      <c r="AL37" s="67">
        <f t="shared" si="51"/>
        <v>3.4854872951253363E-3</v>
      </c>
      <c r="AM37" s="7">
        <f t="shared" si="52"/>
        <v>7.3977065507246369</v>
      </c>
      <c r="AN37" s="7"/>
      <c r="AO37" s="7">
        <f t="shared" si="53"/>
        <v>0.10307687582456139</v>
      </c>
      <c r="AP37" s="7">
        <f t="shared" si="54"/>
        <v>0.3124551128236116</v>
      </c>
      <c r="AQ37" s="10">
        <f t="shared" si="55"/>
        <v>0.55727274834828511</v>
      </c>
      <c r="AR37" s="72"/>
      <c r="AS37" s="73"/>
      <c r="AT37" s="73"/>
      <c r="AU37" s="73"/>
      <c r="AV37" s="73"/>
      <c r="AW37" s="74"/>
      <c r="AX37" s="78"/>
      <c r="AY37" s="309"/>
      <c r="AZ37" s="79"/>
      <c r="BA37" s="80"/>
      <c r="BB37" s="80"/>
      <c r="BC37" s="499"/>
      <c r="BD37" s="499"/>
      <c r="BE37" s="499"/>
      <c r="BF37" s="47">
        <v>387.97421515553953</v>
      </c>
      <c r="BG37" s="674">
        <f t="shared" si="18"/>
        <v>0.38797421515553954</v>
      </c>
      <c r="BH37" s="111">
        <v>9.5604771068424483</v>
      </c>
      <c r="BI37" s="253">
        <v>1661.9530965390129</v>
      </c>
      <c r="BJ37" s="679">
        <f t="shared" si="19"/>
        <v>1.6619530965390128</v>
      </c>
      <c r="BK37" s="202">
        <v>48.196639799631377</v>
      </c>
      <c r="BL37" s="253">
        <v>666176.32459259254</v>
      </c>
      <c r="BM37" s="202">
        <v>17320.584439407408</v>
      </c>
      <c r="BN37" s="344">
        <f t="shared" si="20"/>
        <v>5476</v>
      </c>
      <c r="BO37" s="253">
        <v>9733.7615634650829</v>
      </c>
      <c r="BP37" s="111">
        <v>272.5453237770223</v>
      </c>
      <c r="BQ37" s="258">
        <v>445.89612145356335</v>
      </c>
      <c r="BR37" s="679">
        <f t="shared" si="21"/>
        <v>0.44589612145356333</v>
      </c>
      <c r="BS37" s="206">
        <v>18.092741492973097</v>
      </c>
      <c r="BT37" s="253">
        <v>229.8477471636289</v>
      </c>
      <c r="BU37" s="695">
        <f t="shared" si="45"/>
        <v>0.22984774716362891</v>
      </c>
      <c r="BV37" s="202">
        <v>16.319190048617653</v>
      </c>
      <c r="BW37" s="266">
        <v>208.77641929141919</v>
      </c>
      <c r="BX37" s="695">
        <f t="shared" si="46"/>
        <v>0.20877641929141919</v>
      </c>
      <c r="BY37" s="202">
        <v>3.5491991279541257</v>
      </c>
      <c r="BZ37" s="253">
        <v>6400.3839149293472</v>
      </c>
      <c r="CA37" s="206">
        <v>428.82572230026631</v>
      </c>
      <c r="CB37" s="344">
        <f t="shared" si="22"/>
        <v>200</v>
      </c>
      <c r="CC37" s="258">
        <v>5304100.347066666</v>
      </c>
      <c r="CD37" s="206">
        <v>148514.80971786662</v>
      </c>
      <c r="CE37" s="344">
        <f t="shared" si="23"/>
        <v>2050</v>
      </c>
      <c r="CF37" s="253">
        <v>225.57167050791875</v>
      </c>
      <c r="CG37" s="202">
        <v>7.6563632051489012</v>
      </c>
      <c r="CH37" s="272">
        <v>86.321234670168522</v>
      </c>
      <c r="CI37" s="271">
        <v>2.7672320979208456</v>
      </c>
      <c r="CJ37" s="256">
        <v>38.968137514356989</v>
      </c>
      <c r="CK37" s="202">
        <v>1.5352214211230832</v>
      </c>
      <c r="CL37" s="253">
        <v>9506.7658950235509</v>
      </c>
      <c r="CM37" s="206">
        <v>180.62855200544746</v>
      </c>
      <c r="CN37" s="253">
        <v>36.585011007674673</v>
      </c>
      <c r="CO37" s="685">
        <f t="shared" si="24"/>
        <v>3.6585011007674674E-2</v>
      </c>
      <c r="CP37" s="111">
        <v>1.4082411110395225</v>
      </c>
      <c r="CQ37" s="47">
        <v>360.77146350910073</v>
      </c>
      <c r="CR37" s="686">
        <f t="shared" si="25"/>
        <v>0.36077146350910072</v>
      </c>
      <c r="CS37" s="111">
        <v>13.426832642399575</v>
      </c>
      <c r="CT37" s="47">
        <v>1118.6610736071866</v>
      </c>
      <c r="CU37" s="685">
        <f t="shared" si="26"/>
        <v>1.1186610736071867</v>
      </c>
      <c r="CV37" s="111">
        <v>37.129756578016128</v>
      </c>
      <c r="CW37" s="253">
        <v>19.243404783866406</v>
      </c>
      <c r="CX37" s="674">
        <f t="shared" si="27"/>
        <v>1.9243404783866408E-2</v>
      </c>
      <c r="CY37" s="202">
        <v>0.74021482610475653</v>
      </c>
      <c r="CZ37" s="258">
        <v>225.12266151955765</v>
      </c>
      <c r="DA37" s="679">
        <f t="shared" si="28"/>
        <v>0.22512266151955765</v>
      </c>
      <c r="DB37" s="206">
        <v>15.533463644849478</v>
      </c>
      <c r="DC37" s="256">
        <v>12.770560513303556</v>
      </c>
      <c r="DD37" s="703">
        <f t="shared" si="43"/>
        <v>1.2770560513303556E-2</v>
      </c>
      <c r="DE37" s="111">
        <v>0.68481706473254023</v>
      </c>
      <c r="DF37" s="255" t="s">
        <v>117</v>
      </c>
      <c r="DG37" s="111"/>
      <c r="DH37" s="256">
        <v>28.59823396321891</v>
      </c>
      <c r="DI37" s="695">
        <f t="shared" si="47"/>
        <v>2.8598233963218908E-2</v>
      </c>
      <c r="DJ37" s="111">
        <v>0.99857911956532774</v>
      </c>
      <c r="DK37" s="255" t="s">
        <v>116</v>
      </c>
      <c r="DL37" s="695" t="e">
        <f t="shared" si="48"/>
        <v>#VALUE!</v>
      </c>
      <c r="DM37" s="111"/>
      <c r="DN37" s="256">
        <v>44.591980143332805</v>
      </c>
      <c r="DO37" s="674">
        <f t="shared" si="29"/>
        <v>4.4591980143332807E-2</v>
      </c>
      <c r="DP37" s="111">
        <v>1.7066286238008477</v>
      </c>
      <c r="DQ37" s="256">
        <v>1.3456661643271524</v>
      </c>
      <c r="DR37" s="111">
        <v>5.9131420703559485E-2</v>
      </c>
      <c r="DS37" s="47">
        <v>8.9846334011469455</v>
      </c>
      <c r="DT37" s="692">
        <f t="shared" si="30"/>
        <v>8.9846334011469461E-3</v>
      </c>
      <c r="DU37" s="111">
        <v>0.30722643095082858</v>
      </c>
      <c r="DV37" s="258">
        <v>2630.8936319475733</v>
      </c>
      <c r="DW37" s="674">
        <f t="shared" si="31"/>
        <v>2.6308936319475733</v>
      </c>
      <c r="DX37" s="206">
        <v>55.24876627089904</v>
      </c>
      <c r="DY37" s="255" t="s">
        <v>119</v>
      </c>
      <c r="DZ37" s="111"/>
      <c r="EA37" s="47">
        <v>1.1300356896932167</v>
      </c>
      <c r="EB37" s="111">
        <v>4.0391970072329073E-2</v>
      </c>
      <c r="EC37" s="255" t="s">
        <v>117</v>
      </c>
      <c r="ED37" s="111"/>
      <c r="EE37" s="255" t="s">
        <v>120</v>
      </c>
      <c r="EF37" s="111"/>
      <c r="EG37" s="266">
        <v>1836.0150352652058</v>
      </c>
      <c r="EH37" s="693">
        <f t="shared" si="32"/>
        <v>1.8360150352652058</v>
      </c>
      <c r="EI37" s="202">
        <v>110.16090211591236</v>
      </c>
      <c r="EJ37" s="255" t="s">
        <v>118</v>
      </c>
      <c r="EK37" s="708" t="e">
        <f t="shared" si="49"/>
        <v>#VALUE!</v>
      </c>
      <c r="EL37" s="111"/>
      <c r="EM37" s="256">
        <v>10.863713654935871</v>
      </c>
      <c r="EN37" s="708">
        <f t="shared" si="50"/>
        <v>1.0863713654935872E-2</v>
      </c>
      <c r="EO37" s="111">
        <v>0.50477829979308331</v>
      </c>
    </row>
    <row r="38" spans="1:145" ht="15.75" thickBot="1" x14ac:dyDescent="0.3">
      <c r="A38" s="17" t="s">
        <v>184</v>
      </c>
      <c r="B38" s="13">
        <v>0.1936682177844084</v>
      </c>
      <c r="C38" s="190">
        <v>2.418390697284258E-3</v>
      </c>
      <c r="D38" s="25">
        <v>69.076819999999998</v>
      </c>
      <c r="E38" s="215">
        <v>3.2000000000000002E-3</v>
      </c>
      <c r="F38" s="215"/>
      <c r="G38" s="215"/>
      <c r="H38" s="20">
        <v>8.2140665549999987</v>
      </c>
      <c r="I38" s="20">
        <v>0.16428133109999998</v>
      </c>
      <c r="J38" s="11">
        <v>8.5749999999999993</v>
      </c>
      <c r="K38" s="92">
        <v>0.15434999999999999</v>
      </c>
      <c r="L38" s="34">
        <v>9.5398361939999994</v>
      </c>
      <c r="M38" s="198">
        <v>0.21941623246199998</v>
      </c>
      <c r="N38" s="63"/>
      <c r="O38" s="150"/>
      <c r="P38" s="64"/>
      <c r="Q38" s="64"/>
      <c r="R38" s="64"/>
      <c r="S38" s="64"/>
      <c r="T38" s="625"/>
      <c r="U38" s="64"/>
      <c r="V38" s="625"/>
      <c r="W38" s="620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304">
        <v>0.44</v>
      </c>
      <c r="AJ38" s="304">
        <v>2.0179999999999998</v>
      </c>
      <c r="AK38" s="304">
        <v>0.2</v>
      </c>
      <c r="AL38" s="68">
        <f t="shared" si="51"/>
        <v>2.7666888254915485E-2</v>
      </c>
      <c r="AM38" s="11">
        <f t="shared" si="52"/>
        <v>3.0033400000000001</v>
      </c>
      <c r="AN38" s="11"/>
      <c r="AO38" s="11">
        <f t="shared" si="53"/>
        <v>0.21061709115384611</v>
      </c>
      <c r="AP38" s="11">
        <f t="shared" si="54"/>
        <v>0.70576131687242794</v>
      </c>
      <c r="AQ38" s="31">
        <f t="shared" si="55"/>
        <v>0.47615853226853005</v>
      </c>
      <c r="AR38" s="63"/>
      <c r="AS38" s="64"/>
      <c r="AT38" s="64"/>
      <c r="AU38" s="64"/>
      <c r="AV38" s="64"/>
      <c r="AW38" s="65"/>
      <c r="AX38" s="84"/>
      <c r="AY38" s="311"/>
      <c r="AZ38" s="85"/>
      <c r="BA38" s="86"/>
      <c r="BB38" s="86"/>
      <c r="BC38" s="501"/>
      <c r="BD38" s="501"/>
      <c r="BE38" s="501"/>
      <c r="BF38" s="264">
        <v>348.85176140637765</v>
      </c>
      <c r="BG38" s="674">
        <f t="shared" si="18"/>
        <v>0.34885176140637764</v>
      </c>
      <c r="BH38" s="199">
        <v>7.9365175697654857</v>
      </c>
      <c r="BI38" s="267">
        <v>1617.625</v>
      </c>
      <c r="BJ38" s="679">
        <f t="shared" si="19"/>
        <v>1.6176250000000001</v>
      </c>
      <c r="BK38" s="203">
        <v>103.52800000000001</v>
      </c>
      <c r="BL38" s="261">
        <v>693034.35654545447</v>
      </c>
      <c r="BM38" s="203">
        <v>31186.546044545452</v>
      </c>
      <c r="BN38" s="341">
        <f t="shared" si="20"/>
        <v>2017.9999999999998</v>
      </c>
      <c r="BO38" s="261">
        <v>18868.9375</v>
      </c>
      <c r="BP38" s="199">
        <v>641.54387499999996</v>
      </c>
      <c r="BQ38" s="261">
        <v>381.6875</v>
      </c>
      <c r="BR38" s="679">
        <f t="shared" si="21"/>
        <v>0.38168750000000001</v>
      </c>
      <c r="BS38" s="207">
        <v>9.160499999999999</v>
      </c>
      <c r="BT38" s="261">
        <v>294.8125</v>
      </c>
      <c r="BU38" s="695">
        <f t="shared" si="45"/>
        <v>0.29481249999999998</v>
      </c>
      <c r="BV38" s="203">
        <v>8.8443749999999994</v>
      </c>
      <c r="BW38" s="261">
        <v>219.375</v>
      </c>
      <c r="BX38" s="695">
        <f t="shared" si="46"/>
        <v>0.21937499999999999</v>
      </c>
      <c r="BY38" s="203">
        <v>5.7037500000000003</v>
      </c>
      <c r="BZ38" s="261">
        <v>19605.25</v>
      </c>
      <c r="CA38" s="207">
        <v>588.15750000000003</v>
      </c>
      <c r="CB38" s="341">
        <f t="shared" si="22"/>
        <v>200</v>
      </c>
      <c r="CC38" s="267">
        <v>2776909.8840000001</v>
      </c>
      <c r="CD38" s="207">
        <v>49984.377911999996</v>
      </c>
      <c r="CE38" s="341">
        <f t="shared" si="23"/>
        <v>440</v>
      </c>
      <c r="CF38" s="261">
        <v>589.27235941267918</v>
      </c>
      <c r="CG38" s="203">
        <v>4.7318788942447689</v>
      </c>
      <c r="CH38" s="273">
        <v>240.13936085829724</v>
      </c>
      <c r="CI38" s="274">
        <v>2.6478369175680889</v>
      </c>
      <c r="CJ38" s="263">
        <v>96.894288359752423</v>
      </c>
      <c r="CK38" s="203">
        <v>2.3120761491471797</v>
      </c>
      <c r="CL38" s="261">
        <v>6547.3125</v>
      </c>
      <c r="CM38" s="207">
        <v>111.30431249999999</v>
      </c>
      <c r="CN38" s="261">
        <v>68.733643244390748</v>
      </c>
      <c r="CO38" s="685">
        <f t="shared" si="24"/>
        <v>6.8733643244390755E-2</v>
      </c>
      <c r="CP38" s="199">
        <v>0.9532216413154212</v>
      </c>
      <c r="CQ38" s="264">
        <v>200.64784799347291</v>
      </c>
      <c r="CR38" s="686">
        <f t="shared" si="25"/>
        <v>0.20064784799347291</v>
      </c>
      <c r="CS38" s="199">
        <v>3.0965882239043636</v>
      </c>
      <c r="CT38" s="264">
        <v>750.36872622709484</v>
      </c>
      <c r="CU38" s="685">
        <f t="shared" si="26"/>
        <v>0.75036872622709483</v>
      </c>
      <c r="CV38" s="199">
        <v>7.8448478813344726</v>
      </c>
      <c r="CW38" s="267">
        <v>134.4077531179131</v>
      </c>
      <c r="CX38" s="674">
        <f t="shared" si="27"/>
        <v>0.13440775311791311</v>
      </c>
      <c r="CY38" s="203">
        <v>2.4370045923869394</v>
      </c>
      <c r="CZ38" s="267">
        <v>221.14656994183949</v>
      </c>
      <c r="DA38" s="679">
        <f t="shared" si="28"/>
        <v>0.22114656994183948</v>
      </c>
      <c r="DB38" s="207">
        <v>4.5186954049195007</v>
      </c>
      <c r="DC38" s="263">
        <v>57.896248531931839</v>
      </c>
      <c r="DD38" s="703">
        <f t="shared" si="43"/>
        <v>5.7896248531931836E-2</v>
      </c>
      <c r="DE38" s="199">
        <v>1.1048441875897885</v>
      </c>
      <c r="DF38" s="265" t="s">
        <v>117</v>
      </c>
      <c r="DG38" s="199"/>
      <c r="DH38" s="263">
        <v>27.909390081002922</v>
      </c>
      <c r="DI38" s="695">
        <f t="shared" si="47"/>
        <v>2.7909390081002922E-2</v>
      </c>
      <c r="DJ38" s="199">
        <v>0.54881938996693802</v>
      </c>
      <c r="DK38" s="265" t="s">
        <v>116</v>
      </c>
      <c r="DL38" s="695" t="e">
        <f t="shared" si="48"/>
        <v>#VALUE!</v>
      </c>
      <c r="DM38" s="199"/>
      <c r="DN38" s="263">
        <v>17.944854051870564</v>
      </c>
      <c r="DO38" s="674">
        <f t="shared" si="29"/>
        <v>1.7944854051870563E-2</v>
      </c>
      <c r="DP38" s="199">
        <v>0.33627530281481777</v>
      </c>
      <c r="DQ38" s="263">
        <v>1.2256078572522029</v>
      </c>
      <c r="DR38" s="199">
        <v>2.9674745888614625E-2</v>
      </c>
      <c r="DS38" s="259">
        <v>18.938930755688027</v>
      </c>
      <c r="DT38" s="692">
        <f t="shared" si="30"/>
        <v>1.8938930755688026E-2</v>
      </c>
      <c r="DU38" s="199">
        <v>0.22747302980881026</v>
      </c>
      <c r="DV38" s="267">
        <v>338.625</v>
      </c>
      <c r="DW38" s="674">
        <f t="shared" si="31"/>
        <v>0.33862500000000001</v>
      </c>
      <c r="DX38" s="207">
        <v>4.0634999999999994</v>
      </c>
      <c r="DY38" s="265" t="s">
        <v>119</v>
      </c>
      <c r="DZ38" s="199"/>
      <c r="EA38" s="264">
        <v>1.4490933567719366</v>
      </c>
      <c r="EB38" s="199">
        <v>5.2505165559594572E-2</v>
      </c>
      <c r="EC38" s="265" t="s">
        <v>117</v>
      </c>
      <c r="ED38" s="199"/>
      <c r="EE38" s="263">
        <v>2.7337872689212164</v>
      </c>
      <c r="EF38" s="199">
        <v>4.5488956136448377E-2</v>
      </c>
      <c r="EG38" s="262">
        <v>1491.75</v>
      </c>
      <c r="EH38" s="693">
        <f t="shared" si="32"/>
        <v>1.4917499999999999</v>
      </c>
      <c r="EI38" s="203">
        <v>38.785499999999999</v>
      </c>
      <c r="EJ38" s="265" t="s">
        <v>118</v>
      </c>
      <c r="EK38" s="708" t="e">
        <f t="shared" si="49"/>
        <v>#VALUE!</v>
      </c>
      <c r="EL38" s="199"/>
      <c r="EM38" s="263">
        <v>16.711163964420624</v>
      </c>
      <c r="EN38" s="708">
        <f t="shared" si="50"/>
        <v>1.6711163964420624E-2</v>
      </c>
      <c r="EO38" s="199">
        <v>0.31920226930013679</v>
      </c>
    </row>
    <row r="39" spans="1:145" ht="15.75" thickBot="1" x14ac:dyDescent="0.3">
      <c r="A39" s="15" t="s">
        <v>185</v>
      </c>
      <c r="B39" s="14">
        <v>0.42422873172862274</v>
      </c>
      <c r="C39" s="191">
        <v>2.1698982449684059E-2</v>
      </c>
      <c r="D39" s="3">
        <v>5.3987505000000002</v>
      </c>
      <c r="E39" s="212">
        <v>3.5000000000000001E-3</v>
      </c>
      <c r="F39" s="212"/>
      <c r="G39" s="212"/>
      <c r="H39" s="3">
        <v>21.210292351999996</v>
      </c>
      <c r="I39" s="3">
        <v>0.50904701644799988</v>
      </c>
      <c r="J39" s="3">
        <v>36.674880547297299</v>
      </c>
      <c r="K39" s="193">
        <v>1.5403449829864866</v>
      </c>
      <c r="L39" s="6">
        <v>13.416552319999999</v>
      </c>
      <c r="M39" s="195">
        <v>0.46957933119999995</v>
      </c>
      <c r="N39" s="61"/>
      <c r="O39" s="148"/>
      <c r="P39" s="40"/>
      <c r="Q39" s="40"/>
      <c r="R39" s="40"/>
      <c r="S39" s="40"/>
      <c r="T39" s="624"/>
      <c r="U39" s="40"/>
      <c r="V39" s="624"/>
      <c r="W39" s="619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99">
        <v>0.94</v>
      </c>
      <c r="AJ39" s="99">
        <v>0.05</v>
      </c>
      <c r="AK39" s="99">
        <v>0</v>
      </c>
      <c r="AL39" s="66">
        <f t="shared" si="51"/>
        <v>6.0604104532660394E-2</v>
      </c>
      <c r="AM39" s="3">
        <f t="shared" si="52"/>
        <v>0.23472828260869566</v>
      </c>
      <c r="AN39" s="3"/>
      <c r="AO39" s="3">
        <f t="shared" si="53"/>
        <v>0.54385365005128194</v>
      </c>
      <c r="AP39" s="3">
        <f t="shared" si="54"/>
        <v>3.0185086870203537</v>
      </c>
      <c r="AQ39" s="6">
        <f t="shared" si="55"/>
        <v>0.66965571849263783</v>
      </c>
      <c r="AR39" s="61"/>
      <c r="AS39" s="40"/>
      <c r="AT39" s="40"/>
      <c r="AU39" s="40"/>
      <c r="AV39" s="40"/>
      <c r="AW39" s="41"/>
      <c r="AX39" s="75"/>
      <c r="AY39" s="308"/>
      <c r="AZ39" s="76"/>
      <c r="BA39" s="77"/>
      <c r="BB39" s="77"/>
      <c r="BC39" s="502"/>
      <c r="BD39" s="502"/>
      <c r="BE39" s="502"/>
      <c r="BF39" s="44">
        <v>47.204567775034121</v>
      </c>
      <c r="BG39" s="674">
        <f t="shared" si="18"/>
        <v>4.7204567775034123E-2</v>
      </c>
      <c r="BH39" s="6">
        <v>2.0930853014467972</v>
      </c>
      <c r="BI39" s="247">
        <v>1675.1743154362416</v>
      </c>
      <c r="BJ39" s="679">
        <f t="shared" si="19"/>
        <v>1.6751743154362415</v>
      </c>
      <c r="BK39" s="201">
        <v>51.930403778523498</v>
      </c>
      <c r="BL39" s="248">
        <v>26051.03810526316</v>
      </c>
      <c r="BM39" s="201">
        <v>521.0207621052632</v>
      </c>
      <c r="BN39" s="339">
        <f t="shared" si="20"/>
        <v>50</v>
      </c>
      <c r="BO39" s="248">
        <v>10437.280244966443</v>
      </c>
      <c r="BP39" s="6">
        <v>448.80305053355704</v>
      </c>
      <c r="BQ39" s="248">
        <v>928.04353020134226</v>
      </c>
      <c r="BR39" s="679">
        <f t="shared" si="21"/>
        <v>0.92804353020134223</v>
      </c>
      <c r="BS39" s="208">
        <v>27.841305906040269</v>
      </c>
      <c r="BT39" s="248">
        <v>339.95041946308726</v>
      </c>
      <c r="BU39" s="695">
        <f t="shared" si="45"/>
        <v>0.33995041946308724</v>
      </c>
      <c r="BV39" s="201">
        <v>15.977669714765103</v>
      </c>
      <c r="BW39" s="248">
        <v>335.22067449664428</v>
      </c>
      <c r="BX39" s="695">
        <f t="shared" si="46"/>
        <v>0.33522067449664428</v>
      </c>
      <c r="BY39" s="208">
        <v>7.0396341644295299</v>
      </c>
      <c r="BZ39" s="248">
        <v>2008.1990369127518</v>
      </c>
      <c r="CA39" s="208">
        <v>60.245971107382559</v>
      </c>
      <c r="CB39" s="339">
        <f t="shared" si="22"/>
        <v>0</v>
      </c>
      <c r="CC39" s="248">
        <v>200338.81389473684</v>
      </c>
      <c r="CD39" s="208">
        <v>4607.7927195789471</v>
      </c>
      <c r="CE39" s="339">
        <f t="shared" si="23"/>
        <v>940</v>
      </c>
      <c r="CF39" s="248">
        <v>377.33147089549783</v>
      </c>
      <c r="CG39" s="201">
        <v>1.5543408728190153</v>
      </c>
      <c r="CH39" s="248">
        <v>717.14758053691276</v>
      </c>
      <c r="CI39" s="201">
        <v>27.968755640939598</v>
      </c>
      <c r="CJ39" s="248">
        <v>414.612822147651</v>
      </c>
      <c r="CK39" s="201">
        <v>17.413738530201343</v>
      </c>
      <c r="CL39" s="248">
        <v>10083.22505033557</v>
      </c>
      <c r="CM39" s="208">
        <v>352.91287676174494</v>
      </c>
      <c r="CN39" s="248">
        <v>119.01872718158948</v>
      </c>
      <c r="CO39" s="685">
        <f t="shared" si="24"/>
        <v>0.11901872718158948</v>
      </c>
      <c r="CP39" s="6">
        <v>5.6281017865169414</v>
      </c>
      <c r="CQ39" s="44">
        <v>114.82606759136027</v>
      </c>
      <c r="CR39" s="686">
        <f t="shared" si="25"/>
        <v>0.11482606759136027</v>
      </c>
      <c r="CS39" s="6">
        <v>7.3516451711325574</v>
      </c>
      <c r="CT39" s="44">
        <v>195.02886374870255</v>
      </c>
      <c r="CU39" s="685">
        <f t="shared" si="26"/>
        <v>0.19502886374870254</v>
      </c>
      <c r="CV39" s="6">
        <v>5.6871840896232921</v>
      </c>
      <c r="CW39" s="247">
        <v>354.81037462373092</v>
      </c>
      <c r="CX39" s="674">
        <f t="shared" si="27"/>
        <v>0.35481037462373094</v>
      </c>
      <c r="CY39" s="201">
        <v>18.016111371302962</v>
      </c>
      <c r="CZ39" s="247">
        <v>369.51132550335569</v>
      </c>
      <c r="DA39" s="679">
        <f t="shared" si="28"/>
        <v>0.36951132550335569</v>
      </c>
      <c r="DB39" s="208">
        <v>8.8682718120805362</v>
      </c>
      <c r="DC39" s="248">
        <v>155.66637864120383</v>
      </c>
      <c r="DD39" s="703">
        <f t="shared" si="43"/>
        <v>0.15566637864120383</v>
      </c>
      <c r="DE39" s="201">
        <v>6.0001999592094526</v>
      </c>
      <c r="DF39" s="245">
        <v>1.990151642395503</v>
      </c>
      <c r="DG39" s="6">
        <v>4.3291032305872675E-2</v>
      </c>
      <c r="DH39" s="245">
        <v>28.839868390837353</v>
      </c>
      <c r="DI39" s="695">
        <f t="shared" si="47"/>
        <v>2.8839868390837353E-2</v>
      </c>
      <c r="DJ39" s="6">
        <v>1.065959614827322</v>
      </c>
      <c r="DK39" s="245">
        <v>1.67069433608686</v>
      </c>
      <c r="DL39" s="695">
        <f t="shared" si="48"/>
        <v>1.6706943360868601E-3</v>
      </c>
      <c r="DM39" s="6">
        <v>7.9209359043148922E-2</v>
      </c>
      <c r="DN39" s="245">
        <v>38.4305609739909</v>
      </c>
      <c r="DO39" s="674">
        <f t="shared" si="29"/>
        <v>3.8430560973990897E-2</v>
      </c>
      <c r="DP39" s="6">
        <v>1.1337023422181458</v>
      </c>
      <c r="DQ39" s="245">
        <v>1.8512091091042482</v>
      </c>
      <c r="DR39" s="6">
        <v>6.3848131127786201E-2</v>
      </c>
      <c r="DS39" s="44">
        <v>51.531356496913538</v>
      </c>
      <c r="DT39" s="692">
        <f t="shared" si="30"/>
        <v>5.1531356496913538E-2</v>
      </c>
      <c r="DU39" s="6">
        <v>2.1775827076518817</v>
      </c>
      <c r="DV39" s="247">
        <v>930.91516107382552</v>
      </c>
      <c r="DW39" s="674">
        <f t="shared" si="31"/>
        <v>0.93091516107382555</v>
      </c>
      <c r="DX39" s="208">
        <v>34.443860959731545</v>
      </c>
      <c r="DY39" s="249" t="s">
        <v>119</v>
      </c>
      <c r="DZ39" s="6"/>
      <c r="EA39" s="246" t="s">
        <v>115</v>
      </c>
      <c r="EB39" s="6"/>
      <c r="EC39" s="249" t="s">
        <v>117</v>
      </c>
      <c r="ED39" s="6"/>
      <c r="EE39" s="245">
        <v>4.3730212918024876</v>
      </c>
      <c r="EF39" s="6">
        <v>0.15484024547776415</v>
      </c>
      <c r="EG39" s="248">
        <v>2163.4360234899327</v>
      </c>
      <c r="EH39" s="693">
        <f t="shared" si="32"/>
        <v>2.1634360234899326</v>
      </c>
      <c r="EI39" s="201">
        <v>56.249336610738254</v>
      </c>
      <c r="EJ39" s="245">
        <v>3.3743352592702252</v>
      </c>
      <c r="EK39" s="708">
        <f t="shared" si="49"/>
        <v>3.3743352592702251E-3</v>
      </c>
      <c r="EL39" s="6">
        <v>0.13251803462812059</v>
      </c>
      <c r="EM39" s="245">
        <v>16.497779047017954</v>
      </c>
      <c r="EN39" s="708">
        <f t="shared" si="50"/>
        <v>1.6497779047017953E-2</v>
      </c>
      <c r="EO39" s="6">
        <v>0.85855821399683452</v>
      </c>
    </row>
    <row r="40" spans="1:145" ht="15.75" thickBot="1" x14ac:dyDescent="0.3">
      <c r="A40" s="16" t="s">
        <v>186</v>
      </c>
      <c r="B40" s="12">
        <v>0.16353334840823064</v>
      </c>
      <c r="C40" s="189">
        <v>5.1293848921495667E-3</v>
      </c>
      <c r="D40" s="7">
        <v>13.473756481886699</v>
      </c>
      <c r="E40" s="210">
        <v>3.8999999999999998E-3</v>
      </c>
      <c r="F40" s="210"/>
      <c r="G40" s="210"/>
      <c r="H40" s="7">
        <v>10.208495096800002</v>
      </c>
      <c r="I40" s="7">
        <v>0.26542087251680002</v>
      </c>
      <c r="J40" s="7">
        <v>11.7190721395575</v>
      </c>
      <c r="K40" s="93">
        <v>0.49220102986141501</v>
      </c>
      <c r="L40" s="10">
        <v>14.794989237600001</v>
      </c>
      <c r="M40" s="160">
        <v>0.44384967712800005</v>
      </c>
      <c r="N40" s="62"/>
      <c r="O40" s="149"/>
      <c r="P40" s="42"/>
      <c r="Q40" s="42"/>
      <c r="R40" s="42"/>
      <c r="S40" s="42"/>
      <c r="T40" s="354"/>
      <c r="U40" s="42"/>
      <c r="V40" s="354"/>
      <c r="W40" s="16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100">
        <v>1.21</v>
      </c>
      <c r="AJ40" s="100">
        <v>0.22800000000000001</v>
      </c>
      <c r="AK40" s="100">
        <v>0</v>
      </c>
      <c r="AL40" s="67">
        <f t="shared" si="51"/>
        <v>2.3361906915461521E-2</v>
      </c>
      <c r="AM40" s="7">
        <f t="shared" si="52"/>
        <v>0.58581549921246523</v>
      </c>
      <c r="AN40" s="7"/>
      <c r="AO40" s="7">
        <f t="shared" si="53"/>
        <v>0.26175628453333338</v>
      </c>
      <c r="AP40" s="7">
        <f t="shared" si="54"/>
        <v>0.96453268638333334</v>
      </c>
      <c r="AQ40" s="10">
        <f t="shared" si="55"/>
        <v>0.73845716184676824</v>
      </c>
      <c r="AR40" s="62"/>
      <c r="AS40" s="42"/>
      <c r="AT40" s="42"/>
      <c r="AU40" s="42"/>
      <c r="AV40" s="42"/>
      <c r="AW40" s="43"/>
      <c r="AX40" s="78"/>
      <c r="AY40" s="309"/>
      <c r="AZ40" s="79"/>
      <c r="BA40" s="80"/>
      <c r="BB40" s="80"/>
      <c r="BC40" s="499"/>
      <c r="BD40" s="499"/>
      <c r="BE40" s="499"/>
      <c r="BF40" s="47">
        <v>101.2560227113938</v>
      </c>
      <c r="BG40" s="674">
        <f t="shared" si="18"/>
        <v>0.10125602271139379</v>
      </c>
      <c r="BH40" s="111">
        <v>2.6142697882011832</v>
      </c>
      <c r="BI40" s="253">
        <v>1789.3146656941403</v>
      </c>
      <c r="BJ40" s="679">
        <f t="shared" si="19"/>
        <v>1.7893146656941403</v>
      </c>
      <c r="BK40" s="202">
        <v>62.626013299294911</v>
      </c>
      <c r="BL40" s="253">
        <v>382361.56199999992</v>
      </c>
      <c r="BM40" s="202">
        <v>13765.016231999998</v>
      </c>
      <c r="BN40" s="337">
        <f t="shared" si="20"/>
        <v>228</v>
      </c>
      <c r="BO40" s="253">
        <v>9509.9257719426205</v>
      </c>
      <c r="BP40" s="111">
        <v>532.55584322878667</v>
      </c>
      <c r="BQ40" s="253">
        <v>675.41324337466563</v>
      </c>
      <c r="BR40" s="679">
        <f t="shared" si="21"/>
        <v>0.67541324337466557</v>
      </c>
      <c r="BS40" s="206">
        <v>17.560744327741308</v>
      </c>
      <c r="BT40" s="253">
        <v>233.02305616338438</v>
      </c>
      <c r="BU40" s="695">
        <f t="shared" si="45"/>
        <v>0.2330230561633844</v>
      </c>
      <c r="BV40" s="202">
        <v>7.4567377972283007</v>
      </c>
      <c r="BW40" s="266">
        <v>365.86933265608644</v>
      </c>
      <c r="BX40" s="695">
        <f t="shared" si="46"/>
        <v>0.36586933265608645</v>
      </c>
      <c r="BY40" s="206">
        <v>18.123849039244828</v>
      </c>
      <c r="BZ40" s="253">
        <v>1595.4336299538049</v>
      </c>
      <c r="CA40" s="206">
        <v>57.435610678336978</v>
      </c>
      <c r="CB40" s="337">
        <f t="shared" si="22"/>
        <v>0</v>
      </c>
      <c r="CC40" s="258">
        <v>7029349.4339999985</v>
      </c>
      <c r="CD40" s="206">
        <v>154645.68754799999</v>
      </c>
      <c r="CE40" s="337">
        <f t="shared" si="23"/>
        <v>1210</v>
      </c>
      <c r="CF40" s="253">
        <v>130.67146005942547</v>
      </c>
      <c r="CG40" s="202">
        <v>4.2188977734071784</v>
      </c>
      <c r="CH40" s="266">
        <v>349.10780209093116</v>
      </c>
      <c r="CI40" s="202">
        <v>17.455390104546559</v>
      </c>
      <c r="CJ40" s="253">
        <v>402.39460247994163</v>
      </c>
      <c r="CK40" s="202">
        <v>20.11973012399708</v>
      </c>
      <c r="CL40" s="253">
        <v>11325.700931193775</v>
      </c>
      <c r="CM40" s="206">
        <v>464.3537381789447</v>
      </c>
      <c r="CN40" s="253">
        <v>55.758358457681389</v>
      </c>
      <c r="CO40" s="685">
        <f t="shared" si="24"/>
        <v>5.5758358457681387E-2</v>
      </c>
      <c r="CP40" s="111">
        <v>2.793940814089205</v>
      </c>
      <c r="CQ40" s="47">
        <v>382.8904773437153</v>
      </c>
      <c r="CR40" s="686">
        <f t="shared" si="25"/>
        <v>0.38289047734371529</v>
      </c>
      <c r="CS40" s="111">
        <v>20.859088138399731</v>
      </c>
      <c r="CT40" s="47">
        <v>214.74390658350347</v>
      </c>
      <c r="CU40" s="685">
        <f t="shared" si="26"/>
        <v>0.21474390658350348</v>
      </c>
      <c r="CV40" s="111">
        <v>3.3294836881829712</v>
      </c>
      <c r="CW40" s="253">
        <v>190.6625900266221</v>
      </c>
      <c r="CX40" s="674">
        <f t="shared" si="27"/>
        <v>0.19066259002662209</v>
      </c>
      <c r="CY40" s="202">
        <v>8.9804335587720061</v>
      </c>
      <c r="CZ40" s="258">
        <v>418.97813761244834</v>
      </c>
      <c r="DA40" s="679">
        <f t="shared" si="28"/>
        <v>0.41897813761244834</v>
      </c>
      <c r="DB40" s="206">
        <v>15.921169229273037</v>
      </c>
      <c r="DC40" s="256">
        <v>66.772556604756005</v>
      </c>
      <c r="DD40" s="703">
        <f t="shared" si="43"/>
        <v>6.6772556604756006E-2</v>
      </c>
      <c r="DE40" s="202">
        <v>3.0687858778998343</v>
      </c>
      <c r="DF40" s="255" t="s">
        <v>117</v>
      </c>
      <c r="DG40" s="111"/>
      <c r="DH40" s="256">
        <v>12.767935023787899</v>
      </c>
      <c r="DI40" s="695">
        <f t="shared" si="47"/>
        <v>1.27679350237879E-2</v>
      </c>
      <c r="DJ40" s="111">
        <v>0.6738159797823664</v>
      </c>
      <c r="DK40" s="256">
        <v>1.4532623617823852</v>
      </c>
      <c r="DL40" s="695">
        <f t="shared" si="48"/>
        <v>1.4532623617823852E-3</v>
      </c>
      <c r="DM40" s="111">
        <v>7.9112634820979619E-2</v>
      </c>
      <c r="DN40" s="256">
        <v>21.323040453002264</v>
      </c>
      <c r="DO40" s="674">
        <f t="shared" si="29"/>
        <v>2.1323040453002266E-2</v>
      </c>
      <c r="DP40" s="111">
        <v>1.2198037087264777</v>
      </c>
      <c r="DQ40" s="256">
        <v>2.1316372881181072</v>
      </c>
      <c r="DR40" s="111">
        <v>0.10984698203078432</v>
      </c>
      <c r="DS40" s="47">
        <v>32.241582172399774</v>
      </c>
      <c r="DT40" s="692">
        <f t="shared" si="30"/>
        <v>3.2241582172399773E-2</v>
      </c>
      <c r="DU40" s="111">
        <v>1.8615185224917845</v>
      </c>
      <c r="DV40" s="258">
        <v>875.63504254801842</v>
      </c>
      <c r="DW40" s="674">
        <f t="shared" si="31"/>
        <v>0.87563504254801838</v>
      </c>
      <c r="DX40" s="206">
        <v>28.895956404084604</v>
      </c>
      <c r="DY40" s="255" t="s">
        <v>119</v>
      </c>
      <c r="DZ40" s="111"/>
      <c r="EA40" s="47">
        <v>1.0677225759773947</v>
      </c>
      <c r="EB40" s="111">
        <v>5.095431511000461E-2</v>
      </c>
      <c r="EC40" s="255" t="s">
        <v>117</v>
      </c>
      <c r="ED40" s="111"/>
      <c r="EE40" s="256">
        <v>1.9316675890665935</v>
      </c>
      <c r="EF40" s="111">
        <v>3.8047111435606282E-2</v>
      </c>
      <c r="EG40" s="266">
        <v>2348.1554121079503</v>
      </c>
      <c r="EH40" s="693">
        <f t="shared" si="32"/>
        <v>2.3481554121079502</v>
      </c>
      <c r="EI40" s="202">
        <v>103.31883813274982</v>
      </c>
      <c r="EJ40" s="256">
        <v>1.0654308102170849</v>
      </c>
      <c r="EK40" s="708">
        <f t="shared" si="49"/>
        <v>1.0654308102170849E-3</v>
      </c>
      <c r="EL40" s="111">
        <v>3.8772169917276333E-2</v>
      </c>
      <c r="EM40" s="256">
        <v>7.269445225063234</v>
      </c>
      <c r="EN40" s="708">
        <f t="shared" si="50"/>
        <v>7.2694452250632339E-3</v>
      </c>
      <c r="EO40" s="111">
        <v>0.36531490562404278</v>
      </c>
    </row>
    <row r="41" spans="1:145" ht="15.75" thickBot="1" x14ac:dyDescent="0.3">
      <c r="A41" s="16" t="s">
        <v>187</v>
      </c>
      <c r="B41" s="12">
        <v>0.16770868970346173</v>
      </c>
      <c r="C41" s="189">
        <v>3.3455747680139732E-3</v>
      </c>
      <c r="D41" s="7">
        <v>9.0095575555555545</v>
      </c>
      <c r="E41" s="210">
        <v>1.2999999999999999E-3</v>
      </c>
      <c r="F41" s="210"/>
      <c r="G41" s="210"/>
      <c r="H41" s="7">
        <v>14.377567300000001</v>
      </c>
      <c r="I41" s="7">
        <v>0.18690837490000001</v>
      </c>
      <c r="J41" s="7">
        <v>13.637525777777777</v>
      </c>
      <c r="K41" s="93">
        <v>0.21820041244444446</v>
      </c>
      <c r="L41" s="10">
        <v>13.631307639999999</v>
      </c>
      <c r="M41" s="160">
        <v>0.10905046112</v>
      </c>
      <c r="N41" s="62"/>
      <c r="O41" s="149"/>
      <c r="P41" s="42"/>
      <c r="Q41" s="42"/>
      <c r="R41" s="42"/>
      <c r="S41" s="42"/>
      <c r="T41" s="354"/>
      <c r="U41" s="42"/>
      <c r="V41" s="354"/>
      <c r="W41" s="16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100">
        <v>0.99</v>
      </c>
      <c r="AJ41" s="100">
        <v>0.311</v>
      </c>
      <c r="AK41" s="100">
        <v>0</v>
      </c>
      <c r="AL41" s="67">
        <f t="shared" si="51"/>
        <v>2.3958384243351675E-2</v>
      </c>
      <c r="AM41" s="7">
        <f t="shared" si="52"/>
        <v>0.3917198937198067</v>
      </c>
      <c r="AN41" s="7"/>
      <c r="AO41" s="7">
        <f t="shared" si="53"/>
        <v>0.36865557179487179</v>
      </c>
      <c r="AP41" s="7">
        <f t="shared" si="54"/>
        <v>1.1224301051668952</v>
      </c>
      <c r="AQ41" s="10">
        <f t="shared" si="55"/>
        <v>0.680374726229099</v>
      </c>
      <c r="AR41" s="62"/>
      <c r="AS41" s="42"/>
      <c r="AT41" s="42"/>
      <c r="AU41" s="42"/>
      <c r="AV41" s="42"/>
      <c r="AW41" s="43"/>
      <c r="AX41" s="78"/>
      <c r="AY41" s="309"/>
      <c r="AZ41" s="79"/>
      <c r="BA41" s="80"/>
      <c r="BB41" s="80"/>
      <c r="BC41" s="499"/>
      <c r="BD41" s="499"/>
      <c r="BE41" s="499"/>
      <c r="BF41" s="47">
        <v>61.665774564765073</v>
      </c>
      <c r="BG41" s="674">
        <f t="shared" si="18"/>
        <v>6.1665774564765075E-2</v>
      </c>
      <c r="BH41" s="111">
        <v>2.6264453338873341</v>
      </c>
      <c r="BI41" s="253">
        <v>1605.3642222222222</v>
      </c>
      <c r="BJ41" s="679">
        <f t="shared" si="19"/>
        <v>1.6053642222222222</v>
      </c>
      <c r="BK41" s="202">
        <v>62.609204666666663</v>
      </c>
      <c r="BL41" s="253">
        <v>1589877.4675</v>
      </c>
      <c r="BM41" s="202">
        <v>55645.711362500006</v>
      </c>
      <c r="BN41" s="337">
        <f t="shared" si="20"/>
        <v>311</v>
      </c>
      <c r="BO41" s="253">
        <v>19361.906585158551</v>
      </c>
      <c r="BP41" s="111">
        <v>1413.4191807165741</v>
      </c>
      <c r="BQ41" s="253">
        <v>815.55996554424428</v>
      </c>
      <c r="BR41" s="679">
        <f t="shared" si="21"/>
        <v>0.81555996554424426</v>
      </c>
      <c r="BS41" s="206">
        <v>15.49563934534064</v>
      </c>
      <c r="BT41" s="253">
        <v>282.44405011746278</v>
      </c>
      <c r="BU41" s="695">
        <f t="shared" si="45"/>
        <v>0.28244405011746276</v>
      </c>
      <c r="BV41" s="202">
        <v>4.2366607517619421</v>
      </c>
      <c r="BW41" s="266">
        <v>363.82731909839924</v>
      </c>
      <c r="BX41" s="695">
        <f t="shared" si="46"/>
        <v>0.36382731909839927</v>
      </c>
      <c r="BY41" s="206">
        <v>27.775262411362686</v>
      </c>
      <c r="BZ41" s="253">
        <v>1520.7711104150353</v>
      </c>
      <c r="CA41" s="206">
        <v>24.332337766640567</v>
      </c>
      <c r="CB41" s="337">
        <f t="shared" si="22"/>
        <v>0</v>
      </c>
      <c r="CC41" s="253">
        <v>6080150.2659999998</v>
      </c>
      <c r="CD41" s="206">
        <v>164164.05718199999</v>
      </c>
      <c r="CE41" s="337">
        <f t="shared" si="23"/>
        <v>990</v>
      </c>
      <c r="CF41" s="253">
        <v>127.45164204272908</v>
      </c>
      <c r="CG41" s="202">
        <v>1.5509359008768617</v>
      </c>
      <c r="CH41" s="266">
        <v>285.92503367267028</v>
      </c>
      <c r="CI41" s="202">
        <v>2.8592503367267028</v>
      </c>
      <c r="CJ41" s="266">
        <v>366.35709945184027</v>
      </c>
      <c r="CK41" s="202">
        <v>4.7827565975325905</v>
      </c>
      <c r="CL41" s="253">
        <v>805.34689115113542</v>
      </c>
      <c r="CM41" s="206">
        <v>15.301590931871571</v>
      </c>
      <c r="CN41" s="253">
        <v>71.079802232949561</v>
      </c>
      <c r="CO41" s="685">
        <f t="shared" si="24"/>
        <v>7.107980223294956E-2</v>
      </c>
      <c r="CP41" s="111">
        <v>3.3289735510412419</v>
      </c>
      <c r="CQ41" s="47">
        <v>248.86349064319006</v>
      </c>
      <c r="CR41" s="686">
        <f t="shared" si="25"/>
        <v>0.24886349064319005</v>
      </c>
      <c r="CS41" s="111">
        <v>19.387997146023789</v>
      </c>
      <c r="CT41" s="47">
        <v>145.16701668378639</v>
      </c>
      <c r="CU41" s="685">
        <f t="shared" si="26"/>
        <v>0.1451670166837864</v>
      </c>
      <c r="CV41" s="111">
        <v>9.338188396551212</v>
      </c>
      <c r="CW41" s="253">
        <v>255.13208532582743</v>
      </c>
      <c r="CX41" s="674">
        <f t="shared" si="27"/>
        <v>0.25513208532582743</v>
      </c>
      <c r="CY41" s="202">
        <v>16.161047917015473</v>
      </c>
      <c r="CZ41" s="253">
        <v>386.84892717306184</v>
      </c>
      <c r="DA41" s="679">
        <f t="shared" si="28"/>
        <v>0.38684892717306185</v>
      </c>
      <c r="DB41" s="206">
        <v>7.3501296162881751</v>
      </c>
      <c r="DC41" s="256">
        <v>86.952872535496155</v>
      </c>
      <c r="DD41" s="703">
        <f t="shared" si="43"/>
        <v>8.6952872535496162E-2</v>
      </c>
      <c r="DE41" s="202">
        <v>6.0267746183977202</v>
      </c>
      <c r="DF41" s="256">
        <v>1.2169682270226063</v>
      </c>
      <c r="DG41" s="111">
        <v>0.10964512136966123</v>
      </c>
      <c r="DH41" s="256">
        <v>15.833010930303786</v>
      </c>
      <c r="DI41" s="695">
        <f t="shared" si="47"/>
        <v>1.5833010930303787E-2</v>
      </c>
      <c r="DJ41" s="111">
        <v>1.1476387823185288</v>
      </c>
      <c r="DK41" s="256">
        <v>1.5064498204907766</v>
      </c>
      <c r="DL41" s="695">
        <f t="shared" si="48"/>
        <v>1.5064498204907766E-3</v>
      </c>
      <c r="DM41" s="111">
        <v>9.6479217921168078E-2</v>
      </c>
      <c r="DN41" s="256">
        <v>24.09314073660488</v>
      </c>
      <c r="DO41" s="674">
        <f t="shared" si="29"/>
        <v>2.409314073660488E-2</v>
      </c>
      <c r="DP41" s="111">
        <v>1.4228568292076422</v>
      </c>
      <c r="DQ41" s="256">
        <v>1.9588904119625608</v>
      </c>
      <c r="DR41" s="111">
        <v>0.11036966305308459</v>
      </c>
      <c r="DS41" s="47">
        <v>44.594292236121632</v>
      </c>
      <c r="DT41" s="692">
        <f t="shared" si="30"/>
        <v>4.459429223612163E-2</v>
      </c>
      <c r="DU41" s="111">
        <v>2.7672231289217017</v>
      </c>
      <c r="DV41" s="258">
        <v>1199.8277777777778</v>
      </c>
      <c r="DW41" s="674">
        <f t="shared" si="31"/>
        <v>1.1998277777777777</v>
      </c>
      <c r="DX41" s="206">
        <v>28.795866666666665</v>
      </c>
      <c r="DY41" s="255" t="s">
        <v>119</v>
      </c>
      <c r="DZ41" s="111"/>
      <c r="EA41" s="47">
        <v>1.3205555439229577</v>
      </c>
      <c r="EB41" s="111">
        <v>8.4609126451947528E-2</v>
      </c>
      <c r="EC41" s="255" t="s">
        <v>117</v>
      </c>
      <c r="ED41" s="111"/>
      <c r="EE41" s="256">
        <v>1.79784041663218</v>
      </c>
      <c r="EF41" s="111">
        <v>6.8088670897328146E-2</v>
      </c>
      <c r="EG41" s="266">
        <v>2075.1408888888891</v>
      </c>
      <c r="EH41" s="693">
        <f t="shared" si="32"/>
        <v>2.0751408888888889</v>
      </c>
      <c r="EI41" s="202">
        <v>37.352536000000008</v>
      </c>
      <c r="EJ41" s="256">
        <v>1.4674079916963321</v>
      </c>
      <c r="EK41" s="708">
        <f t="shared" si="49"/>
        <v>1.467407991696332E-3</v>
      </c>
      <c r="EL41" s="111">
        <v>6.9688580871354378E-2</v>
      </c>
      <c r="EM41" s="256">
        <v>10.308495593995454</v>
      </c>
      <c r="EN41" s="708">
        <f t="shared" si="50"/>
        <v>1.0308495593995454E-2</v>
      </c>
      <c r="EO41" s="111">
        <v>0.6129911056481927</v>
      </c>
    </row>
    <row r="42" spans="1:145" ht="15.75" thickBot="1" x14ac:dyDescent="0.3">
      <c r="A42" s="16" t="s">
        <v>188</v>
      </c>
      <c r="B42" s="12">
        <v>0.10407989033715437</v>
      </c>
      <c r="C42" s="189">
        <v>6.117802555783796E-3</v>
      </c>
      <c r="D42" s="7">
        <v>15.868024166411688</v>
      </c>
      <c r="E42" s="210">
        <v>1.8E-3</v>
      </c>
      <c r="F42" s="210"/>
      <c r="G42" s="210"/>
      <c r="H42" s="7">
        <v>14.53902008</v>
      </c>
      <c r="I42" s="7">
        <v>0.69787296383999997</v>
      </c>
      <c r="J42" s="7">
        <v>10.597318200872024</v>
      </c>
      <c r="K42" s="93">
        <v>8.4778545606976202E-2</v>
      </c>
      <c r="L42" s="10">
        <v>22.61003096</v>
      </c>
      <c r="M42" s="160">
        <v>0.85918117648000003</v>
      </c>
      <c r="N42" s="62"/>
      <c r="O42" s="149"/>
      <c r="P42" s="42"/>
      <c r="Q42" s="42"/>
      <c r="R42" s="42"/>
      <c r="S42" s="42"/>
      <c r="T42" s="354"/>
      <c r="U42" s="42"/>
      <c r="V42" s="354"/>
      <c r="W42" s="16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100">
        <v>1.1100000000000001</v>
      </c>
      <c r="AJ42" s="100">
        <v>0.26</v>
      </c>
      <c r="AK42" s="100">
        <v>0.1</v>
      </c>
      <c r="AL42" s="67">
        <f t="shared" si="51"/>
        <v>1.4868555762450624E-2</v>
      </c>
      <c r="AM42" s="7">
        <f t="shared" si="52"/>
        <v>0.68991409419181249</v>
      </c>
      <c r="AN42" s="7"/>
      <c r="AO42" s="7">
        <f t="shared" si="53"/>
        <v>0.37279538666666667</v>
      </c>
      <c r="AP42" s="7">
        <f t="shared" si="54"/>
        <v>0.87220725933103083</v>
      </c>
      <c r="AQ42" s="10">
        <f t="shared" si="55"/>
        <v>1.1285266264037934</v>
      </c>
      <c r="AR42" s="62"/>
      <c r="AS42" s="42"/>
      <c r="AT42" s="42"/>
      <c r="AU42" s="42"/>
      <c r="AV42" s="42"/>
      <c r="AW42" s="43"/>
      <c r="AX42" s="81"/>
      <c r="AY42" s="310"/>
      <c r="AZ42" s="82"/>
      <c r="BA42" s="83"/>
      <c r="BB42" s="83"/>
      <c r="BC42" s="500"/>
      <c r="BD42" s="500"/>
      <c r="BE42" s="500"/>
      <c r="BF42" s="47">
        <v>35.086367318182262</v>
      </c>
      <c r="BG42" s="674">
        <f t="shared" si="18"/>
        <v>3.5086367318182259E-2</v>
      </c>
      <c r="BH42" s="111">
        <v>2.3045747951063577E-2</v>
      </c>
      <c r="BI42" s="253">
        <v>1813.2020014295927</v>
      </c>
      <c r="BJ42" s="679">
        <f t="shared" si="19"/>
        <v>1.8132020014295926</v>
      </c>
      <c r="BK42" s="202">
        <v>70.714878055754113</v>
      </c>
      <c r="BL42" s="253">
        <v>122757.21808695653</v>
      </c>
      <c r="BM42" s="202">
        <v>5892.3464681739142</v>
      </c>
      <c r="BN42" s="337">
        <f t="shared" si="20"/>
        <v>260</v>
      </c>
      <c r="BO42" s="253">
        <v>8547.4419177984273</v>
      </c>
      <c r="BP42" s="111">
        <v>384.63488630092922</v>
      </c>
      <c r="BQ42" s="258">
        <v>435.66787919942811</v>
      </c>
      <c r="BR42" s="679">
        <f t="shared" si="21"/>
        <v>0.43566787919942812</v>
      </c>
      <c r="BS42" s="206">
        <v>5.2280145503931372</v>
      </c>
      <c r="BT42" s="253">
        <v>204.44620872051465</v>
      </c>
      <c r="BU42" s="695">
        <f t="shared" si="45"/>
        <v>0.20444620872051464</v>
      </c>
      <c r="BV42" s="202">
        <v>4.9067090092923511</v>
      </c>
      <c r="BW42" s="266">
        <v>216.6740933449413</v>
      </c>
      <c r="BX42" s="695">
        <f t="shared" si="46"/>
        <v>0.21667409334494131</v>
      </c>
      <c r="BY42" s="202">
        <v>10.712332013337768</v>
      </c>
      <c r="BZ42" s="253">
        <v>1734.565889206576</v>
      </c>
      <c r="CA42" s="206">
        <v>53.771542565403863</v>
      </c>
      <c r="CB42" s="337">
        <f t="shared" si="22"/>
        <v>100</v>
      </c>
      <c r="CC42" s="258">
        <v>8186446.3029999994</v>
      </c>
      <c r="CD42" s="206">
        <v>245593.38908999998</v>
      </c>
      <c r="CE42" s="337">
        <f t="shared" si="23"/>
        <v>1110</v>
      </c>
      <c r="CF42" s="253">
        <v>105.56340710111215</v>
      </c>
      <c r="CG42" s="202">
        <v>1.4729128866992263</v>
      </c>
      <c r="CH42" s="266">
        <v>227.87953967119373</v>
      </c>
      <c r="CI42" s="202">
        <v>2.5066749363831313</v>
      </c>
      <c r="CJ42" s="266">
        <v>140.73970787786544</v>
      </c>
      <c r="CK42" s="202">
        <v>6.5357097129853265</v>
      </c>
      <c r="CL42" s="253">
        <v>10229.768173913044</v>
      </c>
      <c r="CM42" s="206">
        <v>347.81211791304349</v>
      </c>
      <c r="CN42" s="37">
        <v>36.759734485818875</v>
      </c>
      <c r="CO42" s="685">
        <f t="shared" si="24"/>
        <v>3.6759734485818873E-2</v>
      </c>
      <c r="CP42" s="111">
        <v>1.6432253453959211</v>
      </c>
      <c r="CQ42" s="47">
        <v>427.72600306931287</v>
      </c>
      <c r="CR42" s="686">
        <f t="shared" si="25"/>
        <v>0.42772600306931285</v>
      </c>
      <c r="CS42" s="111">
        <v>19.048075643267005</v>
      </c>
      <c r="CT42" s="47">
        <v>158.13495505909842</v>
      </c>
      <c r="CU42" s="685">
        <f t="shared" si="26"/>
        <v>0.15813495505909841</v>
      </c>
      <c r="CV42" s="111">
        <v>7.4843249770458513</v>
      </c>
      <c r="CW42" s="253">
        <v>149.84952991286798</v>
      </c>
      <c r="CX42" s="674">
        <f t="shared" si="27"/>
        <v>0.14984952991286798</v>
      </c>
      <c r="CY42" s="202">
        <v>6.9640115068926738</v>
      </c>
      <c r="CZ42" s="258">
        <v>244.5709860614725</v>
      </c>
      <c r="DA42" s="679">
        <f t="shared" si="28"/>
        <v>0.24457098606147248</v>
      </c>
      <c r="DB42" s="206">
        <v>5.8697036654753401</v>
      </c>
      <c r="DC42" s="256">
        <v>66.783821526797382</v>
      </c>
      <c r="DD42" s="703">
        <f t="shared" si="43"/>
        <v>6.6783821526797377E-2</v>
      </c>
      <c r="DE42" s="202">
        <v>3.627323278633491</v>
      </c>
      <c r="DF42" s="255" t="s">
        <v>117</v>
      </c>
      <c r="DG42" s="111"/>
      <c r="DH42" s="256">
        <v>13.215345523298812</v>
      </c>
      <c r="DI42" s="695">
        <f t="shared" si="47"/>
        <v>1.3215345523298812E-2</v>
      </c>
      <c r="DJ42" s="111">
        <v>0.32435595886727492</v>
      </c>
      <c r="DK42" s="256">
        <v>1.4493931819547825</v>
      </c>
      <c r="DL42" s="695">
        <f t="shared" si="48"/>
        <v>1.4493931819547826E-3</v>
      </c>
      <c r="DM42" s="111">
        <v>6.8996525185454752E-2</v>
      </c>
      <c r="DN42" s="256">
        <v>18.303366226588796</v>
      </c>
      <c r="DO42" s="674">
        <f t="shared" si="29"/>
        <v>1.8303366226588798E-2</v>
      </c>
      <c r="DP42" s="111">
        <v>1.1476228767032393</v>
      </c>
      <c r="DQ42" s="256">
        <v>2.1245804230054977</v>
      </c>
      <c r="DR42" s="111">
        <v>0.10830535532146174</v>
      </c>
      <c r="DS42" s="47">
        <v>25.66584609003073</v>
      </c>
      <c r="DT42" s="692">
        <f t="shared" si="30"/>
        <v>2.5665846090030729E-2</v>
      </c>
      <c r="DU42" s="111">
        <v>1.5209908822036613</v>
      </c>
      <c r="DV42" s="258">
        <v>3315.028815939957</v>
      </c>
      <c r="DW42" s="674">
        <f t="shared" si="31"/>
        <v>3.3150288159399568</v>
      </c>
      <c r="DX42" s="206">
        <v>92.820806846318789</v>
      </c>
      <c r="DY42" s="255" t="s">
        <v>119</v>
      </c>
      <c r="DZ42" s="111"/>
      <c r="EA42" s="254" t="s">
        <v>115</v>
      </c>
      <c r="EB42" s="111"/>
      <c r="EC42" s="255" t="s">
        <v>117</v>
      </c>
      <c r="ED42" s="111"/>
      <c r="EE42" s="255" t="s">
        <v>120</v>
      </c>
      <c r="EF42" s="111"/>
      <c r="EG42" s="266">
        <v>2159.2662012151536</v>
      </c>
      <c r="EH42" s="693">
        <f t="shared" si="32"/>
        <v>2.1592662012151536</v>
      </c>
      <c r="EI42" s="202">
        <v>66.937252237669767</v>
      </c>
      <c r="EJ42" s="255" t="s">
        <v>118</v>
      </c>
      <c r="EK42" s="708" t="e">
        <f t="shared" si="49"/>
        <v>#VALUE!</v>
      </c>
      <c r="EL42" s="111"/>
      <c r="EM42" s="256">
        <v>5.550688459853875</v>
      </c>
      <c r="EN42" s="708">
        <f t="shared" si="50"/>
        <v>5.5506884598538753E-3</v>
      </c>
      <c r="EO42" s="111">
        <v>0.24511741314641333</v>
      </c>
    </row>
    <row r="43" spans="1:145" ht="15.75" thickBot="1" x14ac:dyDescent="0.3">
      <c r="A43" s="17" t="s">
        <v>189</v>
      </c>
      <c r="B43" s="13">
        <v>0.14769936553995483</v>
      </c>
      <c r="C43" s="190">
        <v>8.7411928559715663E-3</v>
      </c>
      <c r="D43" s="11">
        <v>13.679548890503877</v>
      </c>
      <c r="E43" s="211">
        <v>3.8999999999999998E-3</v>
      </c>
      <c r="F43" s="211"/>
      <c r="G43" s="211"/>
      <c r="H43" s="11">
        <v>19.747192294000001</v>
      </c>
      <c r="I43" s="11">
        <v>0.51342699964400007</v>
      </c>
      <c r="J43" s="11">
        <v>11.225680029069766</v>
      </c>
      <c r="K43" s="92">
        <v>0.33677040087209303</v>
      </c>
      <c r="L43" s="31">
        <v>15.453833584000002</v>
      </c>
      <c r="M43" s="158">
        <v>0.47906884110400011</v>
      </c>
      <c r="N43" s="63"/>
      <c r="O43" s="150"/>
      <c r="P43" s="64"/>
      <c r="Q43" s="64"/>
      <c r="R43" s="64"/>
      <c r="S43" s="64"/>
      <c r="T43" s="625"/>
      <c r="U43" s="64"/>
      <c r="V43" s="625"/>
      <c r="W43" s="620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304">
        <v>1.1299999999999999</v>
      </c>
      <c r="AJ43" s="304">
        <v>0.91300000000000003</v>
      </c>
      <c r="AK43" s="304">
        <v>0</v>
      </c>
      <c r="AL43" s="68">
        <f t="shared" si="51"/>
        <v>2.109990936285069E-2</v>
      </c>
      <c r="AM43" s="11">
        <f t="shared" si="52"/>
        <v>0.59476299523929899</v>
      </c>
      <c r="AN43" s="11"/>
      <c r="AO43" s="11">
        <f t="shared" si="53"/>
        <v>0.50633826394871795</v>
      </c>
      <c r="AP43" s="11">
        <f t="shared" si="54"/>
        <v>0.92392428222796419</v>
      </c>
      <c r="AQ43" s="31">
        <f t="shared" si="55"/>
        <v>0.77134183099575748</v>
      </c>
      <c r="AR43" s="63"/>
      <c r="AS43" s="64"/>
      <c r="AT43" s="64"/>
      <c r="AU43" s="64"/>
      <c r="AV43" s="64"/>
      <c r="AW43" s="65"/>
      <c r="AX43" s="84"/>
      <c r="AY43" s="311"/>
      <c r="AZ43" s="85"/>
      <c r="BA43" s="86"/>
      <c r="BB43" s="86"/>
      <c r="BC43" s="501"/>
      <c r="BD43" s="501"/>
      <c r="BE43" s="501"/>
      <c r="BF43" s="264">
        <v>11.034259244627913</v>
      </c>
      <c r="BG43" s="674">
        <f t="shared" si="18"/>
        <v>1.1034259244627913E-2</v>
      </c>
      <c r="BH43" s="199">
        <v>0.88892535261168859</v>
      </c>
      <c r="BI43" s="267">
        <v>1637.7291375968994</v>
      </c>
      <c r="BJ43" s="679">
        <f t="shared" si="19"/>
        <v>1.6377291375968994</v>
      </c>
      <c r="BK43" s="203">
        <v>119.55422704457365</v>
      </c>
      <c r="BL43" s="261">
        <v>105911.47421052631</v>
      </c>
      <c r="BM43" s="203">
        <v>5083.7507621052628</v>
      </c>
      <c r="BN43" s="341">
        <f t="shared" si="20"/>
        <v>913</v>
      </c>
      <c r="BO43" s="261">
        <v>17032.470615310078</v>
      </c>
      <c r="BP43" s="199">
        <v>493.94164784399226</v>
      </c>
      <c r="BQ43" s="261">
        <v>968.63372577519374</v>
      </c>
      <c r="BR43" s="679">
        <f t="shared" si="21"/>
        <v>0.96863372577519369</v>
      </c>
      <c r="BS43" s="207">
        <v>34.870814127906975</v>
      </c>
      <c r="BT43" s="261">
        <v>225.87018410852716</v>
      </c>
      <c r="BU43" s="695">
        <f t="shared" si="45"/>
        <v>0.22587018410852716</v>
      </c>
      <c r="BV43" s="203">
        <v>7.0019757073643412</v>
      </c>
      <c r="BW43" s="261">
        <v>234.9511949921791</v>
      </c>
      <c r="BX43" s="695">
        <f t="shared" si="46"/>
        <v>0.23495119499217909</v>
      </c>
      <c r="BY43" s="203">
        <v>15.211854967615976</v>
      </c>
      <c r="BZ43" s="261">
        <v>1449.5202034883721</v>
      </c>
      <c r="CA43" s="207">
        <v>40.586565697674416</v>
      </c>
      <c r="CB43" s="341">
        <f t="shared" si="22"/>
        <v>0</v>
      </c>
      <c r="CC43" s="267">
        <v>8139612.2808000008</v>
      </c>
      <c r="CD43" s="207">
        <v>244188.36842400004</v>
      </c>
      <c r="CE43" s="341">
        <f t="shared" si="23"/>
        <v>1130</v>
      </c>
      <c r="CF43" s="259">
        <v>75.852462958527369</v>
      </c>
      <c r="CG43" s="203">
        <v>2.6667784994215653</v>
      </c>
      <c r="CH43" s="262">
        <v>188.01430232558138</v>
      </c>
      <c r="CI43" s="203">
        <v>5.4524147674418604</v>
      </c>
      <c r="CJ43" s="262">
        <v>231.01314276935176</v>
      </c>
      <c r="CK43" s="203">
        <v>11.566624220182785</v>
      </c>
      <c r="CL43" s="261">
        <v>9862.5276792635668</v>
      </c>
      <c r="CM43" s="207">
        <v>414.22616252906982</v>
      </c>
      <c r="CN43" s="261">
        <v>82.52957435217003</v>
      </c>
      <c r="CO43" s="685">
        <f t="shared" si="24"/>
        <v>8.2529574352170024E-2</v>
      </c>
      <c r="CP43" s="199">
        <v>6.8334526538623814</v>
      </c>
      <c r="CQ43" s="264">
        <v>235.71438136558234</v>
      </c>
      <c r="CR43" s="686">
        <f t="shared" si="25"/>
        <v>0.23571438136558234</v>
      </c>
      <c r="CS43" s="199">
        <v>14.869266071245427</v>
      </c>
      <c r="CT43" s="264">
        <v>118.6795901308473</v>
      </c>
      <c r="CU43" s="685">
        <f t="shared" si="26"/>
        <v>0.11867959013084731</v>
      </c>
      <c r="CV43" s="199">
        <v>7.3844556491685012</v>
      </c>
      <c r="CW43" s="267">
        <v>366.13251200680941</v>
      </c>
      <c r="CX43" s="674">
        <f t="shared" si="27"/>
        <v>0.36613251200680941</v>
      </c>
      <c r="CY43" s="203">
        <v>25.033713542115539</v>
      </c>
      <c r="CZ43" s="267">
        <v>385.61421996124028</v>
      </c>
      <c r="DA43" s="679">
        <f t="shared" si="28"/>
        <v>0.38561421996124029</v>
      </c>
      <c r="DB43" s="207">
        <v>10.797198158914728</v>
      </c>
      <c r="DC43" s="262">
        <v>100.19365591400961</v>
      </c>
      <c r="DD43" s="703">
        <f t="shared" si="43"/>
        <v>0.10019365591400961</v>
      </c>
      <c r="DE43" s="203">
        <v>6.9114544487928899</v>
      </c>
      <c r="DF43" s="263">
        <v>1.1121884392924219</v>
      </c>
      <c r="DG43" s="199">
        <v>5.9693016943510264E-2</v>
      </c>
      <c r="DH43" s="263">
        <v>19.489856268852765</v>
      </c>
      <c r="DI43" s="695">
        <f t="shared" si="47"/>
        <v>1.9489856268852766E-2</v>
      </c>
      <c r="DJ43" s="199">
        <v>1.4842253656157016</v>
      </c>
      <c r="DK43" s="263">
        <v>1.5246560750647093</v>
      </c>
      <c r="DL43" s="695">
        <f t="shared" si="48"/>
        <v>1.5246560750647093E-3</v>
      </c>
      <c r="DM43" s="199">
        <v>0.11087424537696954</v>
      </c>
      <c r="DN43" s="263">
        <v>20.340739059868959</v>
      </c>
      <c r="DO43" s="674">
        <f t="shared" si="29"/>
        <v>2.0340739059868961E-2</v>
      </c>
      <c r="DP43" s="199">
        <v>1.0217378385730653</v>
      </c>
      <c r="DQ43" s="263">
        <v>2.0861175910341396</v>
      </c>
      <c r="DR43" s="199">
        <v>9.2899020770022794E-2</v>
      </c>
      <c r="DS43" s="264">
        <v>54.113808561915484</v>
      </c>
      <c r="DT43" s="692">
        <f t="shared" si="30"/>
        <v>5.4113808561915486E-2</v>
      </c>
      <c r="DU43" s="199">
        <v>2.7342080716186024</v>
      </c>
      <c r="DV43" s="267">
        <v>2434.0164195736434</v>
      </c>
      <c r="DW43" s="674">
        <f t="shared" si="31"/>
        <v>2.4340164195736436</v>
      </c>
      <c r="DX43" s="207">
        <v>119.26680455910854</v>
      </c>
      <c r="DY43" s="265" t="s">
        <v>119</v>
      </c>
      <c r="DZ43" s="199"/>
      <c r="EA43" s="260" t="s">
        <v>115</v>
      </c>
      <c r="EB43" s="199"/>
      <c r="EC43" s="265" t="s">
        <v>117</v>
      </c>
      <c r="ED43" s="199"/>
      <c r="EE43" s="263">
        <v>1.7637708353282429</v>
      </c>
      <c r="EF43" s="199">
        <v>9.6522953455605784E-2</v>
      </c>
      <c r="EG43" s="262">
        <v>2569.1395348837209</v>
      </c>
      <c r="EH43" s="693">
        <f t="shared" si="32"/>
        <v>2.5691395348837207</v>
      </c>
      <c r="EI43" s="203">
        <v>97.627302325581383</v>
      </c>
      <c r="EJ43" s="263">
        <v>2.3088270991335444</v>
      </c>
      <c r="EK43" s="708">
        <f t="shared" si="49"/>
        <v>2.3088270991335445E-3</v>
      </c>
      <c r="EL43" s="199">
        <v>0.13122364499523251</v>
      </c>
      <c r="EM43" s="263">
        <v>16.292240027053399</v>
      </c>
      <c r="EN43" s="708">
        <f t="shared" si="50"/>
        <v>1.6292240027053401E-2</v>
      </c>
      <c r="EO43" s="199">
        <v>1.0339747916700133</v>
      </c>
    </row>
    <row r="44" spans="1:145" x14ac:dyDescent="0.25">
      <c r="J44" s="1"/>
      <c r="K44" s="1"/>
      <c r="BR44" s="675"/>
      <c r="BT44" s="276"/>
      <c r="BU44" s="276"/>
      <c r="EC44" s="277"/>
      <c r="EI44" s="276"/>
    </row>
    <row r="45" spans="1:145" x14ac:dyDescent="0.25">
      <c r="J45" s="1"/>
      <c r="K45" s="1"/>
      <c r="EG45" s="275" t="s">
        <v>265</v>
      </c>
    </row>
    <row r="46" spans="1:145" x14ac:dyDescent="0.25">
      <c r="J46" s="1"/>
      <c r="K46" s="1"/>
    </row>
    <row r="47" spans="1:145" x14ac:dyDescent="0.25">
      <c r="BL47" s="346">
        <f>AVERAGE(BL4:BL43)</f>
        <v>182836.81361967023</v>
      </c>
      <c r="BN47" s="345">
        <f>AVERAGE(BN4:BN43)</f>
        <v>999.27499999999998</v>
      </c>
      <c r="BZ47" s="346">
        <f>AVERAGE(BZ4:BZ43)</f>
        <v>5286.9629689882204</v>
      </c>
      <c r="CB47" s="345">
        <f>AVERAGE(CB4:CB43)</f>
        <v>772.5</v>
      </c>
      <c r="CC47" s="346">
        <f>AVERAGE(CC4:CC43)</f>
        <v>1412415.311978735</v>
      </c>
      <c r="CE47" s="345">
        <f>AVERAGE(CE4:CE43)</f>
        <v>7134.75</v>
      </c>
    </row>
  </sheetData>
  <mergeCells count="4">
    <mergeCell ref="A2:A3"/>
    <mergeCell ref="B1:L1"/>
    <mergeCell ref="N1:W1"/>
    <mergeCell ref="Y1:AK1"/>
  </mergeCells>
  <conditionalFormatting sqref="DM1">
    <cfRule type="cellIs" dxfId="3" priority="45" operator="greaterThan">
      <formula>10</formula>
    </cfRule>
  </conditionalFormatting>
  <conditionalFormatting sqref="DP1">
    <cfRule type="cellIs" dxfId="2" priority="44" operator="greaterThan">
      <formula>10</formula>
    </cfRule>
  </conditionalFormatting>
  <conditionalFormatting sqref="DR1">
    <cfRule type="cellIs" dxfId="1" priority="43" operator="greaterThan">
      <formula>10</formula>
    </cfRule>
  </conditionalFormatting>
  <conditionalFormatting sqref="DU1">
    <cfRule type="cellIs" dxfId="0" priority="42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7"/>
  <sheetViews>
    <sheetView workbookViewId="0">
      <selection activeCell="D3" sqref="D3:D7"/>
    </sheetView>
  </sheetViews>
  <sheetFormatPr defaultRowHeight="15" x14ac:dyDescent="0.25"/>
  <cols>
    <col min="3" max="7" width="27.7109375" customWidth="1"/>
  </cols>
  <sheetData>
    <row r="1" spans="1:6" x14ac:dyDescent="0.25">
      <c r="A1" t="s">
        <v>203</v>
      </c>
    </row>
    <row r="2" spans="1:6" x14ac:dyDescent="0.25">
      <c r="B2" s="2" t="s">
        <v>195</v>
      </c>
      <c r="C2" s="2" t="s">
        <v>190</v>
      </c>
      <c r="D2" s="2" t="s">
        <v>191</v>
      </c>
      <c r="E2" s="2" t="s">
        <v>192</v>
      </c>
      <c r="F2" s="2" t="s">
        <v>193</v>
      </c>
    </row>
    <row r="3" spans="1:6" x14ac:dyDescent="0.25">
      <c r="B3" s="576">
        <v>0</v>
      </c>
      <c r="C3" s="581">
        <f>'Thesis results'!D4</f>
        <v>39.51039130434782</v>
      </c>
      <c r="D3" s="581">
        <f>'Thesis results'!D9</f>
        <v>59.872330816610372</v>
      </c>
      <c r="E3" s="582"/>
      <c r="F3" s="583">
        <f>'Thesis results'!D19</f>
        <v>96.51214705882353</v>
      </c>
    </row>
    <row r="4" spans="1:6" x14ac:dyDescent="0.25">
      <c r="B4" s="576">
        <v>25</v>
      </c>
      <c r="C4" s="581">
        <f>'Thesis results'!D5</f>
        <v>41.998863636363637</v>
      </c>
      <c r="D4" s="581">
        <f>'Thesis results'!D10</f>
        <v>54.852515923566884</v>
      </c>
      <c r="E4" s="582">
        <f>'Thesis results'!D15</f>
        <v>28.996673366834166</v>
      </c>
      <c r="F4" s="583">
        <f>'Thesis results'!D20</f>
        <v>87.333405315614613</v>
      </c>
    </row>
    <row r="5" spans="1:6" x14ac:dyDescent="0.25">
      <c r="B5" s="576">
        <v>50</v>
      </c>
      <c r="C5" s="581">
        <f>'Thesis results'!D6</f>
        <v>42.091742475583011</v>
      </c>
      <c r="D5" s="581">
        <f>'Thesis results'!D11</f>
        <v>57.142071628651458</v>
      </c>
      <c r="E5" s="582">
        <f>'Thesis results'!D16</f>
        <v>29.100211180124226</v>
      </c>
      <c r="F5" s="583">
        <f>'Thesis results'!D21</f>
        <v>151.15920244150561</v>
      </c>
    </row>
    <row r="6" spans="1:6" x14ac:dyDescent="0.25">
      <c r="B6" s="576">
        <v>75</v>
      </c>
      <c r="C6" s="581">
        <f>'Thesis results'!D7</f>
        <v>64.509983564013851</v>
      </c>
      <c r="D6" s="581">
        <f>'Thesis results'!D12</f>
        <v>54.056934197407777</v>
      </c>
      <c r="E6" s="582">
        <f>'Thesis results'!D17</f>
        <v>29.669516773162936</v>
      </c>
      <c r="F6" s="583">
        <f>'Thesis results'!D22</f>
        <v>106.95859044573255</v>
      </c>
    </row>
    <row r="7" spans="1:6" x14ac:dyDescent="0.25">
      <c r="B7" s="576">
        <v>100</v>
      </c>
      <c r="C7" s="581">
        <f>'Thesis results'!D8</f>
        <v>39.71884417910448</v>
      </c>
      <c r="D7" s="581">
        <f>'Thesis results'!D13</f>
        <v>59.649437175493247</v>
      </c>
      <c r="E7" s="582">
        <f>'Thesis results'!D18</f>
        <v>27.857808517094885</v>
      </c>
      <c r="F7" s="583">
        <f>'Thesis results'!D23</f>
        <v>162.4577333729805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7"/>
  <sheetViews>
    <sheetView workbookViewId="0">
      <selection activeCell="D3" sqref="D3:D7"/>
    </sheetView>
  </sheetViews>
  <sheetFormatPr defaultRowHeight="15" x14ac:dyDescent="0.25"/>
  <cols>
    <col min="3" max="7" width="29.140625" customWidth="1"/>
  </cols>
  <sheetData>
    <row r="1" spans="1:6" x14ac:dyDescent="0.25">
      <c r="A1" t="s">
        <v>204</v>
      </c>
    </row>
    <row r="2" spans="1:6" x14ac:dyDescent="0.25">
      <c r="B2" s="2" t="s">
        <v>195</v>
      </c>
      <c r="C2" s="2" t="s">
        <v>190</v>
      </c>
      <c r="D2" s="2" t="s">
        <v>191</v>
      </c>
      <c r="E2" s="2" t="s">
        <v>192</v>
      </c>
      <c r="F2" s="2" t="s">
        <v>193</v>
      </c>
    </row>
    <row r="3" spans="1:6" x14ac:dyDescent="0.25">
      <c r="B3" s="576">
        <v>0</v>
      </c>
      <c r="C3" s="581">
        <f>'Thesis results'!H4</f>
        <v>9.6494818761202943</v>
      </c>
      <c r="D3" s="581">
        <f>'Thesis results'!H9</f>
        <v>7.2711364991059009</v>
      </c>
      <c r="E3" s="582"/>
      <c r="F3" s="583">
        <f>'Thesis results'!H19</f>
        <v>10.845179411764706</v>
      </c>
    </row>
    <row r="4" spans="1:6" x14ac:dyDescent="0.25">
      <c r="B4" s="576">
        <v>25</v>
      </c>
      <c r="C4" s="581">
        <f>'Thesis results'!H5</f>
        <v>8.7531285511363635</v>
      </c>
      <c r="D4" s="581">
        <f>'Thesis results'!H10</f>
        <v>5.9804617834394911</v>
      </c>
      <c r="E4" s="582">
        <f>'Thesis results'!H15</f>
        <v>5.99676566217288</v>
      </c>
      <c r="F4" s="583">
        <f>'Thesis results'!H20</f>
        <v>5.9418106312292354</v>
      </c>
    </row>
    <row r="5" spans="1:6" x14ac:dyDescent="0.25">
      <c r="B5" s="576">
        <v>50</v>
      </c>
      <c r="C5" s="581">
        <f>'Thesis results'!H6</f>
        <v>9.6226844727925034</v>
      </c>
      <c r="D5" s="581">
        <f>'Thesis results'!H11</f>
        <v>5.2111324529811922</v>
      </c>
      <c r="E5" s="582">
        <f>'Thesis results'!H16</f>
        <v>6.5005329359165431</v>
      </c>
      <c r="F5" s="583">
        <f>'Thesis results'!H21</f>
        <v>7.2127772126144469</v>
      </c>
    </row>
    <row r="6" spans="1:6" x14ac:dyDescent="0.25">
      <c r="B6" s="576">
        <v>75</v>
      </c>
      <c r="C6" s="581">
        <f>'Thesis results'!H7</f>
        <v>12.174804498269896</v>
      </c>
      <c r="D6" s="581">
        <f>'Thesis results'!H12</f>
        <v>6.9534646061814565</v>
      </c>
      <c r="E6" s="582">
        <f>'Thesis results'!H17</f>
        <v>5.4640934504792336</v>
      </c>
      <c r="F6" s="583">
        <f>'Thesis results'!H22</f>
        <v>7.5106801918848687</v>
      </c>
    </row>
    <row r="7" spans="1:6" x14ac:dyDescent="0.25">
      <c r="B7" s="576">
        <v>100</v>
      </c>
      <c r="C7" s="581">
        <f>'Thesis results'!H8</f>
        <v>13.571611144278608</v>
      </c>
      <c r="D7" s="581">
        <f>'Thesis results'!H13</f>
        <v>5.4749799025578572</v>
      </c>
      <c r="E7" s="582">
        <f>'Thesis results'!H18</f>
        <v>5.0678038640501724</v>
      </c>
      <c r="F7" s="583">
        <f>'Thesis results'!H23</f>
        <v>9.4171034790365749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7"/>
  <sheetViews>
    <sheetView workbookViewId="0">
      <selection activeCell="C4" sqref="C4"/>
    </sheetView>
  </sheetViews>
  <sheetFormatPr defaultRowHeight="15" x14ac:dyDescent="0.25"/>
  <cols>
    <col min="3" max="7" width="29.140625" customWidth="1"/>
  </cols>
  <sheetData>
    <row r="1" spans="1:6" x14ac:dyDescent="0.25">
      <c r="A1" t="s">
        <v>204</v>
      </c>
    </row>
    <row r="2" spans="1:6" x14ac:dyDescent="0.25">
      <c r="B2" s="2" t="s">
        <v>195</v>
      </c>
      <c r="C2" s="2" t="s">
        <v>190</v>
      </c>
      <c r="D2" s="2" t="s">
        <v>191</v>
      </c>
      <c r="E2" s="2" t="s">
        <v>192</v>
      </c>
      <c r="F2" s="2" t="s">
        <v>193</v>
      </c>
    </row>
    <row r="3" spans="1:6" x14ac:dyDescent="0.25">
      <c r="B3" s="576">
        <v>0</v>
      </c>
      <c r="C3" s="581">
        <f>'-ITER'!AE4</f>
        <v>9.4</v>
      </c>
      <c r="D3" s="581">
        <f>'-ITER'!AE9</f>
        <v>14.6</v>
      </c>
      <c r="E3" s="582">
        <f>'-ITER'!AE14</f>
        <v>10.4</v>
      </c>
      <c r="F3" s="583">
        <f>'-ITER'!AE19</f>
        <v>0.5</v>
      </c>
    </row>
    <row r="4" spans="1:6" x14ac:dyDescent="0.25">
      <c r="B4" s="576">
        <v>25</v>
      </c>
      <c r="C4" s="581">
        <f>'-ITER'!AE5</f>
        <v>9.4</v>
      </c>
      <c r="D4" s="581">
        <f>'-ITER'!AE10</f>
        <v>18.2</v>
      </c>
      <c r="E4" s="582">
        <f>'-ITER'!AE15</f>
        <v>13.2</v>
      </c>
      <c r="F4" s="583">
        <f>'-ITER'!AE20</f>
        <v>2.2000000000000002</v>
      </c>
    </row>
    <row r="5" spans="1:6" x14ac:dyDescent="0.25">
      <c r="B5" s="576">
        <v>50</v>
      </c>
      <c r="C5" s="581">
        <f>'-ITER'!AE6</f>
        <v>10.1</v>
      </c>
      <c r="D5" s="581">
        <f>'-ITER'!AE11</f>
        <v>21.2</v>
      </c>
      <c r="E5" s="582">
        <f>'-ITER'!AE16</f>
        <v>16.399999999999999</v>
      </c>
      <c r="F5" s="583">
        <f>'-ITER'!AE21</f>
        <v>1</v>
      </c>
    </row>
    <row r="6" spans="1:6" x14ac:dyDescent="0.25">
      <c r="B6" s="576">
        <v>75</v>
      </c>
      <c r="C6" s="581">
        <f>'-ITER'!AE7</f>
        <v>7.8</v>
      </c>
      <c r="D6" s="581">
        <f>'-ITER'!AE12</f>
        <v>14</v>
      </c>
      <c r="E6" s="582">
        <f>'-ITER'!AE17</f>
        <v>9.9</v>
      </c>
      <c r="F6" s="583">
        <f>'-ITER'!AE22</f>
        <v>1.5</v>
      </c>
    </row>
    <row r="7" spans="1:6" x14ac:dyDescent="0.25">
      <c r="B7" s="576">
        <v>100</v>
      </c>
      <c r="C7" s="581">
        <f>'-ITER'!AE8</f>
        <v>9.5</v>
      </c>
      <c r="D7" s="581">
        <f>'-ITER'!AE13</f>
        <v>17.399999999999999</v>
      </c>
      <c r="E7" s="582">
        <f>'-ITER'!AE18</f>
        <v>13.8</v>
      </c>
      <c r="F7" s="583">
        <f>'-ITER'!AE23</f>
        <v>2.1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7"/>
  <sheetViews>
    <sheetView workbookViewId="0">
      <selection activeCell="C3" sqref="C3:F7"/>
    </sheetView>
  </sheetViews>
  <sheetFormatPr defaultRowHeight="15" x14ac:dyDescent="0.25"/>
  <cols>
    <col min="2" max="2" width="8.42578125" customWidth="1"/>
    <col min="3" max="3" width="25.42578125" customWidth="1"/>
    <col min="4" max="4" width="14.42578125" customWidth="1"/>
    <col min="5" max="5" width="14.7109375" customWidth="1"/>
    <col min="6" max="6" width="24.28515625" customWidth="1"/>
  </cols>
  <sheetData>
    <row r="1" spans="1:6" x14ac:dyDescent="0.25">
      <c r="A1" t="s">
        <v>196</v>
      </c>
    </row>
    <row r="2" spans="1:6" x14ac:dyDescent="0.25">
      <c r="B2" s="2" t="s">
        <v>195</v>
      </c>
      <c r="C2" s="2" t="s">
        <v>190</v>
      </c>
      <c r="D2" s="2" t="s">
        <v>191</v>
      </c>
      <c r="E2" s="2" t="s">
        <v>192</v>
      </c>
      <c r="F2" s="2" t="s">
        <v>193</v>
      </c>
    </row>
    <row r="3" spans="1:6" x14ac:dyDescent="0.25">
      <c r="B3" s="576">
        <v>0</v>
      </c>
      <c r="C3" s="581">
        <f>'Thesis results'!L4</f>
        <v>81.648699163513257</v>
      </c>
      <c r="D3" s="581">
        <f>'Thesis results'!L9</f>
        <v>61.137309358235647</v>
      </c>
      <c r="E3" s="582"/>
      <c r="F3" s="583">
        <f>'Thesis results'!L19</f>
        <v>96.810638235294121</v>
      </c>
    </row>
    <row r="4" spans="1:6" x14ac:dyDescent="0.25">
      <c r="B4" s="576">
        <v>25</v>
      </c>
      <c r="C4" s="581">
        <f>'Thesis results'!L5</f>
        <v>90.711487926136357</v>
      </c>
      <c r="D4" s="581">
        <f>'Thesis results'!L10</f>
        <v>62.620127388535039</v>
      </c>
      <c r="E4" s="582">
        <f>'Thesis results'!L15</f>
        <v>69.345683187946094</v>
      </c>
      <c r="F4" s="583">
        <f>'Thesis results'!L20</f>
        <v>78.700963455149491</v>
      </c>
    </row>
    <row r="5" spans="1:6" x14ac:dyDescent="0.25">
      <c r="B5" s="576">
        <v>50</v>
      </c>
      <c r="C5" s="581">
        <f>'Thesis results'!L6</f>
        <v>85.353811441100248</v>
      </c>
      <c r="D5" s="581">
        <f>'Thesis results'!L11</f>
        <v>61.701812525009998</v>
      </c>
      <c r="E5" s="582">
        <f>'Thesis results'!L16</f>
        <v>70.473544957774465</v>
      </c>
      <c r="F5" s="583">
        <f>'Thesis results'!L21</f>
        <v>109.42813428280775</v>
      </c>
    </row>
    <row r="6" spans="1:6" x14ac:dyDescent="0.25">
      <c r="B6" s="576">
        <v>75</v>
      </c>
      <c r="C6" s="581">
        <f>'Thesis results'!L7</f>
        <v>95.286900519031136</v>
      </c>
      <c r="D6" s="581">
        <f>'Thesis results'!L12</f>
        <v>61.480633100697908</v>
      </c>
      <c r="E6" s="582">
        <f>'Thesis results'!L17</f>
        <v>67.305375399361012</v>
      </c>
      <c r="F6" s="583">
        <f>'Thesis results'!L22</f>
        <v>89.914732960223859</v>
      </c>
    </row>
    <row r="7" spans="1:6" x14ac:dyDescent="0.25">
      <c r="B7" s="576">
        <v>100</v>
      </c>
      <c r="C7" s="581">
        <f>'Thesis results'!L8</f>
        <v>87.234573930348247</v>
      </c>
      <c r="D7" s="581">
        <f>'Thesis results'!L13</f>
        <v>66.331879415347146</v>
      </c>
      <c r="E7" s="582">
        <f>'Thesis results'!L18</f>
        <v>68.883846955290309</v>
      </c>
      <c r="F7" s="583">
        <f>'Thesis results'!L23</f>
        <v>92.261201506591348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7"/>
  <sheetViews>
    <sheetView workbookViewId="0">
      <selection activeCell="D3" sqref="D3:D7"/>
    </sheetView>
  </sheetViews>
  <sheetFormatPr defaultRowHeight="15" x14ac:dyDescent="0.25"/>
  <cols>
    <col min="2" max="2" width="11.140625" customWidth="1"/>
    <col min="3" max="7" width="26.7109375" customWidth="1"/>
  </cols>
  <sheetData>
    <row r="1" spans="1:6" x14ac:dyDescent="0.25">
      <c r="A1" t="s">
        <v>197</v>
      </c>
    </row>
    <row r="2" spans="1:6" x14ac:dyDescent="0.25">
      <c r="B2" s="2" t="s">
        <v>195</v>
      </c>
      <c r="C2" s="2" t="s">
        <v>190</v>
      </c>
      <c r="D2" s="2" t="s">
        <v>191</v>
      </c>
      <c r="E2" s="2" t="s">
        <v>192</v>
      </c>
      <c r="F2" s="2" t="s">
        <v>193</v>
      </c>
    </row>
    <row r="3" spans="1:6" x14ac:dyDescent="0.25">
      <c r="B3" s="576">
        <v>0</v>
      </c>
      <c r="C3" s="581">
        <f>'Thesis results'!J4</f>
        <v>29.087287094204342</v>
      </c>
      <c r="D3" s="581">
        <f>'Thesis results'!J9</f>
        <v>70.450340353665808</v>
      </c>
      <c r="E3" s="582"/>
      <c r="F3" s="583">
        <f>'Thesis results'!J19</f>
        <v>48.156576470588234</v>
      </c>
    </row>
    <row r="4" spans="1:6" x14ac:dyDescent="0.25">
      <c r="B4" s="576">
        <v>25</v>
      </c>
      <c r="C4" s="581">
        <f>'Thesis results'!J5</f>
        <v>30.156395596590908</v>
      </c>
      <c r="D4" s="581">
        <f>'Thesis results'!J10</f>
        <v>66.444028662420394</v>
      </c>
      <c r="E4" s="582">
        <f>'Thesis results'!J15</f>
        <v>40.02816217287868</v>
      </c>
      <c r="F4" s="583">
        <f>'Thesis results'!J20</f>
        <v>41.368455149501656</v>
      </c>
    </row>
    <row r="5" spans="1:6" x14ac:dyDescent="0.25">
      <c r="B5" s="576">
        <v>50</v>
      </c>
      <c r="C5" s="581">
        <f>'Thesis results'!J6</f>
        <v>29.828321307554312</v>
      </c>
      <c r="D5" s="581">
        <f>'Thesis results'!J11</f>
        <v>67.754743297318925</v>
      </c>
      <c r="E5" s="582">
        <f>'Thesis results'!J16</f>
        <v>41.006506507699946</v>
      </c>
      <c r="F5" s="583">
        <f>'Thesis results'!J21</f>
        <v>28.851108850457788</v>
      </c>
    </row>
    <row r="6" spans="1:6" x14ac:dyDescent="0.25">
      <c r="B6" s="576">
        <v>75</v>
      </c>
      <c r="C6" s="581">
        <f>'Thesis results'!J7</f>
        <v>31.559730103806231</v>
      </c>
      <c r="D6" s="581">
        <f>'Thesis results'!J12</f>
        <v>66.162966101694934</v>
      </c>
      <c r="E6" s="582">
        <f>'Thesis results'!J17</f>
        <v>39.126994408945684</v>
      </c>
      <c r="F6" s="583">
        <f>'Thesis results'!J22</f>
        <v>40.856474115530681</v>
      </c>
    </row>
    <row r="7" spans="1:6" x14ac:dyDescent="0.25">
      <c r="B7" s="576">
        <v>100</v>
      </c>
      <c r="C7" s="581">
        <f>'Thesis results'!J8</f>
        <v>29.527560199004977</v>
      </c>
      <c r="D7" s="581">
        <f>'Thesis results'!J13</f>
        <v>68.381173568818525</v>
      </c>
      <c r="E7" s="582">
        <f>'Thesis results'!J18</f>
        <v>40.129349484118961</v>
      </c>
      <c r="F7" s="583">
        <f>'Thesis results'!J23</f>
        <v>41.498239171374763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7"/>
  <sheetViews>
    <sheetView workbookViewId="0">
      <selection activeCell="D3" sqref="D3:D7"/>
    </sheetView>
  </sheetViews>
  <sheetFormatPr defaultRowHeight="15" x14ac:dyDescent="0.25"/>
  <cols>
    <col min="2" max="2" width="8.85546875" customWidth="1"/>
    <col min="3" max="6" width="30.42578125" customWidth="1"/>
  </cols>
  <sheetData>
    <row r="1" spans="1:6" x14ac:dyDescent="0.25">
      <c r="A1" t="s">
        <v>198</v>
      </c>
    </row>
    <row r="2" spans="1:6" x14ac:dyDescent="0.25">
      <c r="B2" s="2" t="s">
        <v>195</v>
      </c>
      <c r="C2" s="2" t="s">
        <v>190</v>
      </c>
      <c r="D2" s="2" t="s">
        <v>191</v>
      </c>
      <c r="E2" s="2" t="s">
        <v>192</v>
      </c>
      <c r="F2" s="2" t="s">
        <v>193</v>
      </c>
    </row>
    <row r="3" spans="1:6" x14ac:dyDescent="0.25">
      <c r="B3" s="576">
        <v>0</v>
      </c>
      <c r="C3" s="581">
        <f>'Thesis results'!AQ4/1000</f>
        <v>12.770362587386984</v>
      </c>
      <c r="D3" s="581">
        <f>'Thesis results'!AQ9/1000</f>
        <v>71.830779142184483</v>
      </c>
      <c r="E3" s="582"/>
      <c r="F3" s="583"/>
    </row>
    <row r="4" spans="1:6" x14ac:dyDescent="0.25">
      <c r="B4" s="576">
        <v>25</v>
      </c>
      <c r="C4" s="581">
        <f>'Thesis results'!AQ5/1000</f>
        <v>13.528881321069015</v>
      </c>
      <c r="D4" s="581">
        <f>'Thesis results'!AQ10/1000</f>
        <v>70.566425862316962</v>
      </c>
      <c r="E4" s="582">
        <f>'Thesis results'!AQ15/1000</f>
        <v>9.7512445626554776</v>
      </c>
      <c r="F4" s="583"/>
    </row>
    <row r="5" spans="1:6" x14ac:dyDescent="0.25">
      <c r="B5" s="576">
        <v>50</v>
      </c>
      <c r="C5" s="581">
        <f>'Thesis results'!AQ6/1000</f>
        <v>13.645818390147697</v>
      </c>
      <c r="D5" s="581">
        <f>'Thesis results'!AQ11/1000</f>
        <v>72.625444319196745</v>
      </c>
      <c r="E5" s="582">
        <f>'Thesis results'!AQ16/1000</f>
        <v>12.373726754426254</v>
      </c>
      <c r="F5" s="583">
        <f>'Thesis results'!AQ21/1000</f>
        <v>10.175671788793236</v>
      </c>
    </row>
    <row r="6" spans="1:6" x14ac:dyDescent="0.25">
      <c r="B6" s="576">
        <v>75</v>
      </c>
      <c r="C6" s="581">
        <f>'Thesis results'!AQ7/1000</f>
        <v>16.427535517603399</v>
      </c>
      <c r="D6" s="581">
        <f>'Thesis results'!AQ12/1000</f>
        <v>81.851006361582634</v>
      </c>
      <c r="E6" s="582">
        <f>'Thesis results'!AQ17/1000</f>
        <v>12.000889615426663</v>
      </c>
      <c r="F6" s="583">
        <f>'Thesis results'!AQ22/1000</f>
        <v>7.6686282335615932</v>
      </c>
    </row>
    <row r="7" spans="1:6" x14ac:dyDescent="0.25">
      <c r="B7" s="576">
        <v>100</v>
      </c>
      <c r="C7" s="581">
        <f>'Thesis results'!AQ8/1000</f>
        <v>13.979331232171484</v>
      </c>
      <c r="D7" s="581">
        <f>'Thesis results'!AQ13/1000</f>
        <v>81.003763199104554</v>
      </c>
      <c r="E7" s="582">
        <f>'Thesis results'!AQ18/1000</f>
        <v>11.093013865967745</v>
      </c>
      <c r="F7" s="583">
        <f>'Thesis results'!AQ23/1000</f>
        <v>16.365603071391359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6"/>
  <sheetViews>
    <sheetView workbookViewId="0">
      <selection activeCell="A6" sqref="A6"/>
    </sheetView>
  </sheetViews>
  <sheetFormatPr defaultRowHeight="15" x14ac:dyDescent="0.25"/>
  <cols>
    <col min="1" max="1" width="20.5703125" customWidth="1"/>
  </cols>
  <sheetData>
    <row r="1" spans="1:5" x14ac:dyDescent="0.25">
      <c r="B1" s="510" t="s">
        <v>146</v>
      </c>
      <c r="C1" s="510" t="s">
        <v>147</v>
      </c>
      <c r="D1" s="510" t="s">
        <v>148</v>
      </c>
      <c r="E1" s="510" t="s">
        <v>149</v>
      </c>
    </row>
    <row r="2" spans="1:5" x14ac:dyDescent="0.25">
      <c r="A2" t="s">
        <v>199</v>
      </c>
      <c r="B2" s="510">
        <f>'-ITER'!N4</f>
        <v>0.11766666666666666</v>
      </c>
      <c r="C2" s="510">
        <f>'-ITER'!BN4/1000</f>
        <v>0.252</v>
      </c>
      <c r="D2" s="214">
        <f>'-ITER'!CB4/1000</f>
        <v>0.8</v>
      </c>
      <c r="E2" s="8">
        <f>'-ITER'!W4</f>
        <v>502.26807422133862</v>
      </c>
    </row>
    <row r="3" spans="1:5" x14ac:dyDescent="0.25">
      <c r="A3" t="s">
        <v>200</v>
      </c>
      <c r="B3" s="510">
        <f>'-ITER'!N9</f>
        <v>0.8653333333333334</v>
      </c>
      <c r="C3" s="510">
        <f>'-ITER'!BN9/1000</f>
        <v>3.036</v>
      </c>
      <c r="D3" s="214">
        <f>'Thesis results'!BA9/1000</f>
        <v>8.6128048577020238</v>
      </c>
      <c r="E3" s="119">
        <f>'-ITER'!W9</f>
        <v>762.78304074145581</v>
      </c>
    </row>
    <row r="4" spans="1:5" x14ac:dyDescent="0.25">
      <c r="A4" t="s">
        <v>201</v>
      </c>
      <c r="B4" s="510">
        <f>'-ITER'!AI14</f>
        <v>7.8000000000000007</v>
      </c>
      <c r="C4" s="510">
        <f>'-ITER'!BN14/1000</f>
        <v>5.0999999999999997E-2</v>
      </c>
      <c r="D4" s="214">
        <f>'-ITER'!AK14</f>
        <v>0.4</v>
      </c>
      <c r="E4" s="28">
        <f>'-ITER'!AH14</f>
        <v>280</v>
      </c>
    </row>
    <row r="5" spans="1:5" x14ac:dyDescent="0.25">
      <c r="A5" t="s">
        <v>202</v>
      </c>
      <c r="B5" s="510">
        <f>'-ITER'!AI19</f>
        <v>59.400000000000006</v>
      </c>
      <c r="C5" s="214">
        <f>'-ITER'!BN19/1000</f>
        <v>0.69399999999999995</v>
      </c>
      <c r="D5" s="214">
        <f>'-ITER'!AK19</f>
        <v>1</v>
      </c>
      <c r="E5" s="19">
        <f>'-ITER'!W19</f>
        <v>518.39910891089119</v>
      </c>
    </row>
    <row r="6" spans="1:5" x14ac:dyDescent="0.25">
      <c r="B6" t="s">
        <v>128</v>
      </c>
      <c r="C6" t="s">
        <v>128</v>
      </c>
      <c r="D6" t="s">
        <v>128</v>
      </c>
      <c r="E6" t="s">
        <v>15</v>
      </c>
    </row>
  </sheetData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U22"/>
  <sheetViews>
    <sheetView zoomScale="70" zoomScaleNormal="70" workbookViewId="0">
      <selection activeCell="H3" activeCellId="3" sqref="B3:B7 D3:D7 F3:F7 H3:H7"/>
    </sheetView>
  </sheetViews>
  <sheetFormatPr defaultRowHeight="15" x14ac:dyDescent="0.25"/>
  <cols>
    <col min="1" max="1" width="18.140625" customWidth="1"/>
    <col min="2" max="3" width="24.5703125" customWidth="1"/>
    <col min="4" max="5" width="11.140625" customWidth="1"/>
    <col min="6" max="7" width="10.85546875" customWidth="1"/>
    <col min="8" max="8" width="23.42578125" customWidth="1"/>
  </cols>
  <sheetData>
    <row r="1" spans="1:21" x14ac:dyDescent="0.25">
      <c r="A1" t="s">
        <v>194</v>
      </c>
      <c r="B1" t="s">
        <v>224</v>
      </c>
      <c r="C1" t="s">
        <v>228</v>
      </c>
      <c r="D1" t="s">
        <v>227</v>
      </c>
      <c r="E1" t="s">
        <v>228</v>
      </c>
      <c r="F1" t="s">
        <v>226</v>
      </c>
      <c r="G1" t="s">
        <v>228</v>
      </c>
      <c r="H1" t="s">
        <v>225</v>
      </c>
      <c r="I1" t="s">
        <v>228</v>
      </c>
    </row>
    <row r="2" spans="1:21" x14ac:dyDescent="0.25">
      <c r="A2" t="s">
        <v>195</v>
      </c>
      <c r="B2" t="s">
        <v>223</v>
      </c>
      <c r="C2" t="s">
        <v>221</v>
      </c>
      <c r="D2" t="s">
        <v>223</v>
      </c>
      <c r="E2" t="s">
        <v>221</v>
      </c>
      <c r="F2" t="s">
        <v>223</v>
      </c>
      <c r="G2" t="s">
        <v>221</v>
      </c>
      <c r="H2" t="s">
        <v>223</v>
      </c>
      <c r="I2" t="s">
        <v>221</v>
      </c>
      <c r="N2" s="2" t="s">
        <v>190</v>
      </c>
      <c r="O2" s="2" t="s">
        <v>191</v>
      </c>
      <c r="P2" s="2" t="s">
        <v>192</v>
      </c>
      <c r="Q2" s="2" t="s">
        <v>193</v>
      </c>
    </row>
    <row r="3" spans="1:21" x14ac:dyDescent="0.25">
      <c r="A3">
        <v>0</v>
      </c>
      <c r="B3" s="600">
        <f>3989.56411601779/1000</f>
        <v>3.9895641160177902</v>
      </c>
      <c r="C3" s="577">
        <v>3.0479999999999999E-3</v>
      </c>
      <c r="D3" s="600">
        <f>50804.3201714068/1000</f>
        <v>50.8043201714068</v>
      </c>
      <c r="E3" s="598">
        <v>3.0479999999999999E-3</v>
      </c>
      <c r="F3" s="596">
        <v>0.51</v>
      </c>
      <c r="G3" s="579">
        <v>0.36575999999999997</v>
      </c>
      <c r="H3" s="597">
        <v>0.69399999999999995</v>
      </c>
      <c r="I3" s="509">
        <v>3.3528000000000002E-2</v>
      </c>
      <c r="N3" s="581">
        <f>'-ITER'!CB4/1000</f>
        <v>0.8</v>
      </c>
      <c r="O3" s="581">
        <f>'-ITER'!CB9/1000</f>
        <v>4.2</v>
      </c>
      <c r="P3" s="582">
        <f>'-ITER'!CB14/1000</f>
        <v>0.4</v>
      </c>
      <c r="Q3" s="583">
        <f>'-ITER'!CB19/1000</f>
        <v>1</v>
      </c>
    </row>
    <row r="4" spans="1:21" x14ac:dyDescent="0.25">
      <c r="A4">
        <v>7.62</v>
      </c>
      <c r="B4" s="600">
        <f>10351.6359196975/1000</f>
        <v>10.3516359196975</v>
      </c>
      <c r="C4" s="577">
        <v>3.0479999999999999E-3</v>
      </c>
      <c r="D4" s="600">
        <f>50414.7189840872/1000</f>
        <v>50.414718984087202</v>
      </c>
      <c r="E4" s="577">
        <v>6.0959999999999999E-3</v>
      </c>
      <c r="F4" s="596">
        <v>0.41199999999999998</v>
      </c>
      <c r="G4" s="579">
        <v>0.24384</v>
      </c>
      <c r="H4" s="597">
        <v>0.47799999999999998</v>
      </c>
      <c r="I4" s="509">
        <v>3.6575999999999997E-2</v>
      </c>
      <c r="N4" s="581">
        <f>'-ITER'!CB5/1000</f>
        <v>2</v>
      </c>
      <c r="O4" s="581">
        <f>'-ITER'!CB10/1000</f>
        <v>1.5</v>
      </c>
      <c r="P4" s="582">
        <f>'-ITER'!CB15/1000</f>
        <v>2.2000000000000002</v>
      </c>
      <c r="Q4" s="583">
        <f>'-ITER'!CB20/1000</f>
        <v>0.9</v>
      </c>
    </row>
    <row r="5" spans="1:21" x14ac:dyDescent="0.25">
      <c r="A5">
        <v>15.24</v>
      </c>
      <c r="B5" s="600">
        <f>7185.52909196496/1000</f>
        <v>7.1855290919649599</v>
      </c>
      <c r="C5" s="577">
        <v>6.0959999999999999E-3</v>
      </c>
      <c r="D5" s="600">
        <f>48917.8257660745/1000</f>
        <v>48.9178257660745</v>
      </c>
      <c r="E5" s="577">
        <v>6.0959999999999999E-3</v>
      </c>
      <c r="F5" s="596">
        <v>1.081</v>
      </c>
      <c r="G5" s="579">
        <v>0.21335999999999999</v>
      </c>
      <c r="H5" s="597">
        <v>0.21199999999999999</v>
      </c>
      <c r="I5" s="509">
        <v>5.7911999999999998E-2</v>
      </c>
      <c r="N5" s="581">
        <f>'-ITER'!CB6/1000</f>
        <v>2.6</v>
      </c>
      <c r="O5" s="581">
        <f>'-ITER'!CB11/1000</f>
        <v>1.4</v>
      </c>
      <c r="P5" s="582">
        <f>'-ITER'!CB16/1000</f>
        <v>0.6</v>
      </c>
      <c r="Q5" s="583">
        <f>'-ITER'!CB21/1000</f>
        <v>1.2</v>
      </c>
    </row>
    <row r="6" spans="1:21" x14ac:dyDescent="0.25">
      <c r="A6">
        <v>22.86</v>
      </c>
      <c r="B6" s="600">
        <f>8379.81762446013/1000</f>
        <v>8.3798176244601308</v>
      </c>
      <c r="C6" s="577">
        <v>9.1439999999999994E-3</v>
      </c>
      <c r="D6" s="600">
        <f>48775.438885627/1000</f>
        <v>48.775438885627004</v>
      </c>
      <c r="E6" s="577">
        <v>6.0959999999999999E-3</v>
      </c>
      <c r="F6" s="596">
        <v>0.50900000000000001</v>
      </c>
      <c r="G6" s="579">
        <v>3.048E-2</v>
      </c>
      <c r="H6" s="597">
        <v>0.80400000000000005</v>
      </c>
      <c r="I6" s="509">
        <v>7.0104E-2</v>
      </c>
      <c r="N6" s="581">
        <f>'-ITER'!CB7/1000</f>
        <v>1</v>
      </c>
      <c r="O6" s="581">
        <f>'-ITER'!CB12/1000</f>
        <v>0.6</v>
      </c>
      <c r="P6" s="582">
        <f>'-ITER'!CB17/1000</f>
        <v>2.6</v>
      </c>
      <c r="Q6" s="583">
        <f>'-ITER'!CB22/1000</f>
        <v>0.6</v>
      </c>
    </row>
    <row r="7" spans="1:21" x14ac:dyDescent="0.25">
      <c r="A7">
        <v>30.48</v>
      </c>
      <c r="B7" s="600">
        <f>7161.53858331978/1000</f>
        <v>7.1615385833197793</v>
      </c>
      <c r="C7" s="578">
        <v>6.0959999999999999E-3</v>
      </c>
      <c r="D7" s="600">
        <f>48124.7515744308/1000</f>
        <v>48.124751574430796</v>
      </c>
      <c r="E7" s="578">
        <v>9.1439999999999994E-3</v>
      </c>
      <c r="F7" s="596">
        <v>0.47299999999999998</v>
      </c>
      <c r="G7" s="579">
        <v>0.24384</v>
      </c>
      <c r="H7" s="597">
        <v>2</v>
      </c>
      <c r="I7" s="509">
        <v>5.4864000000000003E-2</v>
      </c>
      <c r="N7" s="581">
        <f>'-ITER'!CB8/1000</f>
        <v>2.7</v>
      </c>
      <c r="O7" s="581">
        <f>'-ITER'!CB13/1000</f>
        <v>0.7</v>
      </c>
      <c r="P7" s="582">
        <f>'-ITER'!CB18/1000</f>
        <v>0.4</v>
      </c>
      <c r="Q7" s="583">
        <f>'-ITER'!CB23/1000</f>
        <v>0.7</v>
      </c>
    </row>
    <row r="8" spans="1:21" x14ac:dyDescent="0.25">
      <c r="A8" s="576"/>
      <c r="B8" s="577"/>
      <c r="C8" s="577"/>
    </row>
    <row r="9" spans="1:21" x14ac:dyDescent="0.25">
      <c r="A9" s="576"/>
      <c r="B9" s="600">
        <f>AVERAGE(B3:B7)</f>
        <v>7.4136170670920318</v>
      </c>
      <c r="C9" s="600"/>
      <c r="D9" s="600">
        <f t="shared" ref="D9:H9" si="0">AVERAGE(D3:D7)</f>
        <v>49.407411076325261</v>
      </c>
      <c r="E9" s="600"/>
      <c r="F9" s="600">
        <f t="shared" si="0"/>
        <v>0.59699999999999998</v>
      </c>
      <c r="G9" s="600"/>
      <c r="H9" s="600">
        <f t="shared" si="0"/>
        <v>0.8375999999999999</v>
      </c>
      <c r="I9" s="600"/>
    </row>
    <row r="10" spans="1:21" x14ac:dyDescent="0.25">
      <c r="A10" s="576"/>
      <c r="B10" s="599"/>
      <c r="C10" s="599"/>
    </row>
    <row r="11" spans="1:21" x14ac:dyDescent="0.25">
      <c r="A11" s="576"/>
      <c r="B11" s="599"/>
      <c r="C11" s="599"/>
    </row>
    <row r="12" spans="1:21" x14ac:dyDescent="0.25">
      <c r="A12" s="576"/>
      <c r="B12" s="599"/>
      <c r="C12" s="599"/>
      <c r="R12" s="577">
        <v>3.0479999999999999E-3</v>
      </c>
      <c r="S12" s="598">
        <v>3.0479999999999999E-3</v>
      </c>
      <c r="T12" s="579">
        <v>0.36575999999999997</v>
      </c>
      <c r="U12">
        <v>3.3528000000000002E-2</v>
      </c>
    </row>
    <row r="13" spans="1:21" x14ac:dyDescent="0.25">
      <c r="A13" s="576"/>
      <c r="B13" s="599"/>
      <c r="C13" s="599"/>
      <c r="R13" s="577">
        <v>3.0479999999999999E-3</v>
      </c>
      <c r="S13" s="577">
        <v>6.0959999999999999E-3</v>
      </c>
      <c r="T13" s="579">
        <v>0.24384</v>
      </c>
      <c r="U13">
        <v>3.6575999999999997E-2</v>
      </c>
    </row>
    <row r="14" spans="1:21" x14ac:dyDescent="0.25">
      <c r="A14" s="576"/>
      <c r="B14" s="579"/>
      <c r="C14" s="579"/>
      <c r="R14" s="577">
        <v>6.0959999999999999E-3</v>
      </c>
      <c r="S14" s="577">
        <v>6.0959999999999999E-3</v>
      </c>
      <c r="T14" s="579">
        <v>0.21335999999999999</v>
      </c>
      <c r="U14">
        <v>5.7911999999999998E-2</v>
      </c>
    </row>
    <row r="15" spans="1:21" x14ac:dyDescent="0.25">
      <c r="A15" s="576"/>
      <c r="B15" s="579"/>
      <c r="C15" s="579"/>
      <c r="R15" s="577">
        <v>9.1439999999999994E-3</v>
      </c>
      <c r="S15" s="577">
        <v>6.0959999999999999E-3</v>
      </c>
      <c r="T15" s="579">
        <v>3.048E-2</v>
      </c>
      <c r="U15">
        <v>7.0104E-2</v>
      </c>
    </row>
    <row r="16" spans="1:21" x14ac:dyDescent="0.25">
      <c r="A16" s="576"/>
      <c r="B16" s="579"/>
      <c r="C16" s="579"/>
      <c r="R16" s="578">
        <v>6.0959999999999999E-3</v>
      </c>
      <c r="S16" s="578">
        <v>9.1439999999999994E-3</v>
      </c>
      <c r="T16" s="579">
        <v>0.24384</v>
      </c>
      <c r="U16">
        <v>5.4864000000000003E-2</v>
      </c>
    </row>
    <row r="17" spans="1:3" x14ac:dyDescent="0.25">
      <c r="A17" s="576"/>
      <c r="B17" s="579"/>
      <c r="C17" s="579"/>
    </row>
    <row r="18" spans="1:3" x14ac:dyDescent="0.25">
      <c r="A18" s="576"/>
      <c r="B18" s="580"/>
      <c r="C18" s="580"/>
    </row>
    <row r="19" spans="1:3" x14ac:dyDescent="0.25">
      <c r="A19" s="576"/>
      <c r="B19" s="580"/>
      <c r="C19" s="580"/>
    </row>
    <row r="20" spans="1:3" x14ac:dyDescent="0.25">
      <c r="A20" s="576"/>
      <c r="B20" s="580"/>
      <c r="C20" s="580"/>
    </row>
    <row r="21" spans="1:3" x14ac:dyDescent="0.25">
      <c r="A21" s="576"/>
      <c r="B21" s="580"/>
      <c r="C21" s="580"/>
    </row>
    <row r="22" spans="1:3" x14ac:dyDescent="0.25">
      <c r="A22" s="576"/>
      <c r="B22" s="579"/>
      <c r="C22" s="579"/>
    </row>
  </sheetData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7"/>
  <sheetViews>
    <sheetView workbookViewId="0">
      <selection activeCell="E30" sqref="E30"/>
    </sheetView>
  </sheetViews>
  <sheetFormatPr defaultRowHeight="15" x14ac:dyDescent="0.25"/>
  <cols>
    <col min="3" max="3" width="24.5703125" customWidth="1"/>
    <col min="4" max="4" width="12" customWidth="1"/>
    <col min="5" max="5" width="13" customWidth="1"/>
    <col min="6" max="6" width="24.7109375" customWidth="1"/>
  </cols>
  <sheetData>
    <row r="1" spans="1:6" x14ac:dyDescent="0.25">
      <c r="A1" t="s">
        <v>147</v>
      </c>
    </row>
    <row r="2" spans="1:6" x14ac:dyDescent="0.25">
      <c r="B2" s="2" t="s">
        <v>195</v>
      </c>
      <c r="C2" s="2" t="s">
        <v>190</v>
      </c>
      <c r="D2" s="2" t="s">
        <v>191</v>
      </c>
      <c r="E2" s="2" t="s">
        <v>192</v>
      </c>
      <c r="F2" s="2" t="s">
        <v>193</v>
      </c>
    </row>
    <row r="3" spans="1:6" x14ac:dyDescent="0.25">
      <c r="B3" s="576">
        <v>0</v>
      </c>
      <c r="C3" s="581">
        <f>'-ITER'!BN4/1000</f>
        <v>0.252</v>
      </c>
      <c r="D3" s="581">
        <f>'-ITER'!BN9/1000</f>
        <v>3.036</v>
      </c>
      <c r="E3" s="582">
        <f>'-ITER'!BN14/1000</f>
        <v>5.0999999999999997E-2</v>
      </c>
      <c r="F3" s="583">
        <f>'-ITER'!BN19/1000</f>
        <v>0.69399999999999995</v>
      </c>
    </row>
    <row r="4" spans="1:6" x14ac:dyDescent="0.25">
      <c r="B4" s="576">
        <v>25</v>
      </c>
      <c r="C4" s="581">
        <f>'-ITER'!BN5/1000</f>
        <v>0.7</v>
      </c>
      <c r="D4" s="581">
        <f>'-ITER'!BN10/1000</f>
        <v>2.4279999999999999</v>
      </c>
      <c r="E4" s="582">
        <f>'-ITER'!BN15/1000</f>
        <v>0.56100000000000005</v>
      </c>
      <c r="F4" s="583">
        <f>'-ITER'!BN20/1000</f>
        <v>0.47799999999999998</v>
      </c>
    </row>
    <row r="5" spans="1:6" x14ac:dyDescent="0.25">
      <c r="B5" s="576">
        <v>50</v>
      </c>
      <c r="C5" s="581">
        <f>'-ITER'!BN6/1000</f>
        <v>0.73199999999999998</v>
      </c>
      <c r="D5" s="581">
        <f>'-ITER'!BN11/1000</f>
        <v>2.0720000000000001</v>
      </c>
      <c r="E5" s="582">
        <f>'-ITER'!BN16/1000</f>
        <v>1.081</v>
      </c>
      <c r="F5" s="583">
        <f>'-ITER'!BN21/1000</f>
        <v>0.21199999999999999</v>
      </c>
    </row>
    <row r="6" spans="1:6" x14ac:dyDescent="0.25">
      <c r="B6" s="576">
        <v>75</v>
      </c>
      <c r="C6" s="581">
        <f>'-ITER'!BN7/1000</f>
        <v>0.115</v>
      </c>
      <c r="D6" s="581">
        <f>'-ITER'!BN12/1000</f>
        <v>3.496</v>
      </c>
      <c r="E6" s="582">
        <f>'-ITER'!BN17/1000</f>
        <v>0.314</v>
      </c>
      <c r="F6" s="583">
        <f>'-ITER'!BN22/1000</f>
        <v>0.23400000000000001</v>
      </c>
    </row>
    <row r="7" spans="1:6" x14ac:dyDescent="0.25">
      <c r="B7" s="576">
        <v>100</v>
      </c>
      <c r="C7" s="581">
        <f>'-ITER'!BN8/1000</f>
        <v>1.0009999999999999</v>
      </c>
      <c r="D7" s="581">
        <f>'-ITER'!BN13/1000</f>
        <v>2.028</v>
      </c>
      <c r="E7" s="582">
        <f>'-ITER'!BN18/1000</f>
        <v>0.33100000000000002</v>
      </c>
      <c r="F7" s="583">
        <f>'-ITER'!BN23/1000</f>
        <v>1.7999999999999999E-2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22"/>
  <sheetViews>
    <sheetView zoomScale="70" zoomScaleNormal="70" workbookViewId="0">
      <selection activeCell="H3" activeCellId="3" sqref="B3:B7 D3:D7 F3:F7 H3:H7"/>
    </sheetView>
  </sheetViews>
  <sheetFormatPr defaultRowHeight="15" x14ac:dyDescent="0.25"/>
  <cols>
    <col min="1" max="1" width="18.140625" customWidth="1"/>
    <col min="2" max="3" width="24.5703125" customWidth="1"/>
    <col min="4" max="5" width="11.140625" customWidth="1"/>
    <col min="6" max="7" width="10.85546875" customWidth="1"/>
    <col min="8" max="8" width="23.42578125" customWidth="1"/>
  </cols>
  <sheetData>
    <row r="1" spans="1:17" x14ac:dyDescent="0.25">
      <c r="A1" t="s">
        <v>194</v>
      </c>
      <c r="B1" t="s">
        <v>224</v>
      </c>
      <c r="C1" t="s">
        <v>228</v>
      </c>
      <c r="D1" t="s">
        <v>227</v>
      </c>
      <c r="E1" t="s">
        <v>228</v>
      </c>
      <c r="F1" t="s">
        <v>226</v>
      </c>
      <c r="G1" t="s">
        <v>228</v>
      </c>
      <c r="H1" t="s">
        <v>225</v>
      </c>
      <c r="I1" t="s">
        <v>228</v>
      </c>
    </row>
    <row r="2" spans="1:17" x14ac:dyDescent="0.25">
      <c r="A2" t="s">
        <v>195</v>
      </c>
      <c r="B2" t="s">
        <v>229</v>
      </c>
      <c r="C2" t="s">
        <v>221</v>
      </c>
      <c r="D2" t="s">
        <v>229</v>
      </c>
      <c r="E2" t="s">
        <v>221</v>
      </c>
      <c r="F2" t="s">
        <v>229</v>
      </c>
      <c r="G2" t="s">
        <v>221</v>
      </c>
      <c r="H2" t="s">
        <v>229</v>
      </c>
      <c r="I2" t="s">
        <v>221</v>
      </c>
      <c r="N2" s="2" t="s">
        <v>190</v>
      </c>
      <c r="O2" s="2" t="s">
        <v>191</v>
      </c>
      <c r="P2" s="2" t="s">
        <v>192</v>
      </c>
      <c r="Q2" s="2" t="s">
        <v>193</v>
      </c>
    </row>
    <row r="3" spans="1:17" x14ac:dyDescent="0.25">
      <c r="A3">
        <v>0</v>
      </c>
      <c r="B3" s="581">
        <v>0.8</v>
      </c>
      <c r="C3" s="577">
        <v>3.0479999999999999E-3</v>
      </c>
      <c r="D3" s="581">
        <v>4.2</v>
      </c>
      <c r="E3" s="598">
        <v>3.0479999999999999E-3</v>
      </c>
      <c r="F3" s="582">
        <v>0.4</v>
      </c>
      <c r="G3" s="579">
        <v>0.36575999999999997</v>
      </c>
      <c r="H3" s="583">
        <v>1</v>
      </c>
      <c r="I3">
        <v>3.3528000000000002E-2</v>
      </c>
      <c r="N3" s="581">
        <v>0.8</v>
      </c>
      <c r="O3" s="581">
        <v>4.2</v>
      </c>
      <c r="P3" s="582">
        <v>0.4</v>
      </c>
      <c r="Q3" s="583">
        <v>1</v>
      </c>
    </row>
    <row r="4" spans="1:17" x14ac:dyDescent="0.25">
      <c r="A4">
        <v>7.62</v>
      </c>
      <c r="B4" s="581">
        <v>2</v>
      </c>
      <c r="C4" s="577">
        <v>3.0479999999999999E-3</v>
      </c>
      <c r="D4" s="581">
        <v>1.5</v>
      </c>
      <c r="E4" s="577">
        <v>6.0959999999999999E-3</v>
      </c>
      <c r="F4" s="582">
        <v>2.2000000000000002</v>
      </c>
      <c r="G4" s="579">
        <v>0.24384</v>
      </c>
      <c r="H4" s="583">
        <v>0.9</v>
      </c>
      <c r="I4">
        <v>3.6575999999999997E-2</v>
      </c>
      <c r="N4" s="581">
        <v>2</v>
      </c>
      <c r="O4" s="581">
        <v>1.5</v>
      </c>
      <c r="P4" s="582">
        <v>2.2000000000000002</v>
      </c>
      <c r="Q4" s="583">
        <v>0.9</v>
      </c>
    </row>
    <row r="5" spans="1:17" x14ac:dyDescent="0.25">
      <c r="A5">
        <v>15.24</v>
      </c>
      <c r="B5" s="581">
        <v>2.6</v>
      </c>
      <c r="C5" s="577">
        <v>6.0959999999999999E-3</v>
      </c>
      <c r="D5" s="581">
        <v>1.4</v>
      </c>
      <c r="E5" s="577">
        <v>6.0959999999999999E-3</v>
      </c>
      <c r="F5" s="582">
        <v>0.6</v>
      </c>
      <c r="G5" s="579">
        <v>0.21335999999999999</v>
      </c>
      <c r="H5" s="583">
        <v>1.2</v>
      </c>
      <c r="I5">
        <v>5.7911999999999998E-2</v>
      </c>
      <c r="N5" s="581">
        <v>2.6</v>
      </c>
      <c r="O5" s="581">
        <v>1.4</v>
      </c>
      <c r="P5" s="582">
        <v>0.6</v>
      </c>
      <c r="Q5" s="583">
        <v>1.2</v>
      </c>
    </row>
    <row r="6" spans="1:17" x14ac:dyDescent="0.25">
      <c r="A6">
        <v>22.86</v>
      </c>
      <c r="B6" s="581">
        <v>1</v>
      </c>
      <c r="C6" s="577">
        <v>9.1439999999999994E-3</v>
      </c>
      <c r="D6" s="581">
        <v>0.6</v>
      </c>
      <c r="E6" s="577">
        <v>6.0959999999999999E-3</v>
      </c>
      <c r="F6" s="582">
        <v>2.6</v>
      </c>
      <c r="G6" s="579">
        <v>3.048E-2</v>
      </c>
      <c r="H6" s="583">
        <v>0.6</v>
      </c>
      <c r="I6">
        <v>7.0104E-2</v>
      </c>
      <c r="N6" s="581">
        <v>1</v>
      </c>
      <c r="O6" s="581">
        <v>0.6</v>
      </c>
      <c r="P6" s="582">
        <v>2.6</v>
      </c>
      <c r="Q6" s="583">
        <v>0.6</v>
      </c>
    </row>
    <row r="7" spans="1:17" x14ac:dyDescent="0.25">
      <c r="A7">
        <v>30.48</v>
      </c>
      <c r="B7" s="581">
        <v>2.7</v>
      </c>
      <c r="C7" s="578">
        <v>6.0959999999999999E-3</v>
      </c>
      <c r="D7" s="581">
        <v>0.7</v>
      </c>
      <c r="E7" s="578">
        <v>9.1439999999999994E-3</v>
      </c>
      <c r="F7" s="582">
        <v>0.4</v>
      </c>
      <c r="G7" s="579">
        <v>0.24384</v>
      </c>
      <c r="H7" s="583">
        <v>0.7</v>
      </c>
      <c r="I7">
        <v>5.4864000000000003E-2</v>
      </c>
      <c r="N7" s="581">
        <v>2.7</v>
      </c>
      <c r="O7" s="581">
        <v>0.7</v>
      </c>
      <c r="P7" s="582">
        <v>0.4</v>
      </c>
      <c r="Q7" s="583">
        <v>0.7</v>
      </c>
    </row>
    <row r="8" spans="1:17" x14ac:dyDescent="0.25">
      <c r="A8" s="576"/>
      <c r="B8" s="577"/>
      <c r="C8" s="577"/>
    </row>
    <row r="9" spans="1:17" x14ac:dyDescent="0.25">
      <c r="A9" s="576"/>
      <c r="B9" s="600">
        <f>AVERAGE(B3:B7)</f>
        <v>1.8200000000000003</v>
      </c>
      <c r="C9" s="600"/>
      <c r="D9" s="600">
        <f t="shared" ref="D9:H9" si="0">AVERAGE(D3:D7)</f>
        <v>1.6799999999999997</v>
      </c>
      <c r="E9" s="600"/>
      <c r="F9" s="600">
        <f t="shared" si="0"/>
        <v>1.2400000000000002</v>
      </c>
      <c r="G9" s="600"/>
      <c r="H9" s="600">
        <f t="shared" si="0"/>
        <v>0.87999999999999989</v>
      </c>
      <c r="I9" s="600"/>
    </row>
    <row r="10" spans="1:17" x14ac:dyDescent="0.25">
      <c r="A10" s="576"/>
      <c r="B10" s="599"/>
      <c r="C10" s="599"/>
    </row>
    <row r="11" spans="1:17" x14ac:dyDescent="0.25">
      <c r="A11" s="576"/>
      <c r="B11" s="599"/>
      <c r="C11" s="599"/>
    </row>
    <row r="12" spans="1:17" x14ac:dyDescent="0.25">
      <c r="A12" s="576"/>
      <c r="B12" s="599"/>
      <c r="C12" s="599"/>
    </row>
    <row r="13" spans="1:17" x14ac:dyDescent="0.25">
      <c r="A13" s="576"/>
      <c r="B13" s="599"/>
      <c r="C13" s="599"/>
    </row>
    <row r="14" spans="1:17" x14ac:dyDescent="0.25">
      <c r="A14" s="576"/>
      <c r="B14" s="579"/>
      <c r="C14" s="579"/>
    </row>
    <row r="15" spans="1:17" x14ac:dyDescent="0.25">
      <c r="A15" s="576"/>
      <c r="B15" s="579"/>
      <c r="C15" s="579"/>
    </row>
    <row r="16" spans="1:17" x14ac:dyDescent="0.25">
      <c r="A16" s="576"/>
      <c r="B16" s="579"/>
      <c r="C16" s="579"/>
    </row>
    <row r="17" spans="1:3" x14ac:dyDescent="0.25">
      <c r="A17" s="576"/>
      <c r="B17" s="579"/>
      <c r="C17" s="579"/>
    </row>
    <row r="18" spans="1:3" x14ac:dyDescent="0.25">
      <c r="A18" s="576"/>
      <c r="B18" s="580"/>
      <c r="C18" s="580"/>
    </row>
    <row r="19" spans="1:3" x14ac:dyDescent="0.25">
      <c r="A19" s="576"/>
      <c r="B19" s="580"/>
      <c r="C19" s="580"/>
    </row>
    <row r="20" spans="1:3" x14ac:dyDescent="0.25">
      <c r="A20" s="576"/>
      <c r="B20" s="580"/>
      <c r="C20" s="580"/>
    </row>
    <row r="21" spans="1:3" x14ac:dyDescent="0.25">
      <c r="A21" s="576"/>
      <c r="B21" s="580"/>
      <c r="C21" s="580"/>
    </row>
    <row r="22" spans="1:3" x14ac:dyDescent="0.25">
      <c r="A22" s="576"/>
      <c r="B22" s="579"/>
      <c r="C22" s="57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14E00-DF52-4643-AAB9-AD33818B1B15}">
  <dimension ref="A1:AW88"/>
  <sheetViews>
    <sheetView topLeftCell="A37" zoomScale="60" zoomScaleNormal="60" workbookViewId="0">
      <pane xSplit="1" topLeftCell="N1" activePane="topRight" state="frozen"/>
      <selection pane="topRight" activeCell="AK72" sqref="AK72"/>
    </sheetView>
  </sheetViews>
  <sheetFormatPr defaultRowHeight="15" x14ac:dyDescent="0.25"/>
  <cols>
    <col min="1" max="1" width="20" customWidth="1"/>
    <col min="2" max="6" width="9.140625" style="636"/>
    <col min="7" max="13" width="9.140625" style="2"/>
    <col min="14" max="14" width="13.140625" style="2" customWidth="1"/>
    <col min="15" max="15" width="11.7109375" style="2" customWidth="1"/>
    <col min="16" max="16" width="13.85546875" customWidth="1"/>
    <col min="25" max="25" width="9.140625" style="647"/>
    <col min="35" max="35" width="9.140625" style="650"/>
  </cols>
  <sheetData>
    <row r="1" spans="1:37" ht="15.75" thickBot="1" x14ac:dyDescent="0.3">
      <c r="B1" s="636" t="s">
        <v>146</v>
      </c>
      <c r="C1" s="636" t="s">
        <v>147</v>
      </c>
      <c r="D1" s="636" t="s">
        <v>148</v>
      </c>
      <c r="E1" s="636" t="s">
        <v>149</v>
      </c>
      <c r="F1" s="636" t="s">
        <v>209</v>
      </c>
      <c r="G1" s="636" t="s">
        <v>196</v>
      </c>
      <c r="H1" s="636" t="s">
        <v>197</v>
      </c>
      <c r="I1" s="636" t="s">
        <v>198</v>
      </c>
      <c r="J1" s="636" t="s">
        <v>203</v>
      </c>
      <c r="K1" s="636" t="s">
        <v>204</v>
      </c>
      <c r="L1" s="636" t="s">
        <v>205</v>
      </c>
      <c r="M1" s="636" t="s">
        <v>206</v>
      </c>
      <c r="N1" s="636" t="s">
        <v>207</v>
      </c>
      <c r="O1" s="636" t="s">
        <v>208</v>
      </c>
      <c r="P1" s="636" t="s">
        <v>221</v>
      </c>
      <c r="Q1" s="636" t="s">
        <v>250</v>
      </c>
      <c r="R1" s="636" t="s">
        <v>251</v>
      </c>
      <c r="S1" s="636" t="s">
        <v>213</v>
      </c>
      <c r="T1" s="636" t="s">
        <v>214</v>
      </c>
      <c r="U1" s="636" t="s">
        <v>215</v>
      </c>
      <c r="V1" s="636" t="s">
        <v>216</v>
      </c>
      <c r="W1" s="636" t="s">
        <v>217</v>
      </c>
      <c r="X1" s="636" t="s">
        <v>252</v>
      </c>
      <c r="Y1" s="636" t="s">
        <v>263</v>
      </c>
      <c r="Z1" s="636" t="s">
        <v>253</v>
      </c>
      <c r="AA1" s="636" t="s">
        <v>254</v>
      </c>
      <c r="AB1" s="636" t="s">
        <v>255</v>
      </c>
      <c r="AC1" s="636" t="s">
        <v>256</v>
      </c>
      <c r="AD1" s="636" t="s">
        <v>257</v>
      </c>
      <c r="AE1" s="636" t="s">
        <v>258</v>
      </c>
      <c r="AF1" s="636" t="s">
        <v>259</v>
      </c>
      <c r="AG1" s="636" t="s">
        <v>260</v>
      </c>
      <c r="AH1" s="636" t="s">
        <v>261</v>
      </c>
      <c r="AI1" s="636" t="s">
        <v>264</v>
      </c>
      <c r="AJ1" s="636" t="s">
        <v>262</v>
      </c>
    </row>
    <row r="2" spans="1:37" x14ac:dyDescent="0.25">
      <c r="A2" s="634" t="s">
        <v>150</v>
      </c>
      <c r="B2" s="659">
        <v>6.2169999999999996</v>
      </c>
      <c r="C2" s="637">
        <v>3.9895641160177902</v>
      </c>
      <c r="D2" s="659">
        <v>0.8</v>
      </c>
      <c r="E2" s="659">
        <v>502.26807422133862</v>
      </c>
      <c r="F2" s="585">
        <v>0.28999999999999998</v>
      </c>
      <c r="G2" s="585">
        <v>81.648699163513257</v>
      </c>
      <c r="H2" s="596">
        <v>29.087287094204342</v>
      </c>
      <c r="I2" s="635">
        <v>12.770362587386984</v>
      </c>
      <c r="J2" s="658">
        <v>39.51039130434782</v>
      </c>
      <c r="K2" s="596">
        <v>9.6494818761202943</v>
      </c>
      <c r="L2" s="656">
        <v>3.05829010344136E-2</v>
      </c>
      <c r="M2" s="585">
        <v>8.4044265531339091E-2</v>
      </c>
      <c r="N2" s="660">
        <v>1.0459602704860261E-2</v>
      </c>
      <c r="O2" s="660">
        <v>1.3719702236254091E-2</v>
      </c>
      <c r="P2" s="631">
        <v>3.0479999999999999E-3</v>
      </c>
      <c r="Q2" s="657">
        <v>310.2</v>
      </c>
      <c r="R2" s="657">
        <v>210</v>
      </c>
      <c r="S2" s="657">
        <v>25</v>
      </c>
      <c r="T2" s="657">
        <v>7.04</v>
      </c>
      <c r="U2" s="657">
        <v>13.2</v>
      </c>
      <c r="V2" s="657">
        <v>2.59</v>
      </c>
      <c r="W2" s="657">
        <v>0.04</v>
      </c>
      <c r="X2" s="657">
        <v>8.8800000000000008</v>
      </c>
      <c r="Y2" s="657">
        <v>1.37</v>
      </c>
      <c r="Z2" s="657">
        <v>0.47</v>
      </c>
      <c r="AA2" s="657">
        <v>12.53</v>
      </c>
      <c r="AB2" s="657">
        <v>4.09</v>
      </c>
      <c r="AC2" s="657">
        <v>4.17</v>
      </c>
      <c r="AD2" s="657">
        <v>9.5399999999999991</v>
      </c>
      <c r="AE2" s="657">
        <v>6.22</v>
      </c>
      <c r="AF2" s="657">
        <v>5.31</v>
      </c>
      <c r="AG2" s="657">
        <v>2.08</v>
      </c>
      <c r="AH2" s="657">
        <v>-2.61</v>
      </c>
      <c r="AI2" s="657">
        <v>-0.44</v>
      </c>
      <c r="AJ2" s="657">
        <v>8.94</v>
      </c>
      <c r="AK2" s="652"/>
    </row>
    <row r="3" spans="1:37" x14ac:dyDescent="0.25">
      <c r="A3" s="642" t="s">
        <v>151</v>
      </c>
      <c r="B3" s="659">
        <v>5.593</v>
      </c>
      <c r="C3" s="637">
        <v>10.3516359196975</v>
      </c>
      <c r="D3" s="659">
        <v>2</v>
      </c>
      <c r="E3" s="659">
        <v>496.75624499900971</v>
      </c>
      <c r="F3" s="585">
        <v>0.15</v>
      </c>
      <c r="G3" s="585">
        <v>90.711487926136357</v>
      </c>
      <c r="H3" s="596">
        <v>30.156395596590908</v>
      </c>
      <c r="I3" s="635">
        <v>13.528881321069015</v>
      </c>
      <c r="J3" s="658">
        <v>41.998863636363637</v>
      </c>
      <c r="K3" s="596">
        <v>8.7531285511363635</v>
      </c>
      <c r="L3" s="656">
        <v>3.5586658655880551E-2</v>
      </c>
      <c r="M3" s="585">
        <v>0.10007005120649215</v>
      </c>
      <c r="N3" s="660">
        <v>7.3781913948893557E-3</v>
      </c>
      <c r="O3" s="660">
        <v>1.6957211964377418E-2</v>
      </c>
      <c r="P3" s="631">
        <v>3.0479999999999999E-3</v>
      </c>
      <c r="Q3" s="657">
        <v>280.2</v>
      </c>
      <c r="R3" s="657">
        <v>181.4</v>
      </c>
      <c r="S3" s="657">
        <v>50</v>
      </c>
      <c r="T3" s="657">
        <v>6.99</v>
      </c>
      <c r="U3" s="657">
        <v>13</v>
      </c>
      <c r="V3" s="657">
        <v>2.34</v>
      </c>
      <c r="W3" s="657">
        <v>0.09</v>
      </c>
      <c r="X3" s="657">
        <v>10.35</v>
      </c>
      <c r="Y3" s="657">
        <v>1.83</v>
      </c>
      <c r="Z3" s="657">
        <v>0.52</v>
      </c>
      <c r="AA3" s="657">
        <v>14.51</v>
      </c>
      <c r="AB3" s="657">
        <v>4.03</v>
      </c>
      <c r="AC3" s="657">
        <v>4.63</v>
      </c>
      <c r="AD3" s="657">
        <v>9.4700000000000006</v>
      </c>
      <c r="AE3" s="657">
        <v>6.13</v>
      </c>
      <c r="AF3" s="657">
        <v>5.18</v>
      </c>
      <c r="AG3" s="657">
        <v>2.0099999999999998</v>
      </c>
      <c r="AH3" s="657">
        <v>-2.65</v>
      </c>
      <c r="AI3" s="657">
        <v>0.12</v>
      </c>
      <c r="AJ3" s="657">
        <v>8.8699999999999992</v>
      </c>
      <c r="AK3" s="652"/>
    </row>
    <row r="4" spans="1:37" x14ac:dyDescent="0.25">
      <c r="A4" s="642" t="s">
        <v>152</v>
      </c>
      <c r="B4" s="659">
        <v>2.323</v>
      </c>
      <c r="C4" s="637">
        <v>7.1855290919649599</v>
      </c>
      <c r="D4" s="659">
        <v>2.6</v>
      </c>
      <c r="E4" s="659">
        <v>498.50577506613757</v>
      </c>
      <c r="F4" s="585">
        <v>0.17</v>
      </c>
      <c r="G4" s="585">
        <v>85.353811441100248</v>
      </c>
      <c r="H4" s="596">
        <v>29.828321307554312</v>
      </c>
      <c r="I4" s="635">
        <v>13.645818390147697</v>
      </c>
      <c r="J4" s="658">
        <v>42.091742475583011</v>
      </c>
      <c r="K4" s="582">
        <v>9.6226844727925034</v>
      </c>
      <c r="L4" s="656">
        <v>4.2832652080268478E-2</v>
      </c>
      <c r="M4" s="585">
        <v>0.13226804111839402</v>
      </c>
      <c r="N4" s="660">
        <v>1.8456044766856309E-2</v>
      </c>
      <c r="O4" s="660">
        <v>2.2045297563419969E-2</v>
      </c>
      <c r="P4" s="631">
        <v>6.0959999999999999E-3</v>
      </c>
      <c r="Q4" s="657">
        <v>279.60000000000002</v>
      </c>
      <c r="R4" s="657">
        <v>181.6</v>
      </c>
      <c r="S4" s="657">
        <v>81</v>
      </c>
      <c r="T4" s="657">
        <v>6.97</v>
      </c>
      <c r="U4" s="657">
        <v>12.9</v>
      </c>
      <c r="V4" s="657">
        <v>2</v>
      </c>
      <c r="W4" s="657">
        <v>0.04</v>
      </c>
      <c r="X4" s="657">
        <v>10.1</v>
      </c>
      <c r="Y4" s="657">
        <v>1.69</v>
      </c>
      <c r="Z4" s="657">
        <v>0.65</v>
      </c>
      <c r="AA4" s="657">
        <v>14.07</v>
      </c>
      <c r="AB4" s="657">
        <v>3.63</v>
      </c>
      <c r="AC4" s="657">
        <v>4.5</v>
      </c>
      <c r="AD4" s="657">
        <v>9.07</v>
      </c>
      <c r="AE4" s="657">
        <v>9.32</v>
      </c>
      <c r="AF4" s="657">
        <v>4.13</v>
      </c>
      <c r="AG4" s="657">
        <v>0.92</v>
      </c>
      <c r="AH4" s="657">
        <v>-3.72</v>
      </c>
      <c r="AI4" s="657">
        <v>0.06</v>
      </c>
      <c r="AJ4" s="657">
        <v>8.81</v>
      </c>
      <c r="AK4" s="652"/>
    </row>
    <row r="5" spans="1:37" x14ac:dyDescent="0.25">
      <c r="A5" s="642" t="s">
        <v>153</v>
      </c>
      <c r="B5" s="659">
        <v>1.2070000000000001</v>
      </c>
      <c r="C5" s="637">
        <v>8.3798176244601308</v>
      </c>
      <c r="D5" s="659">
        <v>1</v>
      </c>
      <c r="E5" s="659">
        <v>495.29925636007829</v>
      </c>
      <c r="F5" s="585">
        <v>0.18</v>
      </c>
      <c r="G5" s="585">
        <v>95.286900519031136</v>
      </c>
      <c r="H5" s="596">
        <v>31.559730103806231</v>
      </c>
      <c r="I5" s="635">
        <v>16.427535517603399</v>
      </c>
      <c r="J5" s="658">
        <v>64.509983564013851</v>
      </c>
      <c r="K5" s="582">
        <v>12.174804498269896</v>
      </c>
      <c r="L5" s="656">
        <v>5.3373537347022354E-2</v>
      </c>
      <c r="M5" s="585">
        <v>0.17828612701636393</v>
      </c>
      <c r="N5" s="660">
        <v>1.7980732365177454E-2</v>
      </c>
      <c r="O5" s="660">
        <v>3.1673614481235977E-2</v>
      </c>
      <c r="P5" s="631">
        <v>9.1439999999999994E-3</v>
      </c>
      <c r="Q5" s="657">
        <v>270</v>
      </c>
      <c r="R5" s="657">
        <v>179.9</v>
      </c>
      <c r="S5" s="657">
        <v>89</v>
      </c>
      <c r="T5" s="657">
        <v>6.99</v>
      </c>
      <c r="U5" s="657">
        <v>13</v>
      </c>
      <c r="V5" s="657">
        <v>1.89</v>
      </c>
      <c r="W5" s="657">
        <v>0.04</v>
      </c>
      <c r="X5" s="657">
        <v>18.43</v>
      </c>
      <c r="Y5" s="657">
        <v>4.67</v>
      </c>
      <c r="Z5" s="657">
        <v>0.33</v>
      </c>
      <c r="AA5" s="657">
        <v>25.62</v>
      </c>
      <c r="AB5" s="657">
        <v>3.32</v>
      </c>
      <c r="AC5" s="657">
        <v>7.47</v>
      </c>
      <c r="AD5" s="657">
        <v>8.77</v>
      </c>
      <c r="AE5" s="657">
        <v>3.56</v>
      </c>
      <c r="AF5" s="657">
        <v>2.62</v>
      </c>
      <c r="AG5" s="657">
        <v>-0.49</v>
      </c>
      <c r="AH5" s="657">
        <v>-5.28</v>
      </c>
      <c r="AI5" s="657">
        <v>2.71</v>
      </c>
      <c r="AJ5" s="657">
        <v>8.74</v>
      </c>
      <c r="AK5" s="652"/>
    </row>
    <row r="6" spans="1:37" ht="15.75" thickBot="1" x14ac:dyDescent="0.3">
      <c r="A6" s="643" t="s">
        <v>154</v>
      </c>
      <c r="B6" s="661">
        <v>1.845</v>
      </c>
      <c r="C6" s="637">
        <v>7.1615385833197793</v>
      </c>
      <c r="D6" s="659">
        <v>2.7</v>
      </c>
      <c r="E6" s="659">
        <v>493.56928236614505</v>
      </c>
      <c r="F6" s="585">
        <v>0.15</v>
      </c>
      <c r="G6" s="585">
        <v>87.234573930348247</v>
      </c>
      <c r="H6" s="596">
        <v>29.527560199004977</v>
      </c>
      <c r="I6" s="635">
        <v>13.979331232171484</v>
      </c>
      <c r="J6" s="658">
        <v>39.71884417910448</v>
      </c>
      <c r="K6" s="582">
        <v>13.571611144278608</v>
      </c>
      <c r="L6" s="656">
        <v>3.5827180335771799E-2</v>
      </c>
      <c r="M6" s="585">
        <v>0.16087110356404702</v>
      </c>
      <c r="N6" s="660">
        <v>2.2738243825783603E-3</v>
      </c>
      <c r="O6" s="660">
        <v>2.363905713653984E-2</v>
      </c>
      <c r="P6" s="632">
        <v>6.0959999999999999E-3</v>
      </c>
      <c r="Q6" s="657">
        <v>281.8</v>
      </c>
      <c r="R6" s="657">
        <v>184.9</v>
      </c>
      <c r="S6" s="657">
        <v>31</v>
      </c>
      <c r="T6" s="657">
        <v>7.12</v>
      </c>
      <c r="U6" s="657">
        <v>13.1</v>
      </c>
      <c r="V6" s="657">
        <v>2.76</v>
      </c>
      <c r="W6" s="657">
        <v>0.01</v>
      </c>
      <c r="X6" s="657">
        <v>9.35</v>
      </c>
      <c r="Y6" s="657">
        <v>1.56</v>
      </c>
      <c r="Z6" s="657">
        <v>0.69</v>
      </c>
      <c r="AA6" s="657">
        <v>13.16</v>
      </c>
      <c r="AB6" s="657">
        <v>3.61</v>
      </c>
      <c r="AC6" s="657">
        <v>4.3600000000000003</v>
      </c>
      <c r="AD6" s="657">
        <v>9.06</v>
      </c>
      <c r="AE6" s="657">
        <v>4.62</v>
      </c>
      <c r="AF6" s="657">
        <v>3.75</v>
      </c>
      <c r="AG6" s="657">
        <v>0.37</v>
      </c>
      <c r="AH6" s="657">
        <v>-4.4000000000000004</v>
      </c>
      <c r="AI6" s="657">
        <v>-0.41</v>
      </c>
      <c r="AJ6" s="657">
        <v>9.23</v>
      </c>
      <c r="AK6" s="652"/>
    </row>
    <row r="7" spans="1:37" x14ac:dyDescent="0.25">
      <c r="A7" s="634" t="s">
        <v>155</v>
      </c>
      <c r="B7" s="659">
        <v>5.0949999999999998</v>
      </c>
      <c r="C7" s="637">
        <v>50.8043201714068</v>
      </c>
      <c r="D7" s="659">
        <v>4.2</v>
      </c>
      <c r="E7" s="659">
        <v>762.78304074145581</v>
      </c>
      <c r="F7" s="585">
        <v>0.76</v>
      </c>
      <c r="G7" s="585">
        <v>61.137309358235647</v>
      </c>
      <c r="H7" s="596">
        <v>70.450340353665808</v>
      </c>
      <c r="I7" s="635">
        <v>71.830779142184483</v>
      </c>
      <c r="J7" s="658">
        <v>59.872330816610372</v>
      </c>
      <c r="K7" s="596">
        <v>7.2711364991059009</v>
      </c>
      <c r="L7" s="656">
        <v>0.38783442480601094</v>
      </c>
      <c r="M7" s="585">
        <v>0.70164533653822225</v>
      </c>
      <c r="N7" s="660">
        <v>3.7638164416215578E-2</v>
      </c>
      <c r="O7" s="660">
        <v>0.24809587618445014</v>
      </c>
      <c r="P7" s="631">
        <v>3.0479999999999999E-3</v>
      </c>
      <c r="Q7" s="657">
        <v>2184</v>
      </c>
      <c r="R7" s="657">
        <v>1609</v>
      </c>
      <c r="S7" s="657">
        <v>488</v>
      </c>
      <c r="T7" s="657">
        <v>2.2999999999999998</v>
      </c>
      <c r="U7" s="657">
        <v>15.8</v>
      </c>
      <c r="V7" s="657">
        <v>1.08</v>
      </c>
      <c r="W7" s="657">
        <v>0.03</v>
      </c>
      <c r="X7" s="657">
        <v>-6.41</v>
      </c>
      <c r="Y7" s="657">
        <v>-8.32</v>
      </c>
      <c r="Z7" s="657">
        <v>0.28999999999999998</v>
      </c>
      <c r="AA7" s="657">
        <v>-17.510000000000002</v>
      </c>
      <c r="AB7" s="657">
        <v>-3.53</v>
      </c>
      <c r="AC7" s="657">
        <v>-5.54</v>
      </c>
      <c r="AD7" s="657">
        <v>2.0299999999999998</v>
      </c>
      <c r="AE7" s="657">
        <v>-1.68</v>
      </c>
      <c r="AF7" s="657">
        <v>-3.37</v>
      </c>
      <c r="AG7" s="657">
        <v>-6.26</v>
      </c>
      <c r="AH7" s="657">
        <v>-6.24</v>
      </c>
      <c r="AI7" s="657">
        <v>-0.89</v>
      </c>
      <c r="AJ7" s="657">
        <v>-0.05</v>
      </c>
    </row>
    <row r="8" spans="1:37" x14ac:dyDescent="0.25">
      <c r="A8" s="642" t="s">
        <v>156</v>
      </c>
      <c r="B8" s="659">
        <v>3.8410000000000002</v>
      </c>
      <c r="C8" s="637">
        <v>50.414718984087202</v>
      </c>
      <c r="D8" s="659">
        <v>1.5</v>
      </c>
      <c r="E8" s="659">
        <v>760.59935335296052</v>
      </c>
      <c r="F8" s="585">
        <v>0.36</v>
      </c>
      <c r="G8" s="585">
        <v>62.620127388535039</v>
      </c>
      <c r="H8" s="596">
        <v>66.444028662420394</v>
      </c>
      <c r="I8" s="635">
        <v>70.566425862316962</v>
      </c>
      <c r="J8" s="658">
        <v>54.852515923566884</v>
      </c>
      <c r="K8" s="596">
        <v>5.9804617834394911</v>
      </c>
      <c r="L8" s="656">
        <v>0.38946686436574468</v>
      </c>
      <c r="M8" s="585">
        <v>0.6193922949496351</v>
      </c>
      <c r="N8" s="660">
        <v>2.4356543087070352E-2</v>
      </c>
      <c r="O8" s="660">
        <v>0.24951183067385985</v>
      </c>
      <c r="P8" s="631">
        <v>6.0959999999999999E-3</v>
      </c>
      <c r="Q8" s="657">
        <v>1756</v>
      </c>
      <c r="R8" s="657">
        <v>1269</v>
      </c>
      <c r="S8" s="657">
        <v>498</v>
      </c>
      <c r="T8" s="657">
        <v>2.2999999999999998</v>
      </c>
      <c r="U8" s="657">
        <v>15.8</v>
      </c>
      <c r="V8" s="657">
        <v>1.28</v>
      </c>
      <c r="W8" s="657">
        <v>0.01</v>
      </c>
      <c r="X8" s="657">
        <v>-6.5</v>
      </c>
      <c r="Y8" s="657">
        <v>-8.32</v>
      </c>
      <c r="Z8" s="657">
        <v>0.32</v>
      </c>
      <c r="AA8" s="657">
        <v>-17.52</v>
      </c>
      <c r="AB8" s="657">
        <v>-3.65</v>
      </c>
      <c r="AC8" s="657">
        <v>-5.54</v>
      </c>
      <c r="AD8" s="657">
        <v>1.9</v>
      </c>
      <c r="AE8" s="657">
        <v>-2.11</v>
      </c>
      <c r="AF8" s="657">
        <v>-3.81</v>
      </c>
      <c r="AG8" s="657">
        <v>-6.66</v>
      </c>
      <c r="AH8" s="657">
        <v>-6.6</v>
      </c>
      <c r="AI8" s="657">
        <v>-0.89</v>
      </c>
      <c r="AJ8" s="657">
        <v>-0.01</v>
      </c>
    </row>
    <row r="9" spans="1:37" x14ac:dyDescent="0.25">
      <c r="A9" s="642" t="s">
        <v>157</v>
      </c>
      <c r="B9" s="659">
        <v>3.5459999999999998</v>
      </c>
      <c r="C9" s="637">
        <v>48.9178257660745</v>
      </c>
      <c r="D9" s="659">
        <v>1.4</v>
      </c>
      <c r="E9" s="659">
        <v>757.72704062009416</v>
      </c>
      <c r="F9" s="585">
        <v>0.6</v>
      </c>
      <c r="G9" s="585">
        <v>61.701812525009998</v>
      </c>
      <c r="H9" s="596">
        <v>67.754743297318925</v>
      </c>
      <c r="I9" s="635">
        <v>72.625444319196745</v>
      </c>
      <c r="J9" s="658">
        <v>57.142071628651458</v>
      </c>
      <c r="K9" s="596">
        <v>5.2111324529811922</v>
      </c>
      <c r="L9" s="656">
        <v>0.3854456236860459</v>
      </c>
      <c r="M9" s="585">
        <v>0.605856642726186</v>
      </c>
      <c r="N9" s="660">
        <v>2.7636701660350316E-2</v>
      </c>
      <c r="O9" s="660">
        <v>0.24943557638470706</v>
      </c>
      <c r="P9" s="631">
        <v>6.0959999999999999E-3</v>
      </c>
      <c r="Q9" s="657">
        <v>1751</v>
      </c>
      <c r="R9" s="657">
        <v>1266</v>
      </c>
      <c r="S9" s="657">
        <v>499</v>
      </c>
      <c r="T9" s="657">
        <v>2.2999999999999998</v>
      </c>
      <c r="U9" s="657">
        <v>15.9</v>
      </c>
      <c r="V9" s="657">
        <v>1.3</v>
      </c>
      <c r="W9" s="657">
        <v>0.03</v>
      </c>
      <c r="X9" s="657">
        <v>-6.58</v>
      </c>
      <c r="Y9" s="657">
        <v>-8.33</v>
      </c>
      <c r="Z9" s="657">
        <v>0.33</v>
      </c>
      <c r="AA9" s="657">
        <v>-17.579999999999998</v>
      </c>
      <c r="AB9" s="657">
        <v>-3.69</v>
      </c>
      <c r="AC9" s="657">
        <v>-5.55</v>
      </c>
      <c r="AD9" s="657">
        <v>1.87</v>
      </c>
      <c r="AE9" s="657">
        <v>-2.2599999999999998</v>
      </c>
      <c r="AF9" s="657">
        <v>-3.97</v>
      </c>
      <c r="AG9" s="657">
        <v>-6.74</v>
      </c>
      <c r="AH9" s="657">
        <v>-6.7</v>
      </c>
      <c r="AI9" s="657">
        <v>-0.9</v>
      </c>
      <c r="AJ9" s="657">
        <v>-0.02</v>
      </c>
    </row>
    <row r="10" spans="1:37" x14ac:dyDescent="0.25">
      <c r="A10" s="642" t="s">
        <v>158</v>
      </c>
      <c r="B10" s="659">
        <v>3.4049999999999998</v>
      </c>
      <c r="C10" s="637">
        <v>48.775438885627004</v>
      </c>
      <c r="D10" s="659">
        <v>0.6</v>
      </c>
      <c r="E10" s="659">
        <v>758.95882606988607</v>
      </c>
      <c r="F10" s="585">
        <v>0.7</v>
      </c>
      <c r="G10" s="585">
        <v>61.480633100697908</v>
      </c>
      <c r="H10" s="596">
        <v>66.162966101694934</v>
      </c>
      <c r="I10" s="635">
        <v>81.851006361582634</v>
      </c>
      <c r="J10" s="658">
        <v>54.056934197407777</v>
      </c>
      <c r="K10" s="596">
        <v>6.9534646061814565</v>
      </c>
      <c r="L10" s="656">
        <v>0.38575987084933322</v>
      </c>
      <c r="M10" s="585">
        <v>0.63691418819082468</v>
      </c>
      <c r="N10" s="660">
        <v>2.7580958942960265E-2</v>
      </c>
      <c r="O10" s="660">
        <v>0.24918073958948397</v>
      </c>
      <c r="P10" s="631">
        <v>6.0959999999999999E-3</v>
      </c>
      <c r="Q10" s="657">
        <v>1740</v>
      </c>
      <c r="R10" s="657">
        <v>1258</v>
      </c>
      <c r="S10" s="657">
        <v>499</v>
      </c>
      <c r="T10" s="657">
        <v>2.2999999999999998</v>
      </c>
      <c r="U10" s="657">
        <v>16.100000000000001</v>
      </c>
      <c r="V10" s="657">
        <v>1.36</v>
      </c>
      <c r="W10" s="657">
        <v>0.01</v>
      </c>
      <c r="X10" s="657">
        <v>-6.44</v>
      </c>
      <c r="Y10" s="657">
        <v>-8.32</v>
      </c>
      <c r="Z10" s="657">
        <v>0.37</v>
      </c>
      <c r="AA10" s="657">
        <v>-17.59</v>
      </c>
      <c r="AB10" s="657">
        <v>-3.71</v>
      </c>
      <c r="AC10" s="657">
        <v>-5.54</v>
      </c>
      <c r="AD10" s="657">
        <v>1.86</v>
      </c>
      <c r="AE10" s="657">
        <v>-2.23</v>
      </c>
      <c r="AF10" s="657">
        <v>-3.89</v>
      </c>
      <c r="AG10" s="657">
        <v>-6.81</v>
      </c>
      <c r="AH10" s="657">
        <v>-6.73</v>
      </c>
      <c r="AI10" s="657">
        <v>-0.9</v>
      </c>
      <c r="AJ10" s="657">
        <v>-0.01</v>
      </c>
    </row>
    <row r="11" spans="1:37" ht="15.75" thickBot="1" x14ac:dyDescent="0.3">
      <c r="A11" s="643" t="s">
        <v>159</v>
      </c>
      <c r="B11" s="661">
        <v>3.1629999999999998</v>
      </c>
      <c r="C11" s="637">
        <v>48.124751574430796</v>
      </c>
      <c r="D11" s="659">
        <v>0.7</v>
      </c>
      <c r="E11" s="659">
        <v>752.68473707909152</v>
      </c>
      <c r="F11" s="585">
        <v>0.72</v>
      </c>
      <c r="G11" s="585">
        <v>66.331879415347146</v>
      </c>
      <c r="H11" s="596">
        <v>68.381173568818525</v>
      </c>
      <c r="I11" s="635">
        <v>81.003763199104554</v>
      </c>
      <c r="J11" s="658">
        <v>59.649437175493247</v>
      </c>
      <c r="K11" s="596">
        <v>5.4749799025578572</v>
      </c>
      <c r="L11" s="656">
        <v>0.39650953717277027</v>
      </c>
      <c r="M11" s="585">
        <v>0.19816664752458049</v>
      </c>
      <c r="N11" s="660">
        <v>2.9416875986456575E-2</v>
      </c>
      <c r="O11" s="660">
        <v>0.2535970847838922</v>
      </c>
      <c r="P11" s="632">
        <v>9.1439999999999994E-3</v>
      </c>
      <c r="Q11" s="657">
        <v>1703</v>
      </c>
      <c r="R11" s="657">
        <v>1229</v>
      </c>
      <c r="S11" s="657">
        <v>502</v>
      </c>
      <c r="T11" s="657">
        <v>2.35</v>
      </c>
      <c r="U11" s="657">
        <v>16.8</v>
      </c>
      <c r="V11" s="657">
        <v>1.29</v>
      </c>
      <c r="W11" s="657">
        <v>0.04</v>
      </c>
      <c r="X11" s="657">
        <v>-6.18</v>
      </c>
      <c r="Y11" s="657">
        <v>-8.1300000000000008</v>
      </c>
      <c r="Z11" s="657">
        <v>0.33</v>
      </c>
      <c r="AA11" s="657">
        <v>-17.13</v>
      </c>
      <c r="AB11" s="657">
        <v>-3.6</v>
      </c>
      <c r="AC11" s="657">
        <v>-5.36</v>
      </c>
      <c r="AD11" s="657">
        <v>1.99</v>
      </c>
      <c r="AE11" s="657">
        <v>-2.14</v>
      </c>
      <c r="AF11" s="657">
        <v>-3.76</v>
      </c>
      <c r="AG11" s="657">
        <v>-6.52</v>
      </c>
      <c r="AH11" s="657">
        <v>-6.5</v>
      </c>
      <c r="AI11" s="657">
        <v>-0.86</v>
      </c>
      <c r="AJ11" s="657">
        <v>0.06</v>
      </c>
    </row>
    <row r="12" spans="1:37" x14ac:dyDescent="0.25">
      <c r="A12" s="644" t="s">
        <v>160</v>
      </c>
      <c r="B12" s="638">
        <v>7.8</v>
      </c>
      <c r="C12" s="639">
        <v>0.51</v>
      </c>
      <c r="D12" s="638">
        <v>0.4</v>
      </c>
      <c r="E12" s="638">
        <v>280</v>
      </c>
      <c r="F12" s="584">
        <v>0.03</v>
      </c>
      <c r="G12" s="585"/>
      <c r="H12" s="596"/>
      <c r="I12" s="635"/>
      <c r="J12" s="658"/>
      <c r="K12" s="596"/>
      <c r="L12" s="656"/>
      <c r="M12" s="585"/>
      <c r="N12" s="660"/>
      <c r="O12" s="660"/>
      <c r="P12" s="632">
        <v>0.36575999999999997</v>
      </c>
      <c r="Q12" s="657">
        <v>830.9</v>
      </c>
      <c r="R12" s="657">
        <v>583.70000000000005</v>
      </c>
      <c r="S12" s="657">
        <v>182</v>
      </c>
      <c r="T12" s="657">
        <v>5.15</v>
      </c>
      <c r="U12" s="657">
        <v>11.8</v>
      </c>
      <c r="V12" s="657">
        <v>1.41</v>
      </c>
      <c r="W12" s="662">
        <v>21.25</v>
      </c>
      <c r="X12" s="657"/>
      <c r="Y12" s="657"/>
      <c r="Z12" s="657"/>
      <c r="AA12" s="657"/>
      <c r="AB12" s="657"/>
      <c r="AC12" s="657"/>
      <c r="AD12" s="657"/>
      <c r="AE12" s="657"/>
      <c r="AF12" s="657"/>
      <c r="AG12" s="657"/>
      <c r="AH12" s="657"/>
      <c r="AI12" s="657"/>
      <c r="AJ12" s="657"/>
    </row>
    <row r="13" spans="1:37" x14ac:dyDescent="0.25">
      <c r="A13" s="642" t="s">
        <v>161</v>
      </c>
      <c r="B13" s="638">
        <v>21.6</v>
      </c>
      <c r="C13" s="639">
        <v>0.41199999999999998</v>
      </c>
      <c r="D13" s="638">
        <v>2.2000000000000002</v>
      </c>
      <c r="E13" s="638">
        <v>363.4535020080321</v>
      </c>
      <c r="F13" s="584">
        <v>0.04</v>
      </c>
      <c r="G13" s="585">
        <v>69.345683187946094</v>
      </c>
      <c r="H13" s="596">
        <v>40.02816217287868</v>
      </c>
      <c r="I13" s="635">
        <v>9.7512445626554776</v>
      </c>
      <c r="J13" s="658">
        <v>28.996673366834166</v>
      </c>
      <c r="K13" s="596">
        <v>5.99676566217288</v>
      </c>
      <c r="L13" s="656">
        <v>5.2923296579161352E-2</v>
      </c>
      <c r="M13" s="585">
        <v>0.15833660035510513</v>
      </c>
      <c r="N13" s="660">
        <v>7.4216998720929668E-3</v>
      </c>
      <c r="O13" s="660">
        <v>2.5605222446689568E-2</v>
      </c>
      <c r="P13" s="632">
        <v>0.24384</v>
      </c>
      <c r="Q13" s="657">
        <v>807.7</v>
      </c>
      <c r="R13" s="657">
        <v>563.6</v>
      </c>
      <c r="S13" s="657">
        <v>174</v>
      </c>
      <c r="T13" s="657">
        <v>5.37</v>
      </c>
      <c r="U13" s="657">
        <v>11.8</v>
      </c>
      <c r="V13" s="657">
        <v>1.8</v>
      </c>
      <c r="W13" s="662">
        <v>15</v>
      </c>
      <c r="X13" s="657">
        <v>4.22</v>
      </c>
      <c r="Y13" s="657">
        <v>-1.73</v>
      </c>
      <c r="Z13" s="657">
        <v>0.13</v>
      </c>
      <c r="AA13" s="657">
        <v>3.73</v>
      </c>
      <c r="AB13" s="657">
        <v>3.25</v>
      </c>
      <c r="AC13" s="657">
        <v>1.08</v>
      </c>
      <c r="AD13" s="657">
        <v>8.65</v>
      </c>
      <c r="AE13" s="657">
        <v>8.61</v>
      </c>
      <c r="AF13" s="657">
        <v>7.2</v>
      </c>
      <c r="AG13" s="657">
        <v>4.0199999999999996</v>
      </c>
      <c r="AH13" s="657">
        <v>1.07</v>
      </c>
      <c r="AI13" s="657">
        <v>-0.24</v>
      </c>
      <c r="AJ13" s="657">
        <v>5.57</v>
      </c>
    </row>
    <row r="14" spans="1:37" x14ac:dyDescent="0.25">
      <c r="A14" s="642" t="s">
        <v>162</v>
      </c>
      <c r="B14" s="638">
        <v>22</v>
      </c>
      <c r="C14" s="639">
        <v>1.081</v>
      </c>
      <c r="D14" s="638">
        <v>0.6</v>
      </c>
      <c r="E14" s="638">
        <v>389.53770643482</v>
      </c>
      <c r="F14" s="584">
        <v>0.08</v>
      </c>
      <c r="G14" s="585">
        <v>70.473544957774465</v>
      </c>
      <c r="H14" s="596">
        <v>41.006506507699946</v>
      </c>
      <c r="I14" s="635">
        <v>12.373726754426254</v>
      </c>
      <c r="J14" s="658">
        <v>29.100211180124226</v>
      </c>
      <c r="K14" s="596">
        <v>6.5005329359165431</v>
      </c>
      <c r="L14" s="656">
        <v>5.0776766163853772E-2</v>
      </c>
      <c r="M14" s="585">
        <v>0.14320374573944639</v>
      </c>
      <c r="N14" s="660">
        <v>6.5746335669400807E-3</v>
      </c>
      <c r="O14" s="660">
        <v>2.6102175389789928E-2</v>
      </c>
      <c r="P14" s="632">
        <v>0.21335999999999999</v>
      </c>
      <c r="Q14" s="657">
        <v>802.5</v>
      </c>
      <c r="R14" s="657">
        <v>563.1</v>
      </c>
      <c r="S14" s="657">
        <v>166</v>
      </c>
      <c r="T14" s="657">
        <v>5.73</v>
      </c>
      <c r="U14" s="657">
        <v>11.9</v>
      </c>
      <c r="V14" s="657">
        <v>1.9</v>
      </c>
      <c r="W14" s="662">
        <v>20.75</v>
      </c>
      <c r="X14" s="657">
        <v>7.86</v>
      </c>
      <c r="Y14" s="657">
        <v>-0.19</v>
      </c>
      <c r="Z14" s="657">
        <v>0.4</v>
      </c>
      <c r="AA14" s="657">
        <v>9.19</v>
      </c>
      <c r="AB14" s="657">
        <v>3.61</v>
      </c>
      <c r="AC14" s="657">
        <v>2.63</v>
      </c>
      <c r="AD14" s="657">
        <v>9.02</v>
      </c>
      <c r="AE14" s="657">
        <v>8.6199999999999992</v>
      </c>
      <c r="AF14" s="657">
        <v>7.3</v>
      </c>
      <c r="AG14" s="657">
        <v>4.09</v>
      </c>
      <c r="AH14" s="657">
        <v>0.78</v>
      </c>
      <c r="AI14" s="657">
        <v>0.61</v>
      </c>
      <c r="AJ14" s="657">
        <v>6.32</v>
      </c>
    </row>
    <row r="15" spans="1:37" x14ac:dyDescent="0.25">
      <c r="A15" s="642" t="s">
        <v>163</v>
      </c>
      <c r="B15" s="638">
        <v>34.4</v>
      </c>
      <c r="C15" s="639">
        <v>0.50900000000000001</v>
      </c>
      <c r="D15" s="638">
        <v>2.6</v>
      </c>
      <c r="E15" s="638">
        <v>372.68581467600887</v>
      </c>
      <c r="F15" s="584">
        <v>0.18</v>
      </c>
      <c r="G15" s="585">
        <v>67.305375399361012</v>
      </c>
      <c r="H15" s="596">
        <v>39.126994408945684</v>
      </c>
      <c r="I15" s="635">
        <v>12.000889615426663</v>
      </c>
      <c r="J15" s="658">
        <v>29.669516773162936</v>
      </c>
      <c r="K15" s="596">
        <v>5.4640934504792336</v>
      </c>
      <c r="L15" s="656">
        <v>5.2396391600405844E-2</v>
      </c>
      <c r="M15" s="585">
        <v>0.18452035126709512</v>
      </c>
      <c r="N15" s="660">
        <v>6.9422110413979651E-3</v>
      </c>
      <c r="O15" s="660">
        <v>2.5828747241613503E-2</v>
      </c>
      <c r="P15" s="632">
        <v>3.048E-2</v>
      </c>
      <c r="Q15" s="657">
        <v>805.9</v>
      </c>
      <c r="R15" s="657">
        <v>562.20000000000005</v>
      </c>
      <c r="S15" s="657">
        <v>154</v>
      </c>
      <c r="T15" s="657">
        <v>5.58</v>
      </c>
      <c r="U15" s="657">
        <v>11.9</v>
      </c>
      <c r="V15" s="657">
        <v>1.63</v>
      </c>
      <c r="W15" s="662">
        <v>0.75</v>
      </c>
      <c r="X15" s="657">
        <v>4.57</v>
      </c>
      <c r="Y15" s="657">
        <v>-1.4</v>
      </c>
      <c r="Z15" s="657">
        <v>0.1</v>
      </c>
      <c r="AA15" s="657">
        <v>4.63</v>
      </c>
      <c r="AB15" s="657">
        <v>3.66</v>
      </c>
      <c r="AC15" s="657">
        <v>1.42</v>
      </c>
      <c r="AD15" s="657">
        <v>9.06</v>
      </c>
      <c r="AE15" s="657">
        <v>9.16</v>
      </c>
      <c r="AF15" s="657">
        <v>7.79</v>
      </c>
      <c r="AG15" s="657">
        <v>4.67</v>
      </c>
      <c r="AH15" s="657">
        <v>1.49</v>
      </c>
      <c r="AI15" s="657">
        <v>0.32</v>
      </c>
      <c r="AJ15" s="657">
        <v>5.95</v>
      </c>
    </row>
    <row r="16" spans="1:37" ht="15.75" thickBot="1" x14ac:dyDescent="0.3">
      <c r="A16" s="643" t="s">
        <v>164</v>
      </c>
      <c r="B16" s="638">
        <v>29.4</v>
      </c>
      <c r="C16" s="639">
        <v>0.47299999999999998</v>
      </c>
      <c r="D16" s="638">
        <v>0.4</v>
      </c>
      <c r="E16" s="638">
        <v>315.04432426116841</v>
      </c>
      <c r="F16" s="584">
        <v>0.24</v>
      </c>
      <c r="G16" s="585">
        <v>68.883846955290309</v>
      </c>
      <c r="H16" s="596">
        <v>40.129349484118961</v>
      </c>
      <c r="I16" s="635">
        <v>11.093013865967745</v>
      </c>
      <c r="J16" s="658">
        <v>27.857808517094885</v>
      </c>
      <c r="K16" s="596">
        <v>5.0678038640501724</v>
      </c>
      <c r="L16" s="656">
        <v>5.1624132437527746E-2</v>
      </c>
      <c r="M16" s="585">
        <v>0.15272999903425605</v>
      </c>
      <c r="N16" s="660">
        <v>1.165E-3</v>
      </c>
      <c r="O16" s="660">
        <v>2.5595405534842443E-2</v>
      </c>
      <c r="P16" s="632">
        <v>0.24384</v>
      </c>
      <c r="Q16" s="657">
        <v>805.4</v>
      </c>
      <c r="R16" s="657">
        <v>563</v>
      </c>
      <c r="S16" s="657">
        <v>147</v>
      </c>
      <c r="T16" s="657">
        <v>5.83</v>
      </c>
      <c r="U16" s="657">
        <v>11.9</v>
      </c>
      <c r="V16" s="657">
        <v>1.73</v>
      </c>
      <c r="W16" s="662">
        <v>12.25</v>
      </c>
      <c r="X16" s="657">
        <v>5.66</v>
      </c>
      <c r="Y16" s="657">
        <v>-0.73</v>
      </c>
      <c r="Z16" s="657">
        <v>0.03</v>
      </c>
      <c r="AA16" s="657">
        <v>6.74</v>
      </c>
      <c r="AB16" s="657">
        <v>3.84</v>
      </c>
      <c r="AC16" s="657">
        <v>2.09</v>
      </c>
      <c r="AD16" s="657">
        <v>9.24</v>
      </c>
      <c r="AE16" s="657">
        <v>8.73</v>
      </c>
      <c r="AF16" s="657">
        <v>7.4</v>
      </c>
      <c r="AG16" s="657">
        <v>4.28</v>
      </c>
      <c r="AH16" s="657">
        <v>0.89</v>
      </c>
      <c r="AI16" s="657">
        <v>-0.22</v>
      </c>
      <c r="AJ16" s="657">
        <v>6.48</v>
      </c>
    </row>
    <row r="17" spans="1:36" x14ac:dyDescent="0.25">
      <c r="A17" s="634" t="s">
        <v>165</v>
      </c>
      <c r="B17" s="640">
        <v>59.4</v>
      </c>
      <c r="C17" s="641">
        <v>0.69399999999999995</v>
      </c>
      <c r="D17" s="640">
        <v>1</v>
      </c>
      <c r="E17" s="640">
        <v>518.39910891089119</v>
      </c>
      <c r="F17" s="585">
        <v>0.04</v>
      </c>
      <c r="G17" s="584">
        <v>96.810638235294121</v>
      </c>
      <c r="H17" s="596">
        <v>48.156576470588234</v>
      </c>
      <c r="I17" s="635"/>
      <c r="J17" s="658">
        <v>96.51214705882353</v>
      </c>
      <c r="K17" s="596">
        <v>10.845179411764706</v>
      </c>
      <c r="L17" s="656"/>
      <c r="M17" s="585"/>
      <c r="N17" s="660"/>
      <c r="O17" s="660"/>
      <c r="P17" s="663">
        <v>3.3528000000000002E-2</v>
      </c>
      <c r="Q17" s="657">
        <v>1214</v>
      </c>
      <c r="R17" s="657">
        <v>869.5</v>
      </c>
      <c r="S17" s="657">
        <v>212</v>
      </c>
      <c r="T17" s="657">
        <v>4.88</v>
      </c>
      <c r="U17" s="657">
        <v>12</v>
      </c>
      <c r="V17" s="657">
        <v>0.25</v>
      </c>
      <c r="W17" s="657">
        <v>22.5</v>
      </c>
      <c r="X17" s="657">
        <v>3.09</v>
      </c>
      <c r="Y17" s="657">
        <v>-2.75</v>
      </c>
      <c r="Z17" s="657"/>
      <c r="AA17" s="657">
        <v>0.69</v>
      </c>
      <c r="AB17" s="657">
        <v>3.15</v>
      </c>
      <c r="AC17" s="657">
        <v>0.06</v>
      </c>
      <c r="AD17" s="657">
        <v>8.56</v>
      </c>
      <c r="AE17" s="657">
        <v>10.31</v>
      </c>
      <c r="AF17" s="657">
        <v>8.86</v>
      </c>
      <c r="AG17" s="657">
        <v>5.95</v>
      </c>
      <c r="AH17" s="657">
        <v>2.99</v>
      </c>
      <c r="AI17" s="657">
        <v>-0.18</v>
      </c>
      <c r="AJ17" s="657">
        <v>4.41</v>
      </c>
    </row>
    <row r="18" spans="1:36" x14ac:dyDescent="0.25">
      <c r="A18" s="642" t="s">
        <v>166</v>
      </c>
      <c r="B18" s="640">
        <v>30.6</v>
      </c>
      <c r="C18" s="641">
        <v>0.47799999999999998</v>
      </c>
      <c r="D18" s="640">
        <v>0.9</v>
      </c>
      <c r="E18" s="640">
        <v>441.03764210404347</v>
      </c>
      <c r="F18" s="585">
        <v>0.03</v>
      </c>
      <c r="G18" s="584">
        <v>78.700963455149491</v>
      </c>
      <c r="H18" s="596">
        <v>41.368455149501656</v>
      </c>
      <c r="I18" s="635"/>
      <c r="J18" s="658">
        <v>87.333405315614613</v>
      </c>
      <c r="K18" s="596">
        <v>5.9418106312292354</v>
      </c>
      <c r="L18" s="656"/>
      <c r="M18" s="585"/>
      <c r="N18" s="660"/>
      <c r="O18" s="660"/>
      <c r="P18" s="663">
        <v>3.6575999999999997E-2</v>
      </c>
      <c r="Q18" s="657">
        <v>1215</v>
      </c>
      <c r="R18" s="657">
        <v>870.8</v>
      </c>
      <c r="S18" s="657">
        <v>182</v>
      </c>
      <c r="T18" s="657">
        <v>4.8600000000000003</v>
      </c>
      <c r="U18" s="657">
        <v>12.1</v>
      </c>
      <c r="V18" s="657">
        <v>0.33</v>
      </c>
      <c r="W18" s="657">
        <v>31.5</v>
      </c>
      <c r="X18" s="657">
        <v>6.23</v>
      </c>
      <c r="Y18" s="657">
        <v>0.54</v>
      </c>
      <c r="Z18" s="657"/>
      <c r="AA18" s="657">
        <v>9.5299999999999994</v>
      </c>
      <c r="AB18" s="657">
        <v>4.82</v>
      </c>
      <c r="AC18" s="657">
        <v>3.35</v>
      </c>
      <c r="AD18" s="657">
        <v>10.23</v>
      </c>
      <c r="AE18" s="657">
        <v>8.23</v>
      </c>
      <c r="AF18" s="657">
        <v>7.16</v>
      </c>
      <c r="AG18" s="657">
        <v>4.46</v>
      </c>
      <c r="AH18" s="657">
        <v>-0.57999999999999996</v>
      </c>
      <c r="AI18" s="657">
        <v>-1.19</v>
      </c>
      <c r="AJ18" s="657">
        <v>8.27</v>
      </c>
    </row>
    <row r="19" spans="1:36" x14ac:dyDescent="0.25">
      <c r="A19" s="642" t="s">
        <v>167</v>
      </c>
      <c r="B19" s="640">
        <v>34.624000000000002</v>
      </c>
      <c r="C19" s="641">
        <v>0.21199999999999999</v>
      </c>
      <c r="D19" s="640">
        <v>1.2</v>
      </c>
      <c r="E19" s="640">
        <v>682.18329727111256</v>
      </c>
      <c r="F19" s="585">
        <v>0.01</v>
      </c>
      <c r="G19" s="584">
        <v>109.42813428280775</v>
      </c>
      <c r="H19" s="596">
        <v>28.851108850457788</v>
      </c>
      <c r="I19" s="635">
        <v>10.175671788793236</v>
      </c>
      <c r="J19" s="658">
        <v>151.15920244150561</v>
      </c>
      <c r="K19" s="596">
        <v>7.2127772126144469</v>
      </c>
      <c r="L19" s="656">
        <v>9.9813505636800498E-2</v>
      </c>
      <c r="M19" s="585">
        <v>2.6054035742919641</v>
      </c>
      <c r="N19" s="660">
        <v>0.11419516615336672</v>
      </c>
      <c r="O19" s="660">
        <v>4.5778269641863351E-2</v>
      </c>
      <c r="P19" s="663">
        <v>5.7911999999999998E-2</v>
      </c>
      <c r="Q19" s="657">
        <v>1222</v>
      </c>
      <c r="R19" s="657">
        <v>873.9</v>
      </c>
      <c r="S19" s="657">
        <v>184</v>
      </c>
      <c r="T19" s="657">
        <v>4.87</v>
      </c>
      <c r="U19" s="657">
        <v>12.1</v>
      </c>
      <c r="V19" s="657">
        <v>0.37</v>
      </c>
      <c r="W19" s="657">
        <v>23.25</v>
      </c>
      <c r="X19" s="657">
        <v>6.89</v>
      </c>
      <c r="Y19" s="657">
        <v>-1.49</v>
      </c>
      <c r="Z19" s="657">
        <v>1.07</v>
      </c>
      <c r="AA19" s="657">
        <v>5.82</v>
      </c>
      <c r="AB19" s="657">
        <v>2.9</v>
      </c>
      <c r="AC19" s="657">
        <v>1.32</v>
      </c>
      <c r="AD19" s="657">
        <v>8.31</v>
      </c>
      <c r="AE19" s="657">
        <v>9.6199999999999992</v>
      </c>
      <c r="AF19" s="657">
        <v>8.1300000000000008</v>
      </c>
      <c r="AG19" s="657">
        <v>5.59</v>
      </c>
      <c r="AH19" s="657">
        <v>2.4500000000000002</v>
      </c>
      <c r="AI19" s="657">
        <v>1.18</v>
      </c>
      <c r="AJ19" s="657">
        <v>4.33</v>
      </c>
    </row>
    <row r="20" spans="1:36" x14ac:dyDescent="0.25">
      <c r="A20" s="642" t="s">
        <v>168</v>
      </c>
      <c r="B20" s="640">
        <v>18.064</v>
      </c>
      <c r="C20" s="641">
        <v>0.80400000000000005</v>
      </c>
      <c r="D20" s="640">
        <v>0.6</v>
      </c>
      <c r="E20" s="640">
        <v>682.85401273885338</v>
      </c>
      <c r="F20" s="585">
        <v>0.01</v>
      </c>
      <c r="G20" s="584">
        <v>89.914732960223859</v>
      </c>
      <c r="H20" s="596">
        <v>40.856474115530681</v>
      </c>
      <c r="I20" s="635">
        <v>7.6686282335615932</v>
      </c>
      <c r="J20" s="658">
        <v>106.95859044573255</v>
      </c>
      <c r="K20" s="596">
        <v>7.5106801918848687</v>
      </c>
      <c r="L20" s="656">
        <v>6.02272557823849E-2</v>
      </c>
      <c r="M20" s="585">
        <v>0.11770099421493588</v>
      </c>
      <c r="N20" s="660">
        <v>7.0739592923076385E-3</v>
      </c>
      <c r="O20" s="660">
        <v>4.1274807971503666E-2</v>
      </c>
      <c r="P20" s="663">
        <v>7.0104E-2</v>
      </c>
      <c r="Q20" s="657">
        <v>1219</v>
      </c>
      <c r="R20" s="657">
        <v>875.5</v>
      </c>
      <c r="S20" s="657">
        <v>179</v>
      </c>
      <c r="T20" s="657">
        <v>4.97</v>
      </c>
      <c r="U20" s="657">
        <v>12.1</v>
      </c>
      <c r="V20" s="657">
        <v>0.44</v>
      </c>
      <c r="W20" s="657">
        <v>25.75</v>
      </c>
      <c r="X20" s="657">
        <v>3.57</v>
      </c>
      <c r="Y20" s="657">
        <v>-2.52</v>
      </c>
      <c r="Z20" s="657">
        <v>0.11</v>
      </c>
      <c r="AA20" s="657">
        <v>1.52</v>
      </c>
      <c r="AB20" s="657">
        <v>2.73</v>
      </c>
      <c r="AC20" s="657">
        <v>0.28999999999999998</v>
      </c>
      <c r="AD20" s="657">
        <v>8.14</v>
      </c>
      <c r="AE20" s="657">
        <v>8.86</v>
      </c>
      <c r="AF20" s="657">
        <v>7.39</v>
      </c>
      <c r="AG20" s="657">
        <v>4.6900000000000004</v>
      </c>
      <c r="AH20" s="657">
        <v>1.6</v>
      </c>
      <c r="AI20" s="657">
        <v>-0.02</v>
      </c>
      <c r="AJ20" s="657">
        <v>4.49</v>
      </c>
    </row>
    <row r="21" spans="1:36" ht="15.75" thickBot="1" x14ac:dyDescent="0.3">
      <c r="A21" s="643" t="s">
        <v>169</v>
      </c>
      <c r="B21" s="638">
        <v>35.555</v>
      </c>
      <c r="C21" s="641">
        <v>2</v>
      </c>
      <c r="D21" s="640">
        <v>0.7</v>
      </c>
      <c r="E21" s="640">
        <v>644.66597687892579</v>
      </c>
      <c r="F21" s="585">
        <v>0.02</v>
      </c>
      <c r="G21" s="584">
        <v>92.261201506591348</v>
      </c>
      <c r="H21" s="596">
        <v>41.498239171374763</v>
      </c>
      <c r="I21" s="635">
        <v>16.365603071391359</v>
      </c>
      <c r="J21" s="658">
        <v>162.4577333729805</v>
      </c>
      <c r="K21" s="596">
        <v>9.4171034790365749</v>
      </c>
      <c r="L21" s="656">
        <v>6.6819726237374019E-2</v>
      </c>
      <c r="M21" s="585">
        <v>0.1503947172437638</v>
      </c>
      <c r="N21" s="660">
        <v>2.930072202281464E-2</v>
      </c>
      <c r="O21" s="660">
        <v>4.1884383534753565E-2</v>
      </c>
      <c r="P21" s="663">
        <v>5.4864000000000003E-2</v>
      </c>
      <c r="Q21" s="657">
        <v>1221</v>
      </c>
      <c r="R21" s="657">
        <v>872.6</v>
      </c>
      <c r="S21" s="657">
        <v>176</v>
      </c>
      <c r="T21" s="657">
        <v>4.95</v>
      </c>
      <c r="U21" s="657">
        <v>12.1</v>
      </c>
      <c r="V21" s="657">
        <v>0.65</v>
      </c>
      <c r="W21" s="657">
        <v>31.25</v>
      </c>
      <c r="X21" s="657">
        <v>4.76</v>
      </c>
      <c r="Y21" s="657">
        <v>-2.14</v>
      </c>
      <c r="Z21" s="657">
        <v>0.25</v>
      </c>
      <c r="AA21" s="657">
        <v>3.02</v>
      </c>
      <c r="AB21" s="657">
        <v>2.99</v>
      </c>
      <c r="AC21" s="657">
        <v>0.67</v>
      </c>
      <c r="AD21" s="657">
        <v>8.4</v>
      </c>
      <c r="AE21" s="657">
        <v>9.69</v>
      </c>
      <c r="AF21" s="657">
        <v>8.24</v>
      </c>
      <c r="AG21" s="657">
        <v>5.62</v>
      </c>
      <c r="AH21" s="657">
        <v>2.37</v>
      </c>
      <c r="AI21" s="657">
        <v>0.35</v>
      </c>
      <c r="AJ21" s="657">
        <v>4.53</v>
      </c>
    </row>
    <row r="22" spans="1:36" x14ac:dyDescent="0.25">
      <c r="A22" s="634" t="s">
        <v>170</v>
      </c>
      <c r="B22" s="646">
        <v>427.19339500000001</v>
      </c>
      <c r="C22" s="646">
        <v>222.07121814000001</v>
      </c>
      <c r="D22" s="640">
        <v>14.359670595609757</v>
      </c>
      <c r="E22" s="664">
        <v>150</v>
      </c>
      <c r="F22" s="660">
        <v>0.25</v>
      </c>
      <c r="G22" s="596">
        <v>5.5855615140000001</v>
      </c>
      <c r="H22" s="596">
        <v>29.73367257512195</v>
      </c>
      <c r="I22" s="635">
        <v>8.0535969226106285</v>
      </c>
      <c r="J22" s="596">
        <v>38.442880904799999</v>
      </c>
      <c r="K22" s="596">
        <v>25.622338680000002</v>
      </c>
      <c r="L22" s="656">
        <v>0.49611141093945721</v>
      </c>
      <c r="M22" s="585">
        <v>2.0751965939874739</v>
      </c>
      <c r="N22" s="660">
        <v>0.97469271281837144</v>
      </c>
      <c r="O22" s="660">
        <v>0.26739596251592662</v>
      </c>
      <c r="P22" s="631">
        <v>3.0479999999999999E-3</v>
      </c>
      <c r="Q22" s="657">
        <v>310.2</v>
      </c>
      <c r="R22" s="657">
        <v>210</v>
      </c>
      <c r="S22" s="657">
        <v>25</v>
      </c>
      <c r="T22" s="657">
        <v>7.04</v>
      </c>
      <c r="U22" s="657">
        <v>13.2</v>
      </c>
      <c r="V22" s="657">
        <v>2.59</v>
      </c>
      <c r="W22" s="657">
        <v>0.04</v>
      </c>
      <c r="X22" s="657">
        <v>8.8800000000000008</v>
      </c>
      <c r="Y22" s="657">
        <v>1.37</v>
      </c>
      <c r="Z22" s="657">
        <v>0.47</v>
      </c>
      <c r="AA22" s="657">
        <v>12.53</v>
      </c>
      <c r="AB22" s="657">
        <v>4.09</v>
      </c>
      <c r="AC22" s="657">
        <v>4.17</v>
      </c>
      <c r="AD22" s="657">
        <v>9.5399999999999991</v>
      </c>
      <c r="AE22" s="657">
        <v>6.22</v>
      </c>
      <c r="AF22" s="657">
        <v>5.31</v>
      </c>
      <c r="AG22" s="657">
        <v>2.08</v>
      </c>
      <c r="AH22" s="657">
        <v>-2.61</v>
      </c>
      <c r="AI22" s="657">
        <v>-0.44</v>
      </c>
      <c r="AJ22" s="657">
        <v>8.94</v>
      </c>
    </row>
    <row r="23" spans="1:36" x14ac:dyDescent="0.25">
      <c r="A23" s="642" t="s">
        <v>171</v>
      </c>
      <c r="B23" s="646">
        <v>443.516380458333</v>
      </c>
      <c r="C23" s="646">
        <v>173.28952116666667</v>
      </c>
      <c r="D23" s="640">
        <v>13.297764399999998</v>
      </c>
      <c r="E23" s="664">
        <v>152</v>
      </c>
      <c r="F23" s="660">
        <v>0.23</v>
      </c>
      <c r="G23" s="596">
        <v>4.8669719322000002</v>
      </c>
      <c r="H23" s="596">
        <v>31.987516416666669</v>
      </c>
      <c r="I23" s="635">
        <v>10.120989184944968</v>
      </c>
      <c r="J23" s="596">
        <v>18.607322583333335</v>
      </c>
      <c r="K23" s="596">
        <v>24.677080439999994</v>
      </c>
      <c r="L23" s="656">
        <v>0.48456748535669586</v>
      </c>
      <c r="M23" s="585">
        <v>1.2239377722152691</v>
      </c>
      <c r="N23" s="660">
        <v>0.28303727459324152</v>
      </c>
      <c r="O23" s="660">
        <v>0.24620667929971191</v>
      </c>
      <c r="P23" s="631">
        <v>3.0479999999999999E-3</v>
      </c>
      <c r="Q23" s="657">
        <v>280.2</v>
      </c>
      <c r="R23" s="657">
        <v>181.4</v>
      </c>
      <c r="S23" s="657">
        <v>50</v>
      </c>
      <c r="T23" s="657">
        <v>6.99</v>
      </c>
      <c r="U23" s="657">
        <v>13</v>
      </c>
      <c r="V23" s="657">
        <v>2.34</v>
      </c>
      <c r="W23" s="657">
        <v>0.09</v>
      </c>
      <c r="X23" s="657">
        <v>10.35</v>
      </c>
      <c r="Y23" s="657">
        <v>1.83</v>
      </c>
      <c r="Z23" s="657">
        <v>0.52</v>
      </c>
      <c r="AA23" s="657">
        <v>14.51</v>
      </c>
      <c r="AB23" s="657">
        <v>4.03</v>
      </c>
      <c r="AC23" s="657">
        <v>4.63</v>
      </c>
      <c r="AD23" s="657">
        <v>9.4700000000000006</v>
      </c>
      <c r="AE23" s="657">
        <v>6.13</v>
      </c>
      <c r="AF23" s="657">
        <v>5.18</v>
      </c>
      <c r="AG23" s="657">
        <v>2.0099999999999998</v>
      </c>
      <c r="AH23" s="657">
        <v>-2.65</v>
      </c>
      <c r="AI23" s="657">
        <v>0.12</v>
      </c>
      <c r="AJ23" s="657">
        <v>8.8699999999999992</v>
      </c>
    </row>
    <row r="24" spans="1:36" x14ac:dyDescent="0.25">
      <c r="A24" s="642" t="s">
        <v>172</v>
      </c>
      <c r="B24" s="646">
        <v>473.26922104265401</v>
      </c>
      <c r="C24" s="646">
        <v>164.56468214218009</v>
      </c>
      <c r="D24" s="640">
        <v>11.50412074120603</v>
      </c>
      <c r="E24" s="664">
        <v>58</v>
      </c>
      <c r="F24" s="660">
        <v>0.23</v>
      </c>
      <c r="G24" s="596">
        <v>5.0629849446000001</v>
      </c>
      <c r="H24" s="596">
        <v>28.574611592417064</v>
      </c>
      <c r="I24" s="635">
        <v>7.1398764708209432</v>
      </c>
      <c r="J24" s="596">
        <v>14.182461536850921</v>
      </c>
      <c r="K24" s="596">
        <v>24.677080439999994</v>
      </c>
      <c r="L24" s="656">
        <v>0.47544494649462304</v>
      </c>
      <c r="M24" s="585">
        <v>1.1150705067001674</v>
      </c>
      <c r="N24" s="660">
        <v>0.28567876927743013</v>
      </c>
      <c r="O24" s="660">
        <v>0.28456091601115385</v>
      </c>
      <c r="P24" s="631">
        <v>6.0959999999999999E-3</v>
      </c>
      <c r="Q24" s="657">
        <v>279.60000000000002</v>
      </c>
      <c r="R24" s="657">
        <v>181.6</v>
      </c>
      <c r="S24" s="657">
        <v>81</v>
      </c>
      <c r="T24" s="657">
        <v>6.97</v>
      </c>
      <c r="U24" s="657">
        <v>12.9</v>
      </c>
      <c r="V24" s="657">
        <v>2</v>
      </c>
      <c r="W24" s="657">
        <v>0.04</v>
      </c>
      <c r="X24" s="657">
        <v>10.1</v>
      </c>
      <c r="Y24" s="657">
        <v>1.69</v>
      </c>
      <c r="Z24" s="657">
        <v>0.65</v>
      </c>
      <c r="AA24" s="657">
        <v>14.07</v>
      </c>
      <c r="AB24" s="657">
        <v>3.63</v>
      </c>
      <c r="AC24" s="657">
        <v>4.5</v>
      </c>
      <c r="AD24" s="657">
        <v>9.07</v>
      </c>
      <c r="AE24" s="657">
        <v>9.32</v>
      </c>
      <c r="AF24" s="657">
        <v>4.13</v>
      </c>
      <c r="AG24" s="657">
        <v>0.92</v>
      </c>
      <c r="AH24" s="657">
        <v>-3.72</v>
      </c>
      <c r="AI24" s="657">
        <v>0.06</v>
      </c>
      <c r="AJ24" s="657">
        <v>8.81</v>
      </c>
    </row>
    <row r="25" spans="1:36" x14ac:dyDescent="0.25">
      <c r="A25" s="642" t="s">
        <v>173</v>
      </c>
      <c r="B25" s="646">
        <v>390.10574339240497</v>
      </c>
      <c r="C25" s="646">
        <v>218.29721832911392</v>
      </c>
      <c r="D25" s="640">
        <v>9.9807853566958684</v>
      </c>
      <c r="E25" s="664">
        <v>27</v>
      </c>
      <c r="F25" s="660">
        <v>0.2</v>
      </c>
      <c r="G25" s="596">
        <v>5.8627508470588223</v>
      </c>
      <c r="H25" s="596">
        <v>30.128879392405061</v>
      </c>
      <c r="I25" s="635">
        <v>6.8698844186915897</v>
      </c>
      <c r="J25" s="596">
        <v>10.084962750938674</v>
      </c>
      <c r="K25" s="596">
        <v>24.225702651428563</v>
      </c>
      <c r="L25" s="656">
        <v>0.56866339065420557</v>
      </c>
      <c r="M25" s="585">
        <v>1.3110859626168225</v>
      </c>
      <c r="N25" s="660">
        <v>0.41141947289719633</v>
      </c>
      <c r="O25" s="660">
        <v>0.27756418706839225</v>
      </c>
      <c r="P25" s="631">
        <v>9.1439999999999994E-3</v>
      </c>
      <c r="Q25" s="657">
        <v>270</v>
      </c>
      <c r="R25" s="657">
        <v>179.9</v>
      </c>
      <c r="S25" s="657">
        <v>89</v>
      </c>
      <c r="T25" s="657">
        <v>6.99</v>
      </c>
      <c r="U25" s="657">
        <v>13</v>
      </c>
      <c r="V25" s="657">
        <v>1.89</v>
      </c>
      <c r="W25" s="657">
        <v>0.04</v>
      </c>
      <c r="X25" s="657">
        <v>18.43</v>
      </c>
      <c r="Y25" s="657">
        <v>4.67</v>
      </c>
      <c r="Z25" s="657">
        <v>0.33</v>
      </c>
      <c r="AA25" s="657">
        <v>25.62</v>
      </c>
      <c r="AB25" s="657">
        <v>3.32</v>
      </c>
      <c r="AC25" s="657">
        <v>7.47</v>
      </c>
      <c r="AD25" s="657">
        <v>8.77</v>
      </c>
      <c r="AE25" s="657">
        <v>3.56</v>
      </c>
      <c r="AF25" s="657">
        <v>2.62</v>
      </c>
      <c r="AG25" s="657">
        <v>-0.49</v>
      </c>
      <c r="AH25" s="657">
        <v>-5.28</v>
      </c>
      <c r="AI25" s="657">
        <v>2.71</v>
      </c>
      <c r="AJ25" s="657">
        <v>8.74</v>
      </c>
    </row>
    <row r="26" spans="1:36" ht="15.75" thickBot="1" x14ac:dyDescent="0.3">
      <c r="A26" s="643" t="s">
        <v>174</v>
      </c>
      <c r="B26" s="646">
        <v>555.10453914999994</v>
      </c>
      <c r="C26" s="646">
        <v>264.9322394623656</v>
      </c>
      <c r="D26" s="640">
        <v>6.8013491091091094</v>
      </c>
      <c r="E26" s="664">
        <v>37</v>
      </c>
      <c r="F26" s="660">
        <v>0.21</v>
      </c>
      <c r="G26" s="596">
        <v>5.9629418841176456</v>
      </c>
      <c r="H26" s="596">
        <v>42.355177838709679</v>
      </c>
      <c r="I26" s="635">
        <v>10.878819825406381</v>
      </c>
      <c r="J26" s="596">
        <v>38.442880904799999</v>
      </c>
      <c r="K26" s="596">
        <v>34.325548746000003</v>
      </c>
      <c r="L26" s="656">
        <v>0.56959100550550545</v>
      </c>
      <c r="M26" s="585">
        <v>1.3980520415415414</v>
      </c>
      <c r="N26" s="660">
        <v>0.37675055605605612</v>
      </c>
      <c r="O26" s="660">
        <v>0.26895257504785086</v>
      </c>
      <c r="P26" s="632">
        <v>6.0959999999999999E-3</v>
      </c>
      <c r="Q26" s="657">
        <v>281.8</v>
      </c>
      <c r="R26" s="657">
        <v>184.9</v>
      </c>
      <c r="S26" s="657">
        <v>31</v>
      </c>
      <c r="T26" s="657">
        <v>7.12</v>
      </c>
      <c r="U26" s="657">
        <v>13.1</v>
      </c>
      <c r="V26" s="657">
        <v>2.76</v>
      </c>
      <c r="W26" s="657">
        <v>0.01</v>
      </c>
      <c r="X26" s="657">
        <v>9.35</v>
      </c>
      <c r="Y26" s="657">
        <v>1.56</v>
      </c>
      <c r="Z26" s="657">
        <v>0.69</v>
      </c>
      <c r="AA26" s="657">
        <v>13.16</v>
      </c>
      <c r="AB26" s="657">
        <v>3.61</v>
      </c>
      <c r="AC26" s="657">
        <v>4.3600000000000003</v>
      </c>
      <c r="AD26" s="657">
        <v>9.06</v>
      </c>
      <c r="AE26" s="657">
        <v>4.62</v>
      </c>
      <c r="AF26" s="657">
        <v>3.75</v>
      </c>
      <c r="AG26" s="657">
        <v>0.37</v>
      </c>
      <c r="AH26" s="657">
        <v>-4.4000000000000004</v>
      </c>
      <c r="AI26" s="657">
        <v>-0.41</v>
      </c>
      <c r="AJ26" s="657">
        <v>9.23</v>
      </c>
    </row>
    <row r="27" spans="1:36" x14ac:dyDescent="0.25">
      <c r="A27" s="634" t="s">
        <v>175</v>
      </c>
      <c r="B27" s="646">
        <v>827.99849959999995</v>
      </c>
      <c r="C27" s="646">
        <v>176.35635066</v>
      </c>
      <c r="D27" s="640">
        <v>4.75773238788471</v>
      </c>
      <c r="E27" s="664">
        <v>201</v>
      </c>
      <c r="F27" s="660">
        <v>0.17</v>
      </c>
      <c r="G27" s="596">
        <v>2.5369872762500001</v>
      </c>
      <c r="H27" s="596">
        <v>19.975104685393259</v>
      </c>
      <c r="I27" s="635">
        <v>10.278475295217477</v>
      </c>
      <c r="J27" s="582">
        <v>26.271172194430878</v>
      </c>
      <c r="K27" s="596">
        <v>29.673897499999995</v>
      </c>
      <c r="L27" s="656">
        <v>0.30789194850246426</v>
      </c>
      <c r="M27" s="585">
        <v>2.3392885095261358</v>
      </c>
      <c r="N27" s="660">
        <v>0.70040764727347404</v>
      </c>
      <c r="O27" s="660">
        <v>0.13210056987390806</v>
      </c>
      <c r="P27" s="631">
        <v>3.0479999999999999E-3</v>
      </c>
      <c r="Q27" s="657">
        <v>2184</v>
      </c>
      <c r="R27" s="657">
        <v>1609</v>
      </c>
      <c r="S27" s="657">
        <v>488</v>
      </c>
      <c r="T27" s="657">
        <v>2.2999999999999998</v>
      </c>
      <c r="U27" s="657">
        <v>15.8</v>
      </c>
      <c r="V27" s="657">
        <v>1.08</v>
      </c>
      <c r="W27" s="657">
        <v>0.03</v>
      </c>
      <c r="X27" s="657">
        <v>-6.41</v>
      </c>
      <c r="Y27" s="657">
        <v>-8.32</v>
      </c>
      <c r="Z27" s="657">
        <v>0.28999999999999998</v>
      </c>
      <c r="AA27" s="657">
        <v>-17.510000000000002</v>
      </c>
      <c r="AB27" s="657">
        <v>-3.53</v>
      </c>
      <c r="AC27" s="657">
        <v>-5.54</v>
      </c>
      <c r="AD27" s="657">
        <v>2.0299999999999998</v>
      </c>
      <c r="AE27" s="657">
        <v>-1.68</v>
      </c>
      <c r="AF27" s="657">
        <v>-3.37</v>
      </c>
      <c r="AG27" s="657">
        <v>-6.26</v>
      </c>
      <c r="AH27" s="657">
        <v>-6.24</v>
      </c>
      <c r="AI27" s="657">
        <v>-0.89</v>
      </c>
      <c r="AJ27" s="657">
        <v>-0.05</v>
      </c>
    </row>
    <row r="28" spans="1:36" x14ac:dyDescent="0.25">
      <c r="A28" s="642" t="s">
        <v>176</v>
      </c>
      <c r="B28" s="646">
        <v>1108.5198930399999</v>
      </c>
      <c r="C28" s="646">
        <v>129.73316364532022</v>
      </c>
      <c r="D28" s="640">
        <v>5.7233094343006199</v>
      </c>
      <c r="E28" s="664">
        <v>359</v>
      </c>
      <c r="F28" s="660">
        <v>0.32</v>
      </c>
      <c r="G28" s="596">
        <v>0.78061408560000012</v>
      </c>
      <c r="H28" s="596">
        <v>19.763906896551724</v>
      </c>
      <c r="I28" s="635">
        <v>9.3612282180859445</v>
      </c>
      <c r="J28" s="582">
        <v>11.256753694581283</v>
      </c>
      <c r="K28" s="596">
        <v>21.7287599824</v>
      </c>
      <c r="L28" s="656">
        <v>0.32698419398642098</v>
      </c>
      <c r="M28" s="585">
        <v>1.1921513840886859</v>
      </c>
      <c r="N28" s="660">
        <v>0.31781987196896222</v>
      </c>
      <c r="O28" s="660">
        <v>0.18202315977935787</v>
      </c>
      <c r="P28" s="631">
        <v>6.0959999999999999E-3</v>
      </c>
      <c r="Q28" s="657">
        <v>1756</v>
      </c>
      <c r="R28" s="657">
        <v>1269</v>
      </c>
      <c r="S28" s="657">
        <v>498</v>
      </c>
      <c r="T28" s="657">
        <v>2.2999999999999998</v>
      </c>
      <c r="U28" s="657">
        <v>15.8</v>
      </c>
      <c r="V28" s="657">
        <v>1.28</v>
      </c>
      <c r="W28" s="657">
        <v>0.01</v>
      </c>
      <c r="X28" s="657">
        <v>-6.5</v>
      </c>
      <c r="Y28" s="657">
        <v>-8.32</v>
      </c>
      <c r="Z28" s="657">
        <v>0.32</v>
      </c>
      <c r="AA28" s="657">
        <v>-17.52</v>
      </c>
      <c r="AB28" s="657">
        <v>-3.65</v>
      </c>
      <c r="AC28" s="657">
        <v>-5.54</v>
      </c>
      <c r="AD28" s="657">
        <v>1.9</v>
      </c>
      <c r="AE28" s="657">
        <v>-2.11</v>
      </c>
      <c r="AF28" s="657">
        <v>-3.81</v>
      </c>
      <c r="AG28" s="657">
        <v>-6.66</v>
      </c>
      <c r="AH28" s="657">
        <v>-6.6</v>
      </c>
      <c r="AI28" s="657">
        <v>-0.89</v>
      </c>
      <c r="AJ28" s="657">
        <v>-0.01</v>
      </c>
    </row>
    <row r="29" spans="1:36" x14ac:dyDescent="0.25">
      <c r="A29" s="642" t="s">
        <v>177</v>
      </c>
      <c r="B29" s="646">
        <v>765.03386399999999</v>
      </c>
      <c r="C29" s="646">
        <v>110.17388737864079</v>
      </c>
      <c r="D29" s="640">
        <v>5.2636660626223088</v>
      </c>
      <c r="E29" s="664">
        <v>57</v>
      </c>
      <c r="F29" s="660">
        <v>0.21</v>
      </c>
      <c r="G29" s="596">
        <v>0.90650483466666687</v>
      </c>
      <c r="H29" s="596">
        <v>19.442879611650486</v>
      </c>
      <c r="I29" s="635">
        <v>7.2874540526152884</v>
      </c>
      <c r="J29" s="582">
        <v>14.217001212328768</v>
      </c>
      <c r="K29" s="596">
        <v>18.003928799999997</v>
      </c>
      <c r="L29" s="656">
        <v>0.30907620117610646</v>
      </c>
      <c r="M29" s="585">
        <v>1.2030952299597648</v>
      </c>
      <c r="N29" s="660">
        <v>0.33742271680594238</v>
      </c>
      <c r="O29" s="660">
        <v>0.16120259423651034</v>
      </c>
      <c r="P29" s="631">
        <v>6.0959999999999999E-3</v>
      </c>
      <c r="Q29" s="657">
        <v>1751</v>
      </c>
      <c r="R29" s="657">
        <v>1266</v>
      </c>
      <c r="S29" s="657">
        <v>499</v>
      </c>
      <c r="T29" s="657">
        <v>2.2999999999999998</v>
      </c>
      <c r="U29" s="657">
        <v>15.9</v>
      </c>
      <c r="V29" s="657">
        <v>1.3</v>
      </c>
      <c r="W29" s="657">
        <v>0.03</v>
      </c>
      <c r="X29" s="657">
        <v>-6.58</v>
      </c>
      <c r="Y29" s="657">
        <v>-8.33</v>
      </c>
      <c r="Z29" s="657">
        <v>0.33</v>
      </c>
      <c r="AA29" s="657">
        <v>-17.579999999999998</v>
      </c>
      <c r="AB29" s="657">
        <v>-3.69</v>
      </c>
      <c r="AC29" s="657">
        <v>-5.55</v>
      </c>
      <c r="AD29" s="657">
        <v>1.87</v>
      </c>
      <c r="AE29" s="657">
        <v>-2.2599999999999998</v>
      </c>
      <c r="AF29" s="657">
        <v>-3.97</v>
      </c>
      <c r="AG29" s="657">
        <v>-6.74</v>
      </c>
      <c r="AH29" s="657">
        <v>-6.7</v>
      </c>
      <c r="AI29" s="657">
        <v>-0.9</v>
      </c>
      <c r="AJ29" s="657">
        <v>-0.02</v>
      </c>
    </row>
    <row r="30" spans="1:36" x14ac:dyDescent="0.25">
      <c r="A30" s="642" t="s">
        <v>178</v>
      </c>
      <c r="B30" s="646">
        <v>1168.4899829999999</v>
      </c>
      <c r="C30" s="646">
        <v>126.82214017841727</v>
      </c>
      <c r="D30" s="640">
        <v>6.2733695707459773</v>
      </c>
      <c r="E30" s="664">
        <v>422</v>
      </c>
      <c r="F30" s="660">
        <v>0.31</v>
      </c>
      <c r="G30" s="596">
        <v>1.3445040763428571</v>
      </c>
      <c r="H30" s="596">
        <v>22.744323925179859</v>
      </c>
      <c r="I30" s="635">
        <v>6.8423007314820925</v>
      </c>
      <c r="J30" s="582">
        <v>30.93761875971223</v>
      </c>
      <c r="K30" s="596">
        <v>21.239701637</v>
      </c>
      <c r="L30" s="656">
        <v>0.35195410922762355</v>
      </c>
      <c r="M30" s="585">
        <v>1.3628358327287122</v>
      </c>
      <c r="N30" s="660">
        <v>0.50083504254336786</v>
      </c>
      <c r="O30" s="660">
        <v>0.19595045758889643</v>
      </c>
      <c r="P30" s="631">
        <v>6.0959999999999999E-3</v>
      </c>
      <c r="Q30" s="657">
        <v>1740</v>
      </c>
      <c r="R30" s="657">
        <v>1258</v>
      </c>
      <c r="S30" s="657">
        <v>499</v>
      </c>
      <c r="T30" s="657">
        <v>2.2999999999999998</v>
      </c>
      <c r="U30" s="657">
        <v>16.100000000000001</v>
      </c>
      <c r="V30" s="657">
        <v>1.36</v>
      </c>
      <c r="W30" s="657">
        <v>0.01</v>
      </c>
      <c r="X30" s="657">
        <v>-6.44</v>
      </c>
      <c r="Y30" s="657">
        <v>-8.32</v>
      </c>
      <c r="Z30" s="657">
        <v>0.37</v>
      </c>
      <c r="AA30" s="657">
        <v>-17.59</v>
      </c>
      <c r="AB30" s="657">
        <v>-3.71</v>
      </c>
      <c r="AC30" s="657">
        <v>-5.54</v>
      </c>
      <c r="AD30" s="657">
        <v>1.86</v>
      </c>
      <c r="AE30" s="657">
        <v>-2.23</v>
      </c>
      <c r="AF30" s="657">
        <v>-3.89</v>
      </c>
      <c r="AG30" s="657">
        <v>-6.81</v>
      </c>
      <c r="AH30" s="657">
        <v>-6.73</v>
      </c>
      <c r="AI30" s="657">
        <v>-0.9</v>
      </c>
      <c r="AJ30" s="657">
        <v>-0.01</v>
      </c>
    </row>
    <row r="31" spans="1:36" ht="15.75" thickBot="1" x14ac:dyDescent="0.3">
      <c r="A31" s="643" t="s">
        <v>179</v>
      </c>
      <c r="B31" s="646">
        <v>736.63849081967203</v>
      </c>
      <c r="C31" s="646">
        <v>113.34010101639345</v>
      </c>
      <c r="D31" s="640">
        <v>5.0731952781456959</v>
      </c>
      <c r="E31" s="664">
        <v>154</v>
      </c>
      <c r="F31" s="660">
        <v>0.27</v>
      </c>
      <c r="G31" s="596">
        <v>1.0421813652</v>
      </c>
      <c r="H31" s="596">
        <v>17.602872397350996</v>
      </c>
      <c r="I31" s="635">
        <v>5.7181156004456009</v>
      </c>
      <c r="J31" s="582">
        <v>17.664866125827817</v>
      </c>
      <c r="K31" s="596">
        <v>18.284340053333334</v>
      </c>
      <c r="L31" s="656">
        <v>0.32371370516152997</v>
      </c>
      <c r="M31" s="585">
        <v>1.0027464092090606</v>
      </c>
      <c r="N31" s="660">
        <v>0.32389874786483486</v>
      </c>
      <c r="O31" s="660">
        <v>0.14670422459554661</v>
      </c>
      <c r="P31" s="632">
        <v>9.1439999999999994E-3</v>
      </c>
      <c r="Q31" s="657">
        <v>1703</v>
      </c>
      <c r="R31" s="657">
        <v>1229</v>
      </c>
      <c r="S31" s="657">
        <v>502</v>
      </c>
      <c r="T31" s="657">
        <v>2.35</v>
      </c>
      <c r="U31" s="657">
        <v>16.8</v>
      </c>
      <c r="V31" s="657">
        <v>1.29</v>
      </c>
      <c r="W31" s="657">
        <v>0.04</v>
      </c>
      <c r="X31" s="657">
        <v>-6.18</v>
      </c>
      <c r="Y31" s="657">
        <v>-8.1300000000000008</v>
      </c>
      <c r="Z31" s="657">
        <v>0.33</v>
      </c>
      <c r="AA31" s="657">
        <v>-17.13</v>
      </c>
      <c r="AB31" s="657">
        <v>-3.6</v>
      </c>
      <c r="AC31" s="657">
        <v>-5.36</v>
      </c>
      <c r="AD31" s="657">
        <v>1.99</v>
      </c>
      <c r="AE31" s="657">
        <v>-2.14</v>
      </c>
      <c r="AF31" s="657">
        <v>-3.76</v>
      </c>
      <c r="AG31" s="657">
        <v>-6.52</v>
      </c>
      <c r="AH31" s="657">
        <v>-6.5</v>
      </c>
      <c r="AI31" s="657">
        <v>-0.86</v>
      </c>
      <c r="AJ31" s="657">
        <v>0.06</v>
      </c>
    </row>
    <row r="32" spans="1:36" x14ac:dyDescent="0.25">
      <c r="A32" s="634" t="s">
        <v>180</v>
      </c>
      <c r="B32" s="646">
        <v>3851.7984235333302</v>
      </c>
      <c r="C32" s="646">
        <v>908.97038256857866</v>
      </c>
      <c r="D32" s="640">
        <v>0.15027578152377974</v>
      </c>
      <c r="E32" s="664">
        <v>3352</v>
      </c>
      <c r="F32" s="660">
        <v>0.47</v>
      </c>
      <c r="G32" s="596">
        <v>10.252280708799999</v>
      </c>
      <c r="H32" s="596">
        <v>2.1355996279724656</v>
      </c>
      <c r="I32" s="635">
        <v>8.9422665366082601</v>
      </c>
      <c r="J32" s="582">
        <v>21.465730883333332</v>
      </c>
      <c r="K32" s="596">
        <v>3.1066469548666662</v>
      </c>
      <c r="L32" s="656">
        <v>3.7088623396912199E-2</v>
      </c>
      <c r="M32" s="585">
        <v>5.0061962700250309</v>
      </c>
      <c r="N32" s="660">
        <v>4.0531761210858108E-2</v>
      </c>
      <c r="O32" s="660">
        <v>8.0495792660344127E-3</v>
      </c>
      <c r="P32" s="632">
        <v>0.36575999999999997</v>
      </c>
      <c r="Q32" s="657">
        <v>830.9</v>
      </c>
      <c r="R32" s="657">
        <v>583.70000000000005</v>
      </c>
      <c r="S32" s="657">
        <v>182</v>
      </c>
      <c r="T32" s="657">
        <v>5.15</v>
      </c>
      <c r="U32" s="657">
        <v>11.8</v>
      </c>
      <c r="V32" s="657">
        <v>1.41</v>
      </c>
      <c r="W32" s="662">
        <v>21.25</v>
      </c>
      <c r="X32" s="657"/>
      <c r="Y32" s="657"/>
      <c r="Z32" s="657"/>
      <c r="AA32" s="657"/>
      <c r="AB32" s="657"/>
      <c r="AC32" s="657"/>
      <c r="AD32" s="657"/>
      <c r="AE32" s="657"/>
      <c r="AF32" s="657"/>
      <c r="AG32" s="657"/>
      <c r="AH32" s="657"/>
      <c r="AI32" s="657"/>
      <c r="AJ32" s="657"/>
    </row>
    <row r="33" spans="1:49" x14ac:dyDescent="0.25">
      <c r="A33" s="645" t="s">
        <v>181</v>
      </c>
      <c r="B33" s="646"/>
      <c r="C33" s="646"/>
      <c r="D33" s="640"/>
      <c r="E33" s="664">
        <v>2920</v>
      </c>
      <c r="F33" s="660">
        <v>0.31</v>
      </c>
      <c r="G33" s="596"/>
      <c r="H33" s="596"/>
      <c r="I33" s="635"/>
      <c r="J33" s="582"/>
      <c r="K33" s="596"/>
      <c r="L33" s="656"/>
      <c r="M33" s="585"/>
      <c r="N33" s="660"/>
      <c r="O33" s="660"/>
      <c r="P33" s="632">
        <v>0.24384</v>
      </c>
      <c r="Q33" s="657">
        <v>807.7</v>
      </c>
      <c r="R33" s="657">
        <v>563.6</v>
      </c>
      <c r="S33" s="657">
        <v>174</v>
      </c>
      <c r="T33" s="657">
        <v>5.37</v>
      </c>
      <c r="U33" s="657">
        <v>11.8</v>
      </c>
      <c r="V33" s="657">
        <v>1.8</v>
      </c>
      <c r="W33" s="662">
        <v>15</v>
      </c>
      <c r="X33" s="657">
        <v>4.22</v>
      </c>
      <c r="Y33" s="657">
        <v>-1.73</v>
      </c>
      <c r="Z33" s="657">
        <v>0.13</v>
      </c>
      <c r="AA33" s="657">
        <v>3.73</v>
      </c>
      <c r="AB33" s="657">
        <v>3.25</v>
      </c>
      <c r="AC33" s="657">
        <v>1.08</v>
      </c>
      <c r="AD33" s="657">
        <v>8.65</v>
      </c>
      <c r="AE33" s="657">
        <v>8.61</v>
      </c>
      <c r="AF33" s="657">
        <v>7.2</v>
      </c>
      <c r="AG33" s="657">
        <v>4.0199999999999996</v>
      </c>
      <c r="AH33" s="657">
        <v>1.07</v>
      </c>
      <c r="AI33" s="657">
        <v>-0.24</v>
      </c>
      <c r="AJ33" s="657">
        <v>5.57</v>
      </c>
    </row>
    <row r="34" spans="1:49" x14ac:dyDescent="0.25">
      <c r="A34" s="642" t="s">
        <v>182</v>
      </c>
      <c r="B34" s="646">
        <v>2257.6673459999997</v>
      </c>
      <c r="C34" s="646">
        <v>628.03988336170198</v>
      </c>
      <c r="D34" s="640">
        <v>7.7897483709198818</v>
      </c>
      <c r="E34" s="664">
        <v>3199</v>
      </c>
      <c r="F34" s="660">
        <v>0.26</v>
      </c>
      <c r="G34" s="596">
        <v>13.964673199999998</v>
      </c>
      <c r="H34" s="596">
        <v>9.6284551958456976</v>
      </c>
      <c r="I34" s="635">
        <v>5.4143015195610689</v>
      </c>
      <c r="J34" s="658">
        <v>225.29754487234041</v>
      </c>
      <c r="K34" s="596">
        <v>11.600015023999999</v>
      </c>
      <c r="L34" s="656">
        <v>0.16716768103526619</v>
      </c>
      <c r="M34" s="585">
        <v>4.4190667032640949</v>
      </c>
      <c r="N34" s="660">
        <v>0.21188596011944372</v>
      </c>
      <c r="O34" s="660">
        <v>0.24372038784088176</v>
      </c>
      <c r="P34" s="632">
        <v>0.21335999999999999</v>
      </c>
      <c r="Q34" s="657">
        <v>802.5</v>
      </c>
      <c r="R34" s="657">
        <v>563.1</v>
      </c>
      <c r="S34" s="657">
        <v>166</v>
      </c>
      <c r="T34" s="657">
        <v>5.73</v>
      </c>
      <c r="U34" s="657">
        <v>11.9</v>
      </c>
      <c r="V34" s="657">
        <v>1.9</v>
      </c>
      <c r="W34" s="662">
        <v>20.75</v>
      </c>
      <c r="X34" s="657">
        <v>7.86</v>
      </c>
      <c r="Y34" s="657">
        <v>-0.19</v>
      </c>
      <c r="Z34" s="657">
        <v>0.4</v>
      </c>
      <c r="AA34" s="657">
        <v>9.19</v>
      </c>
      <c r="AB34" s="657">
        <v>3.61</v>
      </c>
      <c r="AC34" s="657">
        <v>2.63</v>
      </c>
      <c r="AD34" s="657">
        <v>9.02</v>
      </c>
      <c r="AE34" s="657">
        <v>8.6199999999999992</v>
      </c>
      <c r="AF34" s="657">
        <v>7.3</v>
      </c>
      <c r="AG34" s="657">
        <v>4.09</v>
      </c>
      <c r="AH34" s="657">
        <v>0.78</v>
      </c>
      <c r="AI34" s="657">
        <v>0.61</v>
      </c>
      <c r="AJ34" s="657">
        <v>6.32</v>
      </c>
    </row>
    <row r="35" spans="1:49" x14ac:dyDescent="0.25">
      <c r="A35" s="642" t="s">
        <v>183</v>
      </c>
      <c r="B35" s="646">
        <v>5304.1003470666701</v>
      </c>
      <c r="C35" s="646">
        <v>666.17632459259255</v>
      </c>
      <c r="D35" s="640">
        <v>6.4003839149293471</v>
      </c>
      <c r="E35" s="664">
        <v>3708</v>
      </c>
      <c r="F35" s="660">
        <v>0.39</v>
      </c>
      <c r="G35" s="596">
        <v>11.164959513157893</v>
      </c>
      <c r="H35" s="596">
        <v>3.7963296208068811</v>
      </c>
      <c r="I35" s="635">
        <v>9.733761563465082</v>
      </c>
      <c r="J35" s="658">
        <v>170.14725066666665</v>
      </c>
      <c r="K35" s="596">
        <v>4.019998157157894</v>
      </c>
      <c r="L35" s="656">
        <v>8.6321234670168528E-2</v>
      </c>
      <c r="M35" s="585">
        <v>9.5067658950235501</v>
      </c>
      <c r="N35" s="660">
        <v>3.8968137514356987E-2</v>
      </c>
      <c r="O35" s="660">
        <v>0.22557167050791876</v>
      </c>
      <c r="P35" s="632">
        <v>3.048E-2</v>
      </c>
      <c r="Q35" s="657">
        <v>805.9</v>
      </c>
      <c r="R35" s="657">
        <v>562.20000000000005</v>
      </c>
      <c r="S35" s="657">
        <v>154</v>
      </c>
      <c r="T35" s="657">
        <v>5.58</v>
      </c>
      <c r="U35" s="657">
        <v>11.9</v>
      </c>
      <c r="V35" s="657">
        <v>1.63</v>
      </c>
      <c r="W35" s="662">
        <v>0.75</v>
      </c>
      <c r="X35" s="657">
        <v>4.57</v>
      </c>
      <c r="Y35" s="657">
        <v>-1.4</v>
      </c>
      <c r="Z35" s="657">
        <v>0.1</v>
      </c>
      <c r="AA35" s="657">
        <v>4.63</v>
      </c>
      <c r="AB35" s="657">
        <v>3.66</v>
      </c>
      <c r="AC35" s="657">
        <v>1.42</v>
      </c>
      <c r="AD35" s="657">
        <v>9.06</v>
      </c>
      <c r="AE35" s="657">
        <v>9.16</v>
      </c>
      <c r="AF35" s="657">
        <v>7.79</v>
      </c>
      <c r="AG35" s="657">
        <v>4.67</v>
      </c>
      <c r="AH35" s="657">
        <v>1.49</v>
      </c>
      <c r="AI35" s="657">
        <v>0.32</v>
      </c>
      <c r="AJ35" s="657">
        <v>5.95</v>
      </c>
    </row>
    <row r="36" spans="1:49" ht="15.75" thickBot="1" x14ac:dyDescent="0.3">
      <c r="A36" s="643" t="s">
        <v>184</v>
      </c>
      <c r="B36" s="646">
        <v>2776.9098840000001</v>
      </c>
      <c r="C36" s="646">
        <v>693.03435654545444</v>
      </c>
      <c r="D36" s="640">
        <v>19.605250000000002</v>
      </c>
      <c r="E36" s="664">
        <v>2505</v>
      </c>
      <c r="F36" s="660">
        <v>0.31</v>
      </c>
      <c r="G36" s="596">
        <v>9.5398361939999994</v>
      </c>
      <c r="H36" s="596">
        <v>8.5749999999999993</v>
      </c>
      <c r="I36" s="635">
        <v>18.868937500000001</v>
      </c>
      <c r="J36" s="582">
        <v>69.076819999999998</v>
      </c>
      <c r="K36" s="596">
        <v>8.2140665549999987</v>
      </c>
      <c r="L36" s="656">
        <v>0.24013936085829723</v>
      </c>
      <c r="M36" s="585">
        <v>6.5473125000000003</v>
      </c>
      <c r="N36" s="660">
        <v>9.6894288359752417E-2</v>
      </c>
      <c r="O36" s="660">
        <v>0.58927235941267919</v>
      </c>
      <c r="P36" s="632">
        <v>0.24384</v>
      </c>
      <c r="Q36" s="657">
        <v>805.4</v>
      </c>
      <c r="R36" s="657">
        <v>563</v>
      </c>
      <c r="S36" s="657">
        <v>147</v>
      </c>
      <c r="T36" s="657">
        <v>5.83</v>
      </c>
      <c r="U36" s="657">
        <v>11.9</v>
      </c>
      <c r="V36" s="657">
        <v>1.73</v>
      </c>
      <c r="W36" s="662">
        <v>12.25</v>
      </c>
      <c r="X36" s="657">
        <v>5.66</v>
      </c>
      <c r="Y36" s="657">
        <v>-0.73</v>
      </c>
      <c r="Z36" s="657">
        <v>0.03</v>
      </c>
      <c r="AA36" s="657">
        <v>6.74</v>
      </c>
      <c r="AB36" s="657">
        <v>3.84</v>
      </c>
      <c r="AC36" s="657">
        <v>2.09</v>
      </c>
      <c r="AD36" s="657">
        <v>9.24</v>
      </c>
      <c r="AE36" s="657">
        <v>8.73</v>
      </c>
      <c r="AF36" s="657">
        <v>7.4</v>
      </c>
      <c r="AG36" s="657">
        <v>4.28</v>
      </c>
      <c r="AH36" s="657">
        <v>0.89</v>
      </c>
      <c r="AI36" s="657">
        <v>-0.22</v>
      </c>
      <c r="AJ36" s="657">
        <v>6.48</v>
      </c>
    </row>
    <row r="37" spans="1:49" x14ac:dyDescent="0.25">
      <c r="A37" s="634" t="s">
        <v>185</v>
      </c>
      <c r="B37" s="646">
        <v>200.338813894737</v>
      </c>
      <c r="C37" s="646">
        <v>26.05103810526316</v>
      </c>
      <c r="D37" s="640">
        <v>2.0081990369127518</v>
      </c>
      <c r="E37" s="664">
        <v>558.20000000000005</v>
      </c>
      <c r="F37" s="664">
        <v>0.27</v>
      </c>
      <c r="G37" s="596">
        <v>13.416552319999999</v>
      </c>
      <c r="H37" s="596">
        <v>36.674880547297299</v>
      </c>
      <c r="I37" s="635">
        <v>10.437280244966443</v>
      </c>
      <c r="J37" s="596">
        <v>5.3987505000000002</v>
      </c>
      <c r="K37" s="596">
        <v>21.210292351999996</v>
      </c>
      <c r="L37" s="656">
        <v>0.71714758053691274</v>
      </c>
      <c r="M37" s="585">
        <v>10.083225050335569</v>
      </c>
      <c r="N37" s="660">
        <v>0.41461282214765099</v>
      </c>
      <c r="O37" s="660">
        <v>0.37733147089549784</v>
      </c>
      <c r="P37" s="663">
        <v>3.3528000000000002E-2</v>
      </c>
      <c r="Q37" s="657">
        <v>1214</v>
      </c>
      <c r="R37" s="657">
        <v>869.5</v>
      </c>
      <c r="S37" s="657">
        <v>212</v>
      </c>
      <c r="T37" s="657">
        <v>4.88</v>
      </c>
      <c r="U37" s="657">
        <v>12</v>
      </c>
      <c r="V37" s="657">
        <v>0.25</v>
      </c>
      <c r="W37" s="657">
        <v>22.5</v>
      </c>
      <c r="X37" s="657">
        <v>3.09</v>
      </c>
      <c r="Y37" s="657">
        <v>-2.75</v>
      </c>
      <c r="Z37" s="657"/>
      <c r="AA37" s="657">
        <v>0.69</v>
      </c>
      <c r="AB37" s="657">
        <v>3.15</v>
      </c>
      <c r="AC37" s="657">
        <v>0.06</v>
      </c>
      <c r="AD37" s="657">
        <v>8.56</v>
      </c>
      <c r="AE37" s="657">
        <v>10.31</v>
      </c>
      <c r="AF37" s="657">
        <v>8.86</v>
      </c>
      <c r="AG37" s="657">
        <v>5.95</v>
      </c>
      <c r="AH37" s="657">
        <v>2.99</v>
      </c>
      <c r="AI37" s="657">
        <v>-0.18</v>
      </c>
      <c r="AJ37" s="657">
        <v>4.41</v>
      </c>
    </row>
    <row r="38" spans="1:49" x14ac:dyDescent="0.25">
      <c r="A38" s="642" t="s">
        <v>186</v>
      </c>
      <c r="B38" s="646">
        <v>7029.3494340000007</v>
      </c>
      <c r="C38" s="646">
        <v>382.36156199999994</v>
      </c>
      <c r="D38" s="640">
        <v>1.595433629953805</v>
      </c>
      <c r="E38" s="664">
        <v>5069</v>
      </c>
      <c r="F38" s="664">
        <v>0.4</v>
      </c>
      <c r="G38" s="596">
        <v>14.794989237600001</v>
      </c>
      <c r="H38" s="596">
        <v>11.7190721395575</v>
      </c>
      <c r="I38" s="635">
        <v>9.5099257719426209</v>
      </c>
      <c r="J38" s="596">
        <v>13.473756481886699</v>
      </c>
      <c r="K38" s="596">
        <v>10.208495096800002</v>
      </c>
      <c r="L38" s="656">
        <v>0.34910780209093117</v>
      </c>
      <c r="M38" s="585">
        <v>11.325700931193774</v>
      </c>
      <c r="N38" s="660">
        <v>0.40239460247994163</v>
      </c>
      <c r="O38" s="660">
        <v>0.13067146005942548</v>
      </c>
      <c r="P38" s="663">
        <v>3.6575999999999997E-2</v>
      </c>
      <c r="Q38" s="657">
        <v>1215</v>
      </c>
      <c r="R38" s="657">
        <v>870.8</v>
      </c>
      <c r="S38" s="657">
        <v>182</v>
      </c>
      <c r="T38" s="657">
        <v>4.8600000000000003</v>
      </c>
      <c r="U38" s="657">
        <v>12.1</v>
      </c>
      <c r="V38" s="657">
        <v>0.33</v>
      </c>
      <c r="W38" s="657">
        <v>31.5</v>
      </c>
      <c r="X38" s="657">
        <v>6.23</v>
      </c>
      <c r="Y38" s="657">
        <v>0.54</v>
      </c>
      <c r="Z38" s="657"/>
      <c r="AA38" s="657">
        <v>9.5299999999999994</v>
      </c>
      <c r="AB38" s="657">
        <v>4.82</v>
      </c>
      <c r="AC38" s="657">
        <v>3.35</v>
      </c>
      <c r="AD38" s="657">
        <v>10.23</v>
      </c>
      <c r="AE38" s="657">
        <v>8.23</v>
      </c>
      <c r="AF38" s="657">
        <v>7.16</v>
      </c>
      <c r="AG38" s="657">
        <v>4.46</v>
      </c>
      <c r="AH38" s="657">
        <v>-0.57999999999999996</v>
      </c>
      <c r="AI38" s="657">
        <v>-1.19</v>
      </c>
      <c r="AJ38" s="657">
        <v>8.27</v>
      </c>
    </row>
    <row r="39" spans="1:49" x14ac:dyDescent="0.25">
      <c r="A39" s="642" t="s">
        <v>187</v>
      </c>
      <c r="B39" s="646">
        <v>6080.1502659999996</v>
      </c>
      <c r="C39" s="646">
        <v>1589.8774675</v>
      </c>
      <c r="D39" s="640">
        <v>1.5207711104150352</v>
      </c>
      <c r="E39" s="664">
        <v>5951</v>
      </c>
      <c r="F39" s="664">
        <v>0.33</v>
      </c>
      <c r="G39" s="596">
        <v>13.631307639999999</v>
      </c>
      <c r="H39" s="596">
        <v>13.637525777777777</v>
      </c>
      <c r="I39" s="635">
        <v>19.36190658515855</v>
      </c>
      <c r="J39" s="596">
        <v>9.0095575555555545</v>
      </c>
      <c r="K39" s="596">
        <v>14.377567300000001</v>
      </c>
      <c r="L39" s="656">
        <v>0.2859250336726703</v>
      </c>
      <c r="M39" s="585">
        <v>0.80534689115113545</v>
      </c>
      <c r="N39" s="660">
        <v>0.36635709945184025</v>
      </c>
      <c r="O39" s="660">
        <v>0.12745164204272907</v>
      </c>
      <c r="P39" s="663">
        <v>5.7911999999999998E-2</v>
      </c>
      <c r="Q39" s="657">
        <v>1222</v>
      </c>
      <c r="R39" s="657">
        <v>873.9</v>
      </c>
      <c r="S39" s="657">
        <v>184</v>
      </c>
      <c r="T39" s="657">
        <v>4.87</v>
      </c>
      <c r="U39" s="657">
        <v>12.1</v>
      </c>
      <c r="V39" s="657">
        <v>0.37</v>
      </c>
      <c r="W39" s="657">
        <v>23.25</v>
      </c>
      <c r="X39" s="657">
        <v>6.89</v>
      </c>
      <c r="Y39" s="657">
        <v>-1.49</v>
      </c>
      <c r="Z39" s="657">
        <v>1.07</v>
      </c>
      <c r="AA39" s="657">
        <v>5.82</v>
      </c>
      <c r="AB39" s="657">
        <v>2.9</v>
      </c>
      <c r="AC39" s="657">
        <v>1.32</v>
      </c>
      <c r="AD39" s="657">
        <v>8.31</v>
      </c>
      <c r="AE39" s="657">
        <v>9.6199999999999992</v>
      </c>
      <c r="AF39" s="657">
        <v>8.1300000000000008</v>
      </c>
      <c r="AG39" s="657">
        <v>5.59</v>
      </c>
      <c r="AH39" s="657">
        <v>2.4500000000000002</v>
      </c>
      <c r="AI39" s="657">
        <v>1.18</v>
      </c>
      <c r="AJ39" s="657">
        <v>4.33</v>
      </c>
    </row>
    <row r="40" spans="1:49" x14ac:dyDescent="0.25">
      <c r="A40" s="642" t="s">
        <v>188</v>
      </c>
      <c r="B40" s="646">
        <v>8186.4463030000006</v>
      </c>
      <c r="C40" s="646">
        <v>122.75721808695654</v>
      </c>
      <c r="D40" s="640">
        <v>1.7345658892065761</v>
      </c>
      <c r="E40" s="664">
        <v>7021</v>
      </c>
      <c r="F40" s="664">
        <v>0.28999999999999998</v>
      </c>
      <c r="G40" s="596">
        <v>22.61003096</v>
      </c>
      <c r="H40" s="596">
        <v>10.597318200872024</v>
      </c>
      <c r="I40" s="635">
        <v>8.5474419177984267</v>
      </c>
      <c r="J40" s="596">
        <v>15.868024166411688</v>
      </c>
      <c r="K40" s="596">
        <v>14.53902008</v>
      </c>
      <c r="L40" s="656">
        <v>0.22787953967119373</v>
      </c>
      <c r="M40" s="585">
        <v>10.229768173913044</v>
      </c>
      <c r="N40" s="660">
        <v>0.14073970787786544</v>
      </c>
      <c r="O40" s="660">
        <v>0.10556340710111214</v>
      </c>
      <c r="P40" s="663">
        <v>7.0104E-2</v>
      </c>
      <c r="Q40" s="657">
        <v>1219</v>
      </c>
      <c r="R40" s="657">
        <v>875.5</v>
      </c>
      <c r="S40" s="657">
        <v>179</v>
      </c>
      <c r="T40" s="657">
        <v>4.97</v>
      </c>
      <c r="U40" s="657">
        <v>12.1</v>
      </c>
      <c r="V40" s="657">
        <v>0.44</v>
      </c>
      <c r="W40" s="657">
        <v>25.75</v>
      </c>
      <c r="X40" s="657">
        <v>3.57</v>
      </c>
      <c r="Y40" s="657">
        <v>-2.52</v>
      </c>
      <c r="Z40" s="657">
        <v>0.11</v>
      </c>
      <c r="AA40" s="657">
        <v>1.52</v>
      </c>
      <c r="AB40" s="657">
        <v>2.73</v>
      </c>
      <c r="AC40" s="657">
        <v>0.28999999999999998</v>
      </c>
      <c r="AD40" s="657">
        <v>8.14</v>
      </c>
      <c r="AE40" s="657">
        <v>8.86</v>
      </c>
      <c r="AF40" s="657">
        <v>7.39</v>
      </c>
      <c r="AG40" s="657">
        <v>4.6900000000000004</v>
      </c>
      <c r="AH40" s="657">
        <v>1.6</v>
      </c>
      <c r="AI40" s="657">
        <v>-0.02</v>
      </c>
      <c r="AJ40" s="657">
        <v>4.49</v>
      </c>
    </row>
    <row r="41" spans="1:49" ht="15.75" thickBot="1" x14ac:dyDescent="0.3">
      <c r="A41" s="643" t="s">
        <v>189</v>
      </c>
      <c r="B41" s="646">
        <v>8139.6122808</v>
      </c>
      <c r="C41" s="646">
        <v>105.91147421052631</v>
      </c>
      <c r="D41" s="640">
        <v>1.4495202034883721</v>
      </c>
      <c r="E41" s="664">
        <v>7735</v>
      </c>
      <c r="F41" s="664">
        <v>0.37</v>
      </c>
      <c r="G41" s="596">
        <v>15.453833584000002</v>
      </c>
      <c r="H41" s="596">
        <v>11.225680029069766</v>
      </c>
      <c r="I41" s="635">
        <v>17.032470615310078</v>
      </c>
      <c r="J41" s="596">
        <v>13.679548890503877</v>
      </c>
      <c r="K41" s="596">
        <v>19.747192294000001</v>
      </c>
      <c r="L41" s="656">
        <v>0.18801430232558139</v>
      </c>
      <c r="M41" s="585">
        <v>9.8625276792635663</v>
      </c>
      <c r="N41" s="660">
        <v>0.23101314276935175</v>
      </c>
      <c r="O41" s="660">
        <v>7.5852462958527364E-2</v>
      </c>
      <c r="P41" s="663">
        <v>5.4864000000000003E-2</v>
      </c>
      <c r="Q41" s="657">
        <v>1221</v>
      </c>
      <c r="R41" s="657">
        <v>872.6</v>
      </c>
      <c r="S41" s="657">
        <v>176</v>
      </c>
      <c r="T41" s="657">
        <v>4.95</v>
      </c>
      <c r="U41" s="657">
        <v>12.1</v>
      </c>
      <c r="V41" s="657">
        <v>0.65</v>
      </c>
      <c r="W41" s="657">
        <v>31.25</v>
      </c>
      <c r="X41" s="657">
        <v>4.76</v>
      </c>
      <c r="Y41" s="657">
        <v>-2.14</v>
      </c>
      <c r="Z41" s="657">
        <v>0.25</v>
      </c>
      <c r="AA41" s="657">
        <v>3.02</v>
      </c>
      <c r="AB41" s="657">
        <v>2.99</v>
      </c>
      <c r="AC41" s="657">
        <v>0.67</v>
      </c>
      <c r="AD41" s="657">
        <v>8.4</v>
      </c>
      <c r="AE41" s="657">
        <v>9.69</v>
      </c>
      <c r="AF41" s="657">
        <v>8.24</v>
      </c>
      <c r="AG41" s="657">
        <v>5.62</v>
      </c>
      <c r="AH41" s="657">
        <v>2.37</v>
      </c>
      <c r="AI41" s="657">
        <v>0.35</v>
      </c>
      <c r="AJ41" s="657">
        <v>4.53</v>
      </c>
    </row>
    <row r="45" spans="1:49" x14ac:dyDescent="0.25">
      <c r="O45" s="2" t="s">
        <v>146</v>
      </c>
      <c r="P45" t="s">
        <v>147</v>
      </c>
      <c r="Q45" t="s">
        <v>148</v>
      </c>
      <c r="R45" t="s">
        <v>149</v>
      </c>
      <c r="S45" t="s">
        <v>209</v>
      </c>
      <c r="T45" t="s">
        <v>196</v>
      </c>
      <c r="U45" t="s">
        <v>197</v>
      </c>
      <c r="V45" t="s">
        <v>198</v>
      </c>
      <c r="W45" t="s">
        <v>203</v>
      </c>
      <c r="X45" t="s">
        <v>204</v>
      </c>
      <c r="Y45" s="647" t="s">
        <v>205</v>
      </c>
      <c r="Z45" t="s">
        <v>206</v>
      </c>
      <c r="AA45" t="s">
        <v>207</v>
      </c>
      <c r="AB45" t="s">
        <v>208</v>
      </c>
      <c r="AC45" t="s">
        <v>221</v>
      </c>
      <c r="AD45" t="s">
        <v>250</v>
      </c>
      <c r="AE45" t="s">
        <v>251</v>
      </c>
      <c r="AF45" t="s">
        <v>213</v>
      </c>
      <c r="AG45" t="s">
        <v>214</v>
      </c>
      <c r="AH45" t="s">
        <v>215</v>
      </c>
      <c r="AI45" s="650" t="s">
        <v>216</v>
      </c>
      <c r="AJ45" t="s">
        <v>217</v>
      </c>
      <c r="AK45" t="s">
        <v>252</v>
      </c>
      <c r="AL45" t="s">
        <v>263</v>
      </c>
      <c r="AM45" t="s">
        <v>253</v>
      </c>
      <c r="AN45" t="s">
        <v>254</v>
      </c>
      <c r="AO45" t="s">
        <v>255</v>
      </c>
      <c r="AP45" t="s">
        <v>256</v>
      </c>
      <c r="AQ45" t="s">
        <v>257</v>
      </c>
      <c r="AR45" t="s">
        <v>258</v>
      </c>
      <c r="AS45" t="s">
        <v>259</v>
      </c>
      <c r="AT45" t="s">
        <v>260</v>
      </c>
      <c r="AU45" t="s">
        <v>261</v>
      </c>
      <c r="AV45" t="s">
        <v>264</v>
      </c>
      <c r="AW45" t="s">
        <v>262</v>
      </c>
    </row>
    <row r="46" spans="1:49" x14ac:dyDescent="0.25">
      <c r="N46" s="2" t="s">
        <v>146</v>
      </c>
      <c r="P46">
        <v>1.5807000000000001E-4</v>
      </c>
      <c r="Q46">
        <v>0.96513000000000004</v>
      </c>
      <c r="R46" s="665">
        <v>7.2381000000000003E-23</v>
      </c>
      <c r="S46">
        <v>0.15970000000000001</v>
      </c>
      <c r="T46">
        <v>3.7068000000000001E-3</v>
      </c>
      <c r="U46" s="665">
        <v>1.9533000000000001E-5</v>
      </c>
      <c r="V46">
        <v>0.22244</v>
      </c>
      <c r="W46">
        <v>0.56594999999999995</v>
      </c>
      <c r="X46">
        <v>0.85768999999999995</v>
      </c>
      <c r="Y46" s="647">
        <v>0.78225999999999996</v>
      </c>
      <c r="Z46" s="665">
        <v>1.5947E-8</v>
      </c>
      <c r="AA46">
        <v>0.42215000000000003</v>
      </c>
      <c r="AB46">
        <v>0.96414</v>
      </c>
      <c r="AC46">
        <v>0.48265000000000002</v>
      </c>
      <c r="AD46">
        <v>0.65456000000000003</v>
      </c>
      <c r="AE46">
        <v>0.66669999999999996</v>
      </c>
      <c r="AF46">
        <v>0.55581000000000003</v>
      </c>
      <c r="AG46">
        <v>0.97182999999999997</v>
      </c>
      <c r="AH46">
        <v>7.9328999999999997E-2</v>
      </c>
      <c r="AI46" s="650">
        <v>2.5964000000000001E-2</v>
      </c>
      <c r="AJ46">
        <v>4.5950000000000001E-3</v>
      </c>
      <c r="AK46">
        <v>0.76288999999999996</v>
      </c>
      <c r="AL46">
        <v>0.75139999999999996</v>
      </c>
      <c r="AM46">
        <v>0.65913999999999995</v>
      </c>
      <c r="AN46">
        <v>0.72058</v>
      </c>
      <c r="AO46">
        <v>0.25816</v>
      </c>
      <c r="AP46">
        <v>0.74736000000000002</v>
      </c>
      <c r="AQ46">
        <v>0.26390000000000002</v>
      </c>
      <c r="AR46">
        <v>7.9642000000000004E-2</v>
      </c>
      <c r="AS46">
        <v>6.5262000000000001E-2</v>
      </c>
      <c r="AT46">
        <v>4.9397000000000003E-2</v>
      </c>
      <c r="AU46">
        <v>2.2398999999999999E-2</v>
      </c>
      <c r="AV46">
        <v>0.71923000000000004</v>
      </c>
      <c r="AW46">
        <v>0.84613000000000005</v>
      </c>
    </row>
    <row r="47" spans="1:49" x14ac:dyDescent="0.25">
      <c r="I47" s="653"/>
      <c r="J47" s="648"/>
      <c r="K47" s="648"/>
      <c r="L47" s="653"/>
      <c r="M47" s="583"/>
      <c r="N47" s="653" t="s">
        <v>147</v>
      </c>
      <c r="O47" s="670">
        <v>0.56877999999999995</v>
      </c>
      <c r="Q47">
        <v>0.12105</v>
      </c>
      <c r="R47" s="665">
        <v>2.5051000000000001E-4</v>
      </c>
      <c r="S47">
        <v>0.17238000000000001</v>
      </c>
      <c r="T47">
        <v>1.6484E-3</v>
      </c>
      <c r="U47">
        <v>5.9493000000000002E-4</v>
      </c>
      <c r="V47">
        <v>0.38329000000000002</v>
      </c>
      <c r="W47">
        <v>0.78556999999999999</v>
      </c>
      <c r="X47">
        <v>0.92079999999999995</v>
      </c>
      <c r="Y47" s="647">
        <v>0.83665</v>
      </c>
      <c r="Z47">
        <v>8.9458999999999997E-2</v>
      </c>
      <c r="AA47">
        <v>0.24922</v>
      </c>
      <c r="AB47">
        <v>0.18281</v>
      </c>
      <c r="AC47">
        <v>0.1128</v>
      </c>
      <c r="AD47">
        <v>0.76856000000000002</v>
      </c>
      <c r="AE47">
        <v>0.75834000000000001</v>
      </c>
      <c r="AF47">
        <v>0.50288999999999995</v>
      </c>
      <c r="AG47">
        <v>0.66205999999999998</v>
      </c>
      <c r="AH47">
        <v>0.17560999999999999</v>
      </c>
      <c r="AI47" s="650">
        <v>0.61106000000000005</v>
      </c>
      <c r="AJ47">
        <v>0.29013</v>
      </c>
      <c r="AK47">
        <v>0.47238000000000002</v>
      </c>
      <c r="AL47">
        <v>0.54444000000000004</v>
      </c>
      <c r="AM47">
        <v>0.10478999999999999</v>
      </c>
      <c r="AN47">
        <v>0.49839</v>
      </c>
      <c r="AO47">
        <v>0.37867000000000001</v>
      </c>
      <c r="AP47">
        <v>0.54212000000000005</v>
      </c>
      <c r="AQ47">
        <v>0.38270999999999999</v>
      </c>
      <c r="AR47">
        <v>0.24812000000000001</v>
      </c>
      <c r="AS47">
        <v>0.22259999999999999</v>
      </c>
      <c r="AT47">
        <v>0.20831</v>
      </c>
      <c r="AU47">
        <v>0.15820999999999999</v>
      </c>
      <c r="AV47">
        <v>0.2132</v>
      </c>
      <c r="AW47">
        <v>0.71059000000000005</v>
      </c>
    </row>
    <row r="48" spans="1:49" x14ac:dyDescent="0.25">
      <c r="I48" s="653"/>
      <c r="J48" s="648"/>
      <c r="K48" s="648"/>
      <c r="L48" s="653"/>
      <c r="M48" s="583"/>
      <c r="N48" s="653" t="s">
        <v>148</v>
      </c>
      <c r="O48" s="670">
        <v>7.2348999999999998E-3</v>
      </c>
      <c r="P48">
        <v>0.25242999999999999</v>
      </c>
      <c r="R48">
        <v>0.51854</v>
      </c>
      <c r="S48">
        <v>0.89349000000000001</v>
      </c>
      <c r="T48" s="665">
        <v>8.7867000000000004E-5</v>
      </c>
      <c r="U48">
        <v>6.3571000000000003E-2</v>
      </c>
      <c r="V48">
        <v>0.14521999999999999</v>
      </c>
      <c r="W48">
        <v>0.83860999999999997</v>
      </c>
      <c r="X48">
        <v>1.5365999999999999E-3</v>
      </c>
      <c r="Y48" s="647">
        <v>9.5663999999999992E-3</v>
      </c>
      <c r="Z48">
        <v>0.58567000000000002</v>
      </c>
      <c r="AA48">
        <v>2.4697999999999999E-3</v>
      </c>
      <c r="AB48" s="665">
        <v>1.3764000000000001E-6</v>
      </c>
      <c r="AC48">
        <v>0.66317000000000004</v>
      </c>
      <c r="AD48">
        <v>8.9404999999999998E-2</v>
      </c>
      <c r="AE48">
        <v>9.2119000000000006E-2</v>
      </c>
      <c r="AF48">
        <v>0.28571999999999997</v>
      </c>
      <c r="AG48">
        <v>0.13084000000000001</v>
      </c>
      <c r="AH48">
        <v>0.86595</v>
      </c>
      <c r="AI48" s="650">
        <v>7.2738000000000004E-3</v>
      </c>
      <c r="AJ48">
        <v>2.6089000000000001E-2</v>
      </c>
      <c r="AK48">
        <v>0.27645999999999998</v>
      </c>
      <c r="AL48">
        <v>0.23072000000000001</v>
      </c>
      <c r="AM48">
        <v>0.80947999999999998</v>
      </c>
      <c r="AN48">
        <v>0.25390000000000001</v>
      </c>
      <c r="AO48">
        <v>0.51332</v>
      </c>
      <c r="AP48">
        <v>0.23150000000000001</v>
      </c>
      <c r="AQ48">
        <v>0.50651000000000002</v>
      </c>
      <c r="AR48">
        <v>0.96921999999999997</v>
      </c>
      <c r="AS48">
        <v>0.90063000000000004</v>
      </c>
      <c r="AT48">
        <v>0.80693999999999999</v>
      </c>
      <c r="AU48">
        <v>0.41889999999999999</v>
      </c>
      <c r="AV48">
        <v>0.76729999999999998</v>
      </c>
      <c r="AW48">
        <v>0.16771</v>
      </c>
    </row>
    <row r="49" spans="9:49" x14ac:dyDescent="0.25">
      <c r="I49" s="653"/>
      <c r="J49" s="648"/>
      <c r="K49" s="648"/>
      <c r="L49" s="653"/>
      <c r="M49" s="583"/>
      <c r="N49" s="653" t="s">
        <v>149</v>
      </c>
      <c r="O49" s="671">
        <v>0.96392999999999995</v>
      </c>
      <c r="P49">
        <v>0.55435000000000001</v>
      </c>
      <c r="Q49">
        <v>-0.10655000000000001</v>
      </c>
      <c r="S49">
        <v>0.1119</v>
      </c>
      <c r="T49">
        <v>7.4378E-2</v>
      </c>
      <c r="U49">
        <v>8.3067000000000004E-4</v>
      </c>
      <c r="V49">
        <v>0.62204000000000004</v>
      </c>
      <c r="W49">
        <v>0.98326000000000002</v>
      </c>
      <c r="X49">
        <v>0.51046999999999998</v>
      </c>
      <c r="Y49" s="647">
        <v>0.43974000000000002</v>
      </c>
      <c r="Z49" s="665">
        <v>5.7553999999999998E-7</v>
      </c>
      <c r="AA49">
        <v>0.96340000000000003</v>
      </c>
      <c r="AB49">
        <v>0.81567000000000001</v>
      </c>
      <c r="AC49">
        <v>0.24293999999999999</v>
      </c>
      <c r="AD49">
        <v>0.65549000000000002</v>
      </c>
      <c r="AE49">
        <v>0.67079</v>
      </c>
      <c r="AF49">
        <v>0.46867999999999999</v>
      </c>
      <c r="AG49">
        <v>0.91678000000000004</v>
      </c>
      <c r="AH49">
        <v>3.0858E-2</v>
      </c>
      <c r="AI49" s="650">
        <v>1.4585000000000001E-2</v>
      </c>
      <c r="AJ49">
        <v>4.6340999999999998E-4</v>
      </c>
      <c r="AK49">
        <v>0.68486999999999998</v>
      </c>
      <c r="AL49">
        <v>0.71816000000000002</v>
      </c>
      <c r="AM49">
        <v>0.70909999999999995</v>
      </c>
      <c r="AN49">
        <v>0.66400000000000003</v>
      </c>
      <c r="AO49">
        <v>0.18089</v>
      </c>
      <c r="AP49">
        <v>0.71328999999999998</v>
      </c>
      <c r="AQ49">
        <v>0.18676000000000001</v>
      </c>
      <c r="AR49">
        <v>2.8375999999999998E-2</v>
      </c>
      <c r="AS49">
        <v>2.1631999999999998E-2</v>
      </c>
      <c r="AT49">
        <v>1.4928E-2</v>
      </c>
      <c r="AU49">
        <v>3.5612999999999999E-3</v>
      </c>
      <c r="AV49">
        <v>0.51090999999999998</v>
      </c>
      <c r="AW49">
        <v>0.88080000000000003</v>
      </c>
    </row>
    <row r="50" spans="9:49" x14ac:dyDescent="0.25">
      <c r="I50" s="653"/>
      <c r="J50" s="648"/>
      <c r="K50" s="648"/>
      <c r="L50" s="653"/>
      <c r="M50" s="583"/>
      <c r="N50" s="653" t="s">
        <v>209</v>
      </c>
      <c r="O50" s="670">
        <v>0.2296</v>
      </c>
      <c r="P50">
        <v>0.223</v>
      </c>
      <c r="Q50">
        <v>2.2158000000000001E-2</v>
      </c>
      <c r="R50">
        <v>0.25527</v>
      </c>
      <c r="T50">
        <v>0.10544000000000001</v>
      </c>
      <c r="U50">
        <v>9.1571E-2</v>
      </c>
      <c r="V50" s="665">
        <v>7.7069E-8</v>
      </c>
      <c r="W50">
        <v>0.32625999999999999</v>
      </c>
      <c r="X50">
        <v>0.35703000000000001</v>
      </c>
      <c r="Y50" s="647">
        <v>2.7496E-2</v>
      </c>
      <c r="Z50">
        <v>0.35347000000000001</v>
      </c>
      <c r="AA50">
        <v>0.67376999999999998</v>
      </c>
      <c r="AB50">
        <v>1.4591E-2</v>
      </c>
      <c r="AC50">
        <v>0.31485000000000002</v>
      </c>
      <c r="AD50">
        <v>7.0362999999999997E-3</v>
      </c>
      <c r="AE50">
        <v>6.8497999999999996E-3</v>
      </c>
      <c r="AF50">
        <v>7.0883999999999997E-4</v>
      </c>
      <c r="AG50">
        <v>1.8373E-3</v>
      </c>
      <c r="AH50">
        <v>3.0838000000000003E-4</v>
      </c>
      <c r="AI50" s="650">
        <v>0.97740000000000005</v>
      </c>
      <c r="AJ50">
        <v>3.5957999999999997E-2</v>
      </c>
      <c r="AK50">
        <v>1.1649E-3</v>
      </c>
      <c r="AL50">
        <v>1.209E-3</v>
      </c>
      <c r="AM50">
        <v>0.43663999999999997</v>
      </c>
      <c r="AN50">
        <v>1.0120999999999999E-3</v>
      </c>
      <c r="AO50">
        <v>2.8446E-4</v>
      </c>
      <c r="AP50">
        <v>1.1907E-3</v>
      </c>
      <c r="AQ50">
        <v>2.9273999999999999E-4</v>
      </c>
      <c r="AR50" s="665">
        <v>4.0811999999999999E-4</v>
      </c>
      <c r="AS50" s="665">
        <v>3.8058999999999999E-4</v>
      </c>
      <c r="AT50" s="665">
        <v>4.2635999999999998E-4</v>
      </c>
      <c r="AU50">
        <v>4.2348000000000004E-3</v>
      </c>
      <c r="AV50">
        <v>3.6252E-2</v>
      </c>
      <c r="AW50">
        <v>2.3140000000000001E-3</v>
      </c>
    </row>
    <row r="51" spans="9:49" x14ac:dyDescent="0.25">
      <c r="I51" s="653"/>
      <c r="J51" s="648"/>
      <c r="K51" s="648"/>
      <c r="L51" s="653"/>
      <c r="M51" s="654"/>
      <c r="N51" s="653" t="s">
        <v>196</v>
      </c>
      <c r="O51" s="670">
        <v>-0.45949000000000001</v>
      </c>
      <c r="P51">
        <v>-0.49332999999999999</v>
      </c>
      <c r="Q51">
        <v>-0.59282999999999997</v>
      </c>
      <c r="R51">
        <v>-0.29285</v>
      </c>
      <c r="S51">
        <v>-0.26677000000000001</v>
      </c>
      <c r="U51">
        <v>5.7967000000000001E-4</v>
      </c>
      <c r="V51">
        <v>8.6230000000000001E-2</v>
      </c>
      <c r="W51">
        <v>3.2632000000000001E-2</v>
      </c>
      <c r="X51" s="665">
        <v>1.9522E-5</v>
      </c>
      <c r="Y51" s="647">
        <v>1.0043999999999999E-4</v>
      </c>
      <c r="Z51">
        <v>4.9927000000000001E-3</v>
      </c>
      <c r="AA51" s="665">
        <v>1.8926999999999999E-6</v>
      </c>
      <c r="AB51">
        <v>5.2565000000000001E-4</v>
      </c>
      <c r="AC51">
        <v>0.87387000000000004</v>
      </c>
      <c r="AD51">
        <v>0.51027</v>
      </c>
      <c r="AE51">
        <v>0.50919999999999999</v>
      </c>
      <c r="AF51">
        <v>0.32029999999999997</v>
      </c>
      <c r="AG51">
        <v>0.38428000000000001</v>
      </c>
      <c r="AH51">
        <v>0.28548000000000001</v>
      </c>
      <c r="AI51" s="650">
        <v>0.70677999999999996</v>
      </c>
      <c r="AJ51">
        <v>0.40276000000000001</v>
      </c>
      <c r="AK51">
        <v>0.32364999999999999</v>
      </c>
      <c r="AL51">
        <v>0.34708</v>
      </c>
      <c r="AM51">
        <v>0.66632000000000002</v>
      </c>
      <c r="AN51">
        <v>0.33124999999999999</v>
      </c>
      <c r="AO51">
        <v>0.26463999999999999</v>
      </c>
      <c r="AP51">
        <v>0.34645999999999999</v>
      </c>
      <c r="AQ51">
        <v>0.26606000000000002</v>
      </c>
      <c r="AR51">
        <v>0.22525000000000001</v>
      </c>
      <c r="AS51">
        <v>0.21682999999999999</v>
      </c>
      <c r="AT51">
        <v>0.21204999999999999</v>
      </c>
      <c r="AU51">
        <v>0.25245000000000001</v>
      </c>
      <c r="AV51">
        <v>0.41177999999999998</v>
      </c>
      <c r="AW51">
        <v>0.41125</v>
      </c>
    </row>
    <row r="52" spans="9:49" x14ac:dyDescent="0.25">
      <c r="I52" s="653"/>
      <c r="J52" s="648"/>
      <c r="K52" s="648"/>
      <c r="L52" s="653"/>
      <c r="M52" s="654"/>
      <c r="N52" s="653" t="s">
        <v>197</v>
      </c>
      <c r="O52" s="670">
        <v>-0.63361999999999996</v>
      </c>
      <c r="P52">
        <v>-0.53151999999999999</v>
      </c>
      <c r="Q52">
        <v>-0.30393999999999999</v>
      </c>
      <c r="R52">
        <v>-0.51949999999999996</v>
      </c>
      <c r="S52">
        <v>0.27755999999999997</v>
      </c>
      <c r="T52">
        <v>0.53244000000000002</v>
      </c>
      <c r="V52" s="665">
        <v>1.1965E-8</v>
      </c>
      <c r="W52">
        <v>0.87856999999999996</v>
      </c>
      <c r="X52">
        <v>0.12479999999999999</v>
      </c>
      <c r="Y52" s="647">
        <v>0.17122999999999999</v>
      </c>
      <c r="Z52">
        <v>6.6038999999999996E-4</v>
      </c>
      <c r="AA52">
        <v>6.1176000000000001E-2</v>
      </c>
      <c r="AB52">
        <v>0.61673999999999995</v>
      </c>
      <c r="AC52">
        <v>7.2331000000000006E-2</v>
      </c>
      <c r="AD52">
        <v>9.9057000000000006E-2</v>
      </c>
      <c r="AE52">
        <v>9.6480999999999997E-2</v>
      </c>
      <c r="AF52">
        <v>3.6049999999999999E-2</v>
      </c>
      <c r="AG52">
        <v>6.4566999999999999E-2</v>
      </c>
      <c r="AH52">
        <v>1.2227999999999999E-2</v>
      </c>
      <c r="AI52" s="650">
        <v>0.98265999999999998</v>
      </c>
      <c r="AJ52">
        <v>0.12864</v>
      </c>
      <c r="AK52">
        <v>5.0976E-2</v>
      </c>
      <c r="AL52">
        <v>4.8408E-2</v>
      </c>
      <c r="AM52">
        <v>0.79430000000000001</v>
      </c>
      <c r="AN52">
        <v>4.5345000000000003E-2</v>
      </c>
      <c r="AO52">
        <v>2.2558000000000002E-2</v>
      </c>
      <c r="AP52">
        <v>4.7972000000000001E-2</v>
      </c>
      <c r="AQ52">
        <v>2.2821000000000001E-2</v>
      </c>
      <c r="AR52">
        <v>2.2499999999999999E-2</v>
      </c>
      <c r="AS52">
        <v>2.2100000000000002E-2</v>
      </c>
      <c r="AT52">
        <v>2.1968999999999999E-2</v>
      </c>
      <c r="AU52">
        <v>4.7830999999999999E-2</v>
      </c>
      <c r="AV52">
        <v>0.14735999999999999</v>
      </c>
      <c r="AW52">
        <v>6.3159999999999994E-2</v>
      </c>
    </row>
    <row r="53" spans="9:49" x14ac:dyDescent="0.25">
      <c r="I53" s="653"/>
      <c r="J53" s="648"/>
      <c r="K53" s="648"/>
      <c r="L53" s="653"/>
      <c r="M53" s="654"/>
      <c r="N53" s="653" t="s">
        <v>198</v>
      </c>
      <c r="O53" s="670">
        <v>-0.20846000000000001</v>
      </c>
      <c r="P53">
        <v>-0.14976999999999999</v>
      </c>
      <c r="Q53">
        <v>-0.24771000000000001</v>
      </c>
      <c r="R53">
        <v>-8.5013000000000005E-2</v>
      </c>
      <c r="S53">
        <v>0.75978999999999997</v>
      </c>
      <c r="T53">
        <v>0.28999000000000003</v>
      </c>
      <c r="U53">
        <v>0.78766000000000003</v>
      </c>
      <c r="W53">
        <v>0.77788999999999997</v>
      </c>
      <c r="X53">
        <v>2.0405E-2</v>
      </c>
      <c r="Y53" s="647">
        <v>0.16120999999999999</v>
      </c>
      <c r="Z53">
        <v>0.1842</v>
      </c>
      <c r="AA53">
        <v>4.7716000000000001E-2</v>
      </c>
      <c r="AB53">
        <v>0.10456</v>
      </c>
      <c r="AC53">
        <v>0.19328999999999999</v>
      </c>
      <c r="AD53">
        <v>2.2131E-3</v>
      </c>
      <c r="AE53">
        <v>2.1708999999999999E-3</v>
      </c>
      <c r="AF53">
        <v>2.8501999999999998E-4</v>
      </c>
      <c r="AG53">
        <v>6.4493999999999999E-4</v>
      </c>
      <c r="AH53">
        <v>2.4959E-4</v>
      </c>
      <c r="AI53" s="650">
        <v>0.48410999999999998</v>
      </c>
      <c r="AJ53">
        <v>0.10958</v>
      </c>
      <c r="AK53">
        <v>1.1191E-3</v>
      </c>
      <c r="AL53">
        <v>7.7757E-4</v>
      </c>
      <c r="AM53">
        <v>0.70038999999999996</v>
      </c>
      <c r="AN53">
        <v>7.6455000000000002E-4</v>
      </c>
      <c r="AO53">
        <v>1.9112E-4</v>
      </c>
      <c r="AP53">
        <v>7.6588999999999997E-4</v>
      </c>
      <c r="AQ53">
        <v>1.929E-4</v>
      </c>
      <c r="AR53">
        <v>5.9763999999999998E-4</v>
      </c>
      <c r="AS53">
        <v>5.4394999999999997E-4</v>
      </c>
      <c r="AT53">
        <v>6.8506999999999997E-4</v>
      </c>
      <c r="AU53">
        <v>8.3399000000000008E-3</v>
      </c>
      <c r="AV53">
        <v>5.2087000000000001E-2</v>
      </c>
      <c r="AW53">
        <v>9.2329E-4</v>
      </c>
    </row>
    <row r="54" spans="9:49" x14ac:dyDescent="0.25">
      <c r="I54" s="653"/>
      <c r="J54" s="648"/>
      <c r="K54" s="648"/>
      <c r="L54" s="653"/>
      <c r="M54" s="654"/>
      <c r="N54" s="653" t="s">
        <v>203</v>
      </c>
      <c r="O54" s="670">
        <v>-9.6114000000000005E-2</v>
      </c>
      <c r="P54">
        <v>4.5636000000000003E-2</v>
      </c>
      <c r="Q54">
        <v>-3.4171E-2</v>
      </c>
      <c r="R54">
        <v>3.5217999999999998E-3</v>
      </c>
      <c r="S54">
        <v>-0.16364000000000001</v>
      </c>
      <c r="T54">
        <v>0.34733000000000003</v>
      </c>
      <c r="U54">
        <v>2.5638000000000001E-2</v>
      </c>
      <c r="V54">
        <v>4.8702000000000002E-2</v>
      </c>
      <c r="X54">
        <v>1.6833000000000001E-2</v>
      </c>
      <c r="Y54" s="647">
        <v>4.0998E-2</v>
      </c>
      <c r="Z54">
        <v>0.87065999999999999</v>
      </c>
      <c r="AA54">
        <v>8.5240999999999997E-2</v>
      </c>
      <c r="AB54">
        <v>0.92027000000000003</v>
      </c>
      <c r="AC54">
        <v>0.44347999999999999</v>
      </c>
      <c r="AD54">
        <v>0.96131</v>
      </c>
      <c r="AE54">
        <v>0.97262000000000004</v>
      </c>
      <c r="AF54">
        <v>0.61231999999999998</v>
      </c>
      <c r="AG54">
        <v>0.78439000000000003</v>
      </c>
      <c r="AH54">
        <v>0.16342000000000001</v>
      </c>
      <c r="AI54" s="650">
        <v>0.46662999999999999</v>
      </c>
      <c r="AJ54">
        <v>0.12728999999999999</v>
      </c>
      <c r="AK54">
        <v>0.65934000000000004</v>
      </c>
      <c r="AL54">
        <v>0.72302999999999995</v>
      </c>
      <c r="AM54">
        <v>0.86977000000000004</v>
      </c>
      <c r="AN54">
        <v>0.66969999999999996</v>
      </c>
      <c r="AO54">
        <v>0.34523999999999999</v>
      </c>
      <c r="AP54">
        <v>0.71887999999999996</v>
      </c>
      <c r="AQ54">
        <v>0.35109000000000001</v>
      </c>
      <c r="AR54">
        <v>0.14223</v>
      </c>
      <c r="AS54">
        <v>0.11473999999999999</v>
      </c>
      <c r="AT54">
        <v>0.10839</v>
      </c>
      <c r="AU54">
        <v>4.7449999999999999E-2</v>
      </c>
      <c r="AV54">
        <v>0.31758999999999998</v>
      </c>
      <c r="AW54">
        <v>0.87100999999999995</v>
      </c>
    </row>
    <row r="55" spans="9:49" x14ac:dyDescent="0.25">
      <c r="I55" s="653"/>
      <c r="J55" s="648"/>
      <c r="K55" s="648"/>
      <c r="L55" s="653"/>
      <c r="M55" s="583"/>
      <c r="N55" s="653" t="s">
        <v>204</v>
      </c>
      <c r="O55" s="670">
        <v>3.0086999999999999E-2</v>
      </c>
      <c r="P55">
        <v>1.6684000000000001E-2</v>
      </c>
      <c r="Q55">
        <v>0.49611</v>
      </c>
      <c r="R55">
        <v>-0.11011</v>
      </c>
      <c r="S55">
        <v>-0.15365000000000001</v>
      </c>
      <c r="T55">
        <v>-0.63363000000000003</v>
      </c>
      <c r="U55">
        <v>-0.25337999999999999</v>
      </c>
      <c r="V55">
        <v>-0.38501999999999997</v>
      </c>
      <c r="W55">
        <v>-0.38551999999999997</v>
      </c>
      <c r="Y55" s="665">
        <v>3.5457999999999998E-5</v>
      </c>
      <c r="Z55">
        <v>0.73407</v>
      </c>
      <c r="AA55" s="665">
        <v>7.7040000000000007E-9</v>
      </c>
      <c r="AB55">
        <v>6.8099999999999994E-2</v>
      </c>
      <c r="AC55">
        <v>1.1838E-2</v>
      </c>
      <c r="AD55">
        <v>0.48462</v>
      </c>
      <c r="AE55">
        <v>0.50738000000000005</v>
      </c>
      <c r="AF55">
        <v>0.68374999999999997</v>
      </c>
      <c r="AG55">
        <v>0.48505999999999999</v>
      </c>
      <c r="AH55">
        <v>0.26635999999999999</v>
      </c>
      <c r="AI55" s="650">
        <v>0.18637000000000001</v>
      </c>
      <c r="AJ55">
        <v>0.11106000000000001</v>
      </c>
      <c r="AK55">
        <v>0.54335999999999995</v>
      </c>
      <c r="AL55">
        <v>0.59889000000000003</v>
      </c>
      <c r="AM55">
        <v>0.13494</v>
      </c>
      <c r="AN55">
        <v>0.61865000000000003</v>
      </c>
      <c r="AO55">
        <v>0.76346999999999998</v>
      </c>
      <c r="AP55">
        <v>0.60331999999999997</v>
      </c>
      <c r="AQ55">
        <v>0.77436000000000005</v>
      </c>
      <c r="AR55">
        <v>0.3397</v>
      </c>
      <c r="AS55">
        <v>0.31594</v>
      </c>
      <c r="AT55">
        <v>0.28852</v>
      </c>
      <c r="AU55">
        <v>9.3870999999999996E-2</v>
      </c>
      <c r="AV55">
        <v>0.82349000000000006</v>
      </c>
      <c r="AW55">
        <v>0.56840000000000002</v>
      </c>
    </row>
    <row r="56" spans="9:49" x14ac:dyDescent="0.25">
      <c r="I56" s="653"/>
      <c r="J56" s="648"/>
      <c r="K56" s="648"/>
      <c r="L56" s="653"/>
      <c r="M56" s="583"/>
      <c r="N56" s="653" t="s">
        <v>205</v>
      </c>
      <c r="O56" s="670">
        <v>-4.7721E-2</v>
      </c>
      <c r="P56">
        <v>3.5610000000000003E-2</v>
      </c>
      <c r="Q56">
        <v>0.42609000000000002</v>
      </c>
      <c r="R56">
        <v>-0.13289000000000001</v>
      </c>
      <c r="S56">
        <v>0.36741000000000001</v>
      </c>
      <c r="T56">
        <v>-0.60265999999999997</v>
      </c>
      <c r="U56">
        <v>0.23311000000000001</v>
      </c>
      <c r="V56">
        <v>0.23854</v>
      </c>
      <c r="W56">
        <v>-0.34231</v>
      </c>
      <c r="X56">
        <v>0.6321</v>
      </c>
      <c r="Z56">
        <v>0.33478999999999998</v>
      </c>
      <c r="AA56" s="665">
        <v>5.6406000000000002E-5</v>
      </c>
      <c r="AB56" s="665">
        <v>2.9275000000000002E-7</v>
      </c>
      <c r="AC56">
        <v>1.1269E-2</v>
      </c>
      <c r="AD56">
        <v>0.19778000000000001</v>
      </c>
      <c r="AE56">
        <v>0.19112999999999999</v>
      </c>
      <c r="AF56">
        <v>9.2766000000000001E-2</v>
      </c>
      <c r="AG56">
        <v>0.15004000000000001</v>
      </c>
      <c r="AH56">
        <v>1.6195999999999999E-2</v>
      </c>
      <c r="AI56" s="650">
        <v>0.63512999999999997</v>
      </c>
      <c r="AJ56">
        <v>0.15565000000000001</v>
      </c>
      <c r="AK56">
        <v>0.19503999999999999</v>
      </c>
      <c r="AL56">
        <v>0.18734000000000001</v>
      </c>
      <c r="AM56">
        <v>0.40847</v>
      </c>
      <c r="AN56">
        <v>0.17430999999999999</v>
      </c>
      <c r="AO56">
        <v>6.479E-2</v>
      </c>
      <c r="AP56">
        <v>0.18547</v>
      </c>
      <c r="AQ56">
        <v>6.6404000000000005E-2</v>
      </c>
      <c r="AR56">
        <v>3.3577000000000003E-2</v>
      </c>
      <c r="AS56">
        <v>3.1454000000000003E-2</v>
      </c>
      <c r="AT56">
        <v>3.2279000000000002E-2</v>
      </c>
      <c r="AU56">
        <v>2.9116E-2</v>
      </c>
      <c r="AV56">
        <v>0.22151000000000001</v>
      </c>
      <c r="AW56">
        <v>0.21493999999999999</v>
      </c>
    </row>
    <row r="57" spans="9:49" x14ac:dyDescent="0.25">
      <c r="I57" s="653"/>
      <c r="J57" s="648"/>
      <c r="K57" s="648"/>
      <c r="L57" s="653"/>
      <c r="M57" s="654"/>
      <c r="N57" s="653" t="s">
        <v>206</v>
      </c>
      <c r="O57" s="670">
        <v>0.78361000000000003</v>
      </c>
      <c r="P57">
        <v>0.28717999999999999</v>
      </c>
      <c r="Q57">
        <v>9.3968999999999997E-2</v>
      </c>
      <c r="R57">
        <v>0.72484000000000004</v>
      </c>
      <c r="S57">
        <v>0.15928</v>
      </c>
      <c r="T57">
        <v>-0.45779999999999998</v>
      </c>
      <c r="U57">
        <v>-0.54083000000000003</v>
      </c>
      <c r="V57">
        <v>-0.22642999999999999</v>
      </c>
      <c r="W57">
        <v>2.8122999999999999E-2</v>
      </c>
      <c r="X57">
        <v>5.8639999999999998E-2</v>
      </c>
      <c r="Y57" s="647">
        <v>0.16547999999999999</v>
      </c>
      <c r="AA57">
        <v>0.23512</v>
      </c>
      <c r="AB57">
        <v>0.10671</v>
      </c>
      <c r="AC57">
        <v>0.35042000000000001</v>
      </c>
      <c r="AD57">
        <v>0.71291000000000004</v>
      </c>
      <c r="AE57">
        <v>0.72392999999999996</v>
      </c>
      <c r="AF57">
        <v>0.48551</v>
      </c>
      <c r="AG57">
        <v>0.85906000000000005</v>
      </c>
      <c r="AH57">
        <v>2.8257000000000001E-2</v>
      </c>
      <c r="AI57" s="650">
        <v>7.2439000000000002E-3</v>
      </c>
      <c r="AJ57">
        <v>1.0968E-3</v>
      </c>
      <c r="AK57">
        <v>0.79057999999999995</v>
      </c>
      <c r="AL57">
        <v>0.67593999999999999</v>
      </c>
      <c r="AM57">
        <v>0.12265</v>
      </c>
      <c r="AN57">
        <v>0.67747000000000002</v>
      </c>
      <c r="AO57">
        <v>0.13119</v>
      </c>
      <c r="AP57">
        <v>0.67132999999999998</v>
      </c>
      <c r="AQ57">
        <v>0.13461999999999999</v>
      </c>
      <c r="AR57">
        <v>3.0529000000000001E-2</v>
      </c>
      <c r="AS57">
        <v>2.1208999999999999E-2</v>
      </c>
      <c r="AT57">
        <v>1.6410999999999999E-2</v>
      </c>
      <c r="AU57">
        <v>5.7000000000000002E-3</v>
      </c>
      <c r="AV57">
        <v>0.79515000000000002</v>
      </c>
      <c r="AW57">
        <v>0.65073999999999999</v>
      </c>
    </row>
    <row r="58" spans="9:49" x14ac:dyDescent="0.25">
      <c r="I58" s="653"/>
      <c r="J58" s="648"/>
      <c r="K58" s="648"/>
      <c r="L58" s="653"/>
      <c r="M58" s="654"/>
      <c r="N58" s="635" t="s">
        <v>207</v>
      </c>
      <c r="O58" s="670">
        <v>0.13800999999999999</v>
      </c>
      <c r="P58">
        <v>0.19711000000000001</v>
      </c>
      <c r="Q58">
        <v>0.48909000000000002</v>
      </c>
      <c r="R58">
        <v>-7.9275000000000005E-3</v>
      </c>
      <c r="S58">
        <v>-7.2635000000000005E-2</v>
      </c>
      <c r="T58">
        <v>-0.70133000000000001</v>
      </c>
      <c r="U58">
        <v>-0.31514999999999999</v>
      </c>
      <c r="V58">
        <v>-0.33227000000000001</v>
      </c>
      <c r="W58">
        <v>-0.29087000000000002</v>
      </c>
      <c r="X58">
        <v>0.79369999999999996</v>
      </c>
      <c r="Y58" s="647">
        <v>0.61934</v>
      </c>
      <c r="Z58">
        <v>0.20297000000000001</v>
      </c>
      <c r="AB58">
        <v>3.7485999999999998E-2</v>
      </c>
      <c r="AC58">
        <v>9.2630000000000004E-2</v>
      </c>
      <c r="AD58">
        <v>0.63734999999999997</v>
      </c>
      <c r="AE58">
        <v>0.61721999999999999</v>
      </c>
      <c r="AF58">
        <v>0.72957000000000005</v>
      </c>
      <c r="AG58">
        <v>0.73587999999999998</v>
      </c>
      <c r="AH58">
        <v>0.31235000000000002</v>
      </c>
      <c r="AI58" s="650">
        <v>0.92000999999999999</v>
      </c>
      <c r="AJ58">
        <v>0.59896000000000005</v>
      </c>
      <c r="AK58">
        <v>0.79964999999999997</v>
      </c>
      <c r="AL58">
        <v>0.82718999999999998</v>
      </c>
      <c r="AM58">
        <v>0.26080999999999999</v>
      </c>
      <c r="AN58">
        <v>0.79352999999999996</v>
      </c>
      <c r="AO58">
        <v>0.62802999999999998</v>
      </c>
      <c r="AP58">
        <v>0.82432000000000005</v>
      </c>
      <c r="AQ58">
        <v>0.63514999999999999</v>
      </c>
      <c r="AR58">
        <v>0.40926000000000001</v>
      </c>
      <c r="AS58">
        <v>0.45565</v>
      </c>
      <c r="AT58">
        <v>0.45978000000000002</v>
      </c>
      <c r="AU58">
        <v>0.34320000000000001</v>
      </c>
      <c r="AV58">
        <v>0.50612999999999997</v>
      </c>
      <c r="AW58">
        <v>0.90212999999999999</v>
      </c>
    </row>
    <row r="59" spans="9:49" x14ac:dyDescent="0.25">
      <c r="I59" s="653"/>
      <c r="J59" s="648"/>
      <c r="K59" s="648"/>
      <c r="L59" s="653"/>
      <c r="M59" s="654"/>
      <c r="N59" s="635" t="s">
        <v>208</v>
      </c>
      <c r="O59" s="670">
        <v>7.7676999999999998E-3</v>
      </c>
      <c r="P59">
        <v>0.22713</v>
      </c>
      <c r="Q59">
        <v>0.70784999999999998</v>
      </c>
      <c r="R59">
        <v>-4.0258000000000002E-2</v>
      </c>
      <c r="S59">
        <v>0.40381</v>
      </c>
      <c r="T59">
        <v>-0.54900000000000004</v>
      </c>
      <c r="U59">
        <v>8.6302000000000004E-2</v>
      </c>
      <c r="V59">
        <v>0.27498</v>
      </c>
      <c r="W59">
        <v>1.7291999999999998E-2</v>
      </c>
      <c r="X59">
        <v>0.3075</v>
      </c>
      <c r="Y59" s="647">
        <v>0.73721999999999999</v>
      </c>
      <c r="Z59">
        <v>0.27335999999999999</v>
      </c>
      <c r="AA59">
        <v>0.34810000000000002</v>
      </c>
      <c r="AC59">
        <v>0.53613</v>
      </c>
      <c r="AD59">
        <v>0.37032999999999999</v>
      </c>
      <c r="AE59">
        <v>0.36952000000000002</v>
      </c>
      <c r="AF59">
        <v>0.19888</v>
      </c>
      <c r="AG59">
        <v>0.30479000000000001</v>
      </c>
      <c r="AH59">
        <v>0.15842999999999999</v>
      </c>
      <c r="AI59" s="650">
        <v>0.92262999999999995</v>
      </c>
      <c r="AJ59">
        <v>0.19511999999999999</v>
      </c>
      <c r="AK59">
        <v>0.25540000000000002</v>
      </c>
      <c r="AL59">
        <v>0.27807999999999999</v>
      </c>
      <c r="AM59">
        <v>0.50255000000000005</v>
      </c>
      <c r="AN59">
        <v>0.26505000000000001</v>
      </c>
      <c r="AO59">
        <v>0.23128000000000001</v>
      </c>
      <c r="AP59">
        <v>0.27778999999999998</v>
      </c>
      <c r="AQ59">
        <v>0.23227999999999999</v>
      </c>
      <c r="AR59">
        <v>0.21844</v>
      </c>
      <c r="AS59">
        <v>0.20924000000000001</v>
      </c>
      <c r="AT59">
        <v>0.19932</v>
      </c>
      <c r="AU59">
        <v>0.27372999999999997</v>
      </c>
      <c r="AV59">
        <v>0.28406999999999999</v>
      </c>
      <c r="AW59">
        <v>0.33123999999999998</v>
      </c>
    </row>
    <row r="60" spans="9:49" x14ac:dyDescent="0.25">
      <c r="I60" s="653"/>
      <c r="J60" s="648"/>
      <c r="K60" s="648"/>
      <c r="L60" s="653"/>
      <c r="M60" s="654"/>
      <c r="N60" s="635" t="s">
        <v>221</v>
      </c>
      <c r="O60" s="670">
        <v>0.11581</v>
      </c>
      <c r="P60">
        <v>0.25800000000000001</v>
      </c>
      <c r="Q60">
        <v>-7.1995000000000003E-2</v>
      </c>
      <c r="R60">
        <v>0.18895000000000001</v>
      </c>
      <c r="S60">
        <v>-0.16302</v>
      </c>
      <c r="T60">
        <v>-2.6637000000000001E-2</v>
      </c>
      <c r="U60">
        <v>-0.29485</v>
      </c>
      <c r="V60">
        <v>-0.22194</v>
      </c>
      <c r="W60">
        <v>0.12808</v>
      </c>
      <c r="X60">
        <v>-0.40421000000000001</v>
      </c>
      <c r="Y60" s="647">
        <v>-0.41760999999999998</v>
      </c>
      <c r="Z60">
        <v>0.16028000000000001</v>
      </c>
      <c r="AA60">
        <v>-0.28449999999999998</v>
      </c>
      <c r="AB60">
        <v>-0.10657999999999999</v>
      </c>
      <c r="AD60">
        <v>0.31162000000000001</v>
      </c>
      <c r="AE60">
        <v>0.29391</v>
      </c>
      <c r="AF60">
        <v>0.20741000000000001</v>
      </c>
      <c r="AG60">
        <v>0.33417999999999998</v>
      </c>
      <c r="AH60">
        <v>8.7577E-4</v>
      </c>
      <c r="AI60" s="650">
        <v>0.86758000000000002</v>
      </c>
      <c r="AJ60">
        <v>3.1508E-3</v>
      </c>
      <c r="AK60">
        <v>0.34165000000000001</v>
      </c>
      <c r="AL60">
        <v>0.31335000000000002</v>
      </c>
      <c r="AM60">
        <v>3.3334000000000003E-2</v>
      </c>
      <c r="AN60">
        <v>0.27929999999999999</v>
      </c>
      <c r="AO60">
        <v>3.4085999999999998E-2</v>
      </c>
      <c r="AP60">
        <v>0.30851000000000001</v>
      </c>
      <c r="AQ60">
        <v>3.6153999999999999E-2</v>
      </c>
      <c r="AR60">
        <v>4.7846E-3</v>
      </c>
      <c r="AS60">
        <v>2.9735999999999999E-3</v>
      </c>
      <c r="AT60">
        <v>3.5585999999999999E-3</v>
      </c>
      <c r="AU60">
        <v>4.3144E-4</v>
      </c>
      <c r="AV60">
        <v>0.48831999999999998</v>
      </c>
      <c r="AW60">
        <v>0.37324000000000002</v>
      </c>
    </row>
    <row r="61" spans="9:49" x14ac:dyDescent="0.25">
      <c r="I61" s="653"/>
      <c r="J61" s="648"/>
      <c r="K61" s="648"/>
      <c r="L61" s="653"/>
      <c r="M61" s="654"/>
      <c r="N61" s="653" t="s">
        <v>250</v>
      </c>
      <c r="O61" s="670">
        <v>7.3955000000000007E-2</v>
      </c>
      <c r="P61">
        <v>-4.8675000000000003E-2</v>
      </c>
      <c r="Q61">
        <v>-0.27566000000000002</v>
      </c>
      <c r="R61">
        <v>7.2755E-2</v>
      </c>
      <c r="S61">
        <v>0.41958000000000001</v>
      </c>
      <c r="T61">
        <v>-0.11015999999999999</v>
      </c>
      <c r="U61">
        <v>0.27159</v>
      </c>
      <c r="V61">
        <v>0.49370999999999998</v>
      </c>
      <c r="W61">
        <v>8.1402000000000002E-3</v>
      </c>
      <c r="X61">
        <v>-0.11688999999999999</v>
      </c>
      <c r="Y61" s="647">
        <v>0.21976999999999999</v>
      </c>
      <c r="Z61">
        <v>6.3505000000000006E-2</v>
      </c>
      <c r="AA61">
        <v>8.1306000000000003E-2</v>
      </c>
      <c r="AB61">
        <v>0.15384999999999999</v>
      </c>
      <c r="AC61">
        <v>-0.1641</v>
      </c>
      <c r="AE61" s="665">
        <v>1.7398E-71</v>
      </c>
      <c r="AF61" s="665">
        <v>2.4114E-17</v>
      </c>
      <c r="AG61" s="665">
        <v>6.5872999999999996E-25</v>
      </c>
      <c r="AH61" s="665">
        <v>1.0448999999999999E-5</v>
      </c>
      <c r="AI61" s="665">
        <v>8.5371E-6</v>
      </c>
      <c r="AJ61">
        <v>0.68630000000000002</v>
      </c>
      <c r="AK61" s="665">
        <v>4.2604999999999997E-15</v>
      </c>
      <c r="AL61" s="665">
        <v>4.8455000000000003E-17</v>
      </c>
      <c r="AM61">
        <v>0.23547000000000001</v>
      </c>
      <c r="AN61" s="665">
        <v>2.9589000000000001E-16</v>
      </c>
      <c r="AO61" s="665">
        <v>4.2364E-10</v>
      </c>
      <c r="AP61" s="665">
        <v>5.1438E-17</v>
      </c>
      <c r="AQ61" s="665">
        <v>3.3328999999999999E-10</v>
      </c>
      <c r="AR61" s="665">
        <v>9.8015000000000003E-5</v>
      </c>
      <c r="AS61">
        <v>1.3650000000000001E-4</v>
      </c>
      <c r="AT61">
        <v>3.7607E-4</v>
      </c>
      <c r="AU61">
        <v>0.10037</v>
      </c>
      <c r="AV61">
        <v>7.8397999999999999E-4</v>
      </c>
      <c r="AW61" s="665">
        <v>4.8666999999999997E-18</v>
      </c>
    </row>
    <row r="62" spans="9:49" x14ac:dyDescent="0.25">
      <c r="I62" s="653"/>
      <c r="J62" s="648"/>
      <c r="K62" s="648"/>
      <c r="L62" s="653"/>
      <c r="M62" s="654"/>
      <c r="N62" s="653" t="s">
        <v>251</v>
      </c>
      <c r="O62" s="670">
        <v>7.1193000000000006E-2</v>
      </c>
      <c r="P62">
        <v>-5.0888999999999997E-2</v>
      </c>
      <c r="Q62">
        <v>-0.27344000000000002</v>
      </c>
      <c r="R62">
        <v>6.9327E-2</v>
      </c>
      <c r="S62">
        <v>0.42083999999999999</v>
      </c>
      <c r="T62">
        <v>-0.11044</v>
      </c>
      <c r="U62">
        <v>0.27360000000000001</v>
      </c>
      <c r="V62">
        <v>0.49452000000000002</v>
      </c>
      <c r="W62">
        <v>5.7596000000000001E-3</v>
      </c>
      <c r="X62">
        <v>-0.11090999999999999</v>
      </c>
      <c r="Y62" s="647">
        <v>0.22298999999999999</v>
      </c>
      <c r="Z62">
        <v>6.0964999999999998E-2</v>
      </c>
      <c r="AA62">
        <v>8.6183999999999997E-2</v>
      </c>
      <c r="AB62">
        <v>0.15411</v>
      </c>
      <c r="AC62">
        <v>-0.17013</v>
      </c>
      <c r="AD62" s="668">
        <v>0.99988999999999995</v>
      </c>
      <c r="AF62" s="665">
        <v>2.6799999999999999E-17</v>
      </c>
      <c r="AG62" s="665">
        <v>1.4056000000000001E-24</v>
      </c>
      <c r="AH62" s="665">
        <v>8.9263999999999998E-6</v>
      </c>
      <c r="AI62" s="665">
        <v>9.6623000000000006E-6</v>
      </c>
      <c r="AJ62">
        <v>0.70965999999999996</v>
      </c>
      <c r="AK62" s="665">
        <v>5.5786999999999997E-15</v>
      </c>
      <c r="AL62" s="665">
        <v>6.5334000000000001E-17</v>
      </c>
      <c r="AM62">
        <v>0.24132000000000001</v>
      </c>
      <c r="AN62" s="665">
        <v>3.795E-16</v>
      </c>
      <c r="AO62" s="665">
        <v>3.6662000000000002E-10</v>
      </c>
      <c r="AP62" s="665">
        <v>6.8958999999999998E-17</v>
      </c>
      <c r="AQ62" s="665">
        <v>2.8899E-10</v>
      </c>
      <c r="AR62" s="665">
        <v>8.5383999999999994E-5</v>
      </c>
      <c r="AS62">
        <v>1.194E-4</v>
      </c>
      <c r="AT62">
        <v>3.3188E-4</v>
      </c>
      <c r="AU62">
        <v>9.2743000000000006E-2</v>
      </c>
      <c r="AV62">
        <v>7.9865000000000003E-4</v>
      </c>
      <c r="AW62" s="665">
        <v>6.8642999999999998E-18</v>
      </c>
    </row>
    <row r="63" spans="9:49" x14ac:dyDescent="0.25">
      <c r="I63" s="653"/>
      <c r="J63" s="648"/>
      <c r="K63" s="648"/>
      <c r="L63" s="653"/>
      <c r="M63" s="654"/>
      <c r="N63" s="653" t="s">
        <v>213</v>
      </c>
      <c r="O63" s="670">
        <v>-9.7268999999999994E-2</v>
      </c>
      <c r="P63">
        <v>-0.11055</v>
      </c>
      <c r="Q63">
        <v>-0.17532</v>
      </c>
      <c r="R63">
        <v>-0.11791</v>
      </c>
      <c r="S63">
        <v>0.51317000000000002</v>
      </c>
      <c r="T63">
        <v>-0.16564000000000001</v>
      </c>
      <c r="U63">
        <v>0.34118999999999999</v>
      </c>
      <c r="V63">
        <v>0.56994</v>
      </c>
      <c r="W63">
        <v>-8.4894999999999998E-2</v>
      </c>
      <c r="X63">
        <v>-6.8284999999999998E-2</v>
      </c>
      <c r="Y63" s="647">
        <v>0.28438000000000002</v>
      </c>
      <c r="Z63">
        <v>-0.12006</v>
      </c>
      <c r="AA63">
        <v>5.9671000000000002E-2</v>
      </c>
      <c r="AB63">
        <v>0.21925</v>
      </c>
      <c r="AC63">
        <v>-0.20369999999999999</v>
      </c>
      <c r="AD63" s="668">
        <v>0.92298999999999998</v>
      </c>
      <c r="AE63" s="668">
        <v>0.92254000000000003</v>
      </c>
      <c r="AG63" s="665">
        <v>4.0307000000000002E-29</v>
      </c>
      <c r="AH63" s="665">
        <v>2.7554999999999999E-11</v>
      </c>
      <c r="AI63" s="650">
        <v>1.4858E-2</v>
      </c>
      <c r="AJ63">
        <v>0.13728000000000001</v>
      </c>
      <c r="AK63" s="665">
        <v>1.8466E-17</v>
      </c>
      <c r="AL63" s="665">
        <v>2.9730000000000001E-21</v>
      </c>
      <c r="AM63">
        <v>0.24106</v>
      </c>
      <c r="AN63" s="665">
        <v>1.9634000000000001E-20</v>
      </c>
      <c r="AO63" s="665">
        <v>5.7383000000000002E-21</v>
      </c>
      <c r="AP63" s="665">
        <v>2.5392000000000001E-21</v>
      </c>
      <c r="AQ63" s="665">
        <v>3.4626000000000002E-21</v>
      </c>
      <c r="AR63" s="665">
        <v>1.1829999999999999E-9</v>
      </c>
      <c r="AS63" s="665">
        <v>6.9141999999999998E-10</v>
      </c>
      <c r="AT63" s="665">
        <v>3.9313000000000003E-9</v>
      </c>
      <c r="AU63">
        <v>3.4842E-4</v>
      </c>
      <c r="AV63">
        <v>9.2519E-4</v>
      </c>
      <c r="AW63" s="665">
        <v>6.1721999999999998E-22</v>
      </c>
    </row>
    <row r="64" spans="9:49" x14ac:dyDescent="0.25">
      <c r="I64" s="653"/>
      <c r="J64" s="648"/>
      <c r="K64" s="648"/>
      <c r="L64" s="653"/>
      <c r="M64" s="583"/>
      <c r="N64" s="653" t="s">
        <v>214</v>
      </c>
      <c r="O64" s="670">
        <v>5.8456999999999997E-3</v>
      </c>
      <c r="P64">
        <v>7.2247000000000006E-2</v>
      </c>
      <c r="Q64">
        <v>0.24618999999999999</v>
      </c>
      <c r="R64">
        <v>1.7059999999999999E-2</v>
      </c>
      <c r="S64">
        <v>-0.47744999999999999</v>
      </c>
      <c r="T64">
        <v>0.14524000000000001</v>
      </c>
      <c r="U64">
        <v>-0.30286000000000002</v>
      </c>
      <c r="V64">
        <v>-0.54168000000000005</v>
      </c>
      <c r="W64">
        <v>4.5893000000000003E-2</v>
      </c>
      <c r="X64">
        <v>0.11677</v>
      </c>
      <c r="Y64" s="647">
        <v>-0.24487</v>
      </c>
      <c r="Z64">
        <v>3.0669999999999999E-2</v>
      </c>
      <c r="AA64">
        <v>-5.8227000000000001E-2</v>
      </c>
      <c r="AB64">
        <v>-0.17591000000000001</v>
      </c>
      <c r="AC64">
        <v>0.15672</v>
      </c>
      <c r="AD64" s="669">
        <v>-0.96986000000000006</v>
      </c>
      <c r="AE64" s="669">
        <v>-0.96862000000000004</v>
      </c>
      <c r="AF64">
        <v>-0.98201000000000005</v>
      </c>
      <c r="AH64" s="665">
        <v>3.3815000000000002E-8</v>
      </c>
      <c r="AI64" s="650">
        <v>7.5213999999999999E-4</v>
      </c>
      <c r="AJ64">
        <v>0.60963000000000001</v>
      </c>
      <c r="AK64" s="665">
        <v>2.3077000000000002E-19</v>
      </c>
      <c r="AL64" s="665">
        <v>3.1095000000000001E-23</v>
      </c>
      <c r="AM64">
        <v>0.23272000000000001</v>
      </c>
      <c r="AN64" s="665">
        <v>4.6376000000000003E-22</v>
      </c>
      <c r="AO64" s="665">
        <v>5.4632000000000001E-15</v>
      </c>
      <c r="AP64" s="665">
        <v>2.9876999999999999E-23</v>
      </c>
      <c r="AQ64" s="665">
        <v>3.8045000000000002E-15</v>
      </c>
      <c r="AR64" s="665">
        <v>4.6909999999999999E-7</v>
      </c>
      <c r="AS64" s="665">
        <v>5.8545000000000004E-7</v>
      </c>
      <c r="AT64" s="665">
        <v>2.3221000000000002E-6</v>
      </c>
      <c r="AU64">
        <v>8.9110000000000005E-3</v>
      </c>
      <c r="AV64">
        <v>3.8612999999999999E-4</v>
      </c>
      <c r="AW64" s="665">
        <v>1.1237E-23</v>
      </c>
    </row>
    <row r="65" spans="9:49" x14ac:dyDescent="0.25">
      <c r="I65" s="653"/>
      <c r="J65" s="648"/>
      <c r="K65" s="648"/>
      <c r="L65" s="653"/>
      <c r="M65" s="583"/>
      <c r="N65" s="653" t="s">
        <v>215</v>
      </c>
      <c r="O65" s="670">
        <v>-0.28438000000000002</v>
      </c>
      <c r="P65">
        <v>-0.22137999999999999</v>
      </c>
      <c r="Q65">
        <v>2.7935000000000001E-2</v>
      </c>
      <c r="R65">
        <v>-0.34183000000000002</v>
      </c>
      <c r="S65">
        <v>0.54147999999999996</v>
      </c>
      <c r="T65">
        <v>-0.17782000000000001</v>
      </c>
      <c r="U65">
        <v>0.40253</v>
      </c>
      <c r="V65">
        <v>0.57430000000000003</v>
      </c>
      <c r="W65">
        <v>-0.23072000000000001</v>
      </c>
      <c r="X65">
        <v>0.18492</v>
      </c>
      <c r="Y65" s="647">
        <v>0.39806999999999998</v>
      </c>
      <c r="Z65">
        <v>-0.36575000000000002</v>
      </c>
      <c r="AA65">
        <v>0.17322000000000001</v>
      </c>
      <c r="AB65">
        <v>0.24007999999999999</v>
      </c>
      <c r="AC65">
        <v>-0.50556000000000001</v>
      </c>
      <c r="AD65">
        <v>0.63571</v>
      </c>
      <c r="AE65">
        <v>0.63944000000000001</v>
      </c>
      <c r="AF65">
        <v>0.83245999999999998</v>
      </c>
      <c r="AG65">
        <v>-0.74563999999999997</v>
      </c>
      <c r="AI65" s="650">
        <v>0.79032999999999998</v>
      </c>
      <c r="AJ65" s="665">
        <v>1.0052E-5</v>
      </c>
      <c r="AK65" s="665">
        <v>5.3582999999999997E-8</v>
      </c>
      <c r="AL65" s="665">
        <v>1.6032999999999999E-8</v>
      </c>
      <c r="AM65">
        <v>0.98816000000000004</v>
      </c>
      <c r="AN65" s="665">
        <v>8.7819E-9</v>
      </c>
      <c r="AO65" s="665">
        <v>2.4377000000000001E-18</v>
      </c>
      <c r="AP65" s="665">
        <v>1.4352E-8</v>
      </c>
      <c r="AQ65" s="665">
        <v>4.7958000000000003E-18</v>
      </c>
      <c r="AR65" s="665">
        <v>4.3728000000000003E-23</v>
      </c>
      <c r="AS65" s="665">
        <v>9.3719000000000002E-27</v>
      </c>
      <c r="AT65" s="665">
        <v>7.1591999999999996E-25</v>
      </c>
      <c r="AU65" s="665">
        <v>3.7376000000000001E-13</v>
      </c>
      <c r="AV65">
        <v>2.4228000000000001E-3</v>
      </c>
      <c r="AW65" s="665">
        <v>9.0498999999999995E-8</v>
      </c>
    </row>
    <row r="66" spans="9:49" x14ac:dyDescent="0.25">
      <c r="I66" s="653"/>
      <c r="J66" s="648"/>
      <c r="K66" s="648"/>
      <c r="L66" s="653"/>
      <c r="M66" s="654"/>
      <c r="N66" s="653" t="s">
        <v>216</v>
      </c>
      <c r="O66" s="670">
        <v>-0.35636000000000001</v>
      </c>
      <c r="P66">
        <v>-8.4025000000000002E-2</v>
      </c>
      <c r="Q66">
        <v>0.42315999999999998</v>
      </c>
      <c r="R66">
        <v>-0.38346000000000002</v>
      </c>
      <c r="S66">
        <v>-4.6268000000000004E-3</v>
      </c>
      <c r="T66">
        <v>-6.3070000000000001E-2</v>
      </c>
      <c r="U66">
        <v>-3.6478000000000001E-3</v>
      </c>
      <c r="V66">
        <v>-0.12044000000000001</v>
      </c>
      <c r="W66">
        <v>-0.12171999999999999</v>
      </c>
      <c r="X66">
        <v>0.21906</v>
      </c>
      <c r="Y66" s="647">
        <v>-8.1841999999999998E-2</v>
      </c>
      <c r="Z66">
        <v>-0.44001000000000001</v>
      </c>
      <c r="AA66">
        <v>-1.7349E-2</v>
      </c>
      <c r="AB66">
        <v>1.6777E-2</v>
      </c>
      <c r="AC66">
        <v>2.7222E-2</v>
      </c>
      <c r="AD66">
        <v>-0.64049</v>
      </c>
      <c r="AE66">
        <v>-0.63756999999999997</v>
      </c>
      <c r="AF66">
        <v>-0.38249</v>
      </c>
      <c r="AG66">
        <v>0.51105</v>
      </c>
      <c r="AH66">
        <v>4.3395999999999997E-2</v>
      </c>
      <c r="AJ66" s="665">
        <v>2.7978999999999999E-6</v>
      </c>
      <c r="AK66">
        <v>2.6051000000000001E-2</v>
      </c>
      <c r="AL66">
        <v>1.5021E-2</v>
      </c>
      <c r="AM66">
        <v>0.64431000000000005</v>
      </c>
      <c r="AN66">
        <v>2.1746000000000001E-2</v>
      </c>
      <c r="AO66">
        <v>0.29931000000000002</v>
      </c>
      <c r="AP66">
        <v>1.5337999999999999E-2</v>
      </c>
      <c r="AQ66">
        <v>0.28750999999999999</v>
      </c>
      <c r="AR66">
        <v>0.49923000000000001</v>
      </c>
      <c r="AS66">
        <v>0.4965</v>
      </c>
      <c r="AT66">
        <v>0.34161000000000002</v>
      </c>
      <c r="AU66">
        <v>2.3792000000000001E-2</v>
      </c>
      <c r="AV66">
        <v>0.54349999999999998</v>
      </c>
      <c r="AW66">
        <v>3.7881E-3</v>
      </c>
    </row>
    <row r="67" spans="9:49" x14ac:dyDescent="0.25">
      <c r="I67" s="654"/>
      <c r="J67" s="648"/>
      <c r="K67" s="648"/>
      <c r="L67" s="654"/>
      <c r="M67" s="654"/>
      <c r="N67" s="654" t="s">
        <v>217</v>
      </c>
      <c r="O67" s="631">
        <v>0.44438</v>
      </c>
      <c r="P67">
        <v>0.17374999999999999</v>
      </c>
      <c r="Q67">
        <v>-0.35608000000000001</v>
      </c>
      <c r="R67">
        <v>0.52793000000000001</v>
      </c>
      <c r="S67">
        <v>-0.33267000000000002</v>
      </c>
      <c r="T67">
        <v>0.13972999999999999</v>
      </c>
      <c r="U67">
        <v>-0.25091000000000002</v>
      </c>
      <c r="V67">
        <v>-0.27123000000000003</v>
      </c>
      <c r="W67">
        <v>0.25176999999999999</v>
      </c>
      <c r="X67">
        <v>-0.26269999999999999</v>
      </c>
      <c r="Y67" s="647">
        <v>-0.24163999999999999</v>
      </c>
      <c r="Z67">
        <v>0.52188000000000001</v>
      </c>
      <c r="AA67">
        <v>-9.0666999999999998E-2</v>
      </c>
      <c r="AB67">
        <v>-0.22105</v>
      </c>
      <c r="AC67">
        <v>0.45538000000000001</v>
      </c>
      <c r="AD67">
        <v>6.5878000000000006E-2</v>
      </c>
      <c r="AE67">
        <v>6.0739000000000001E-2</v>
      </c>
      <c r="AF67">
        <v>-0.23912</v>
      </c>
      <c r="AG67">
        <v>8.3232E-2</v>
      </c>
      <c r="AH67">
        <v>-0.63663000000000003</v>
      </c>
      <c r="AI67" s="650">
        <v>-0.66547000000000001</v>
      </c>
      <c r="AK67">
        <v>0.29579</v>
      </c>
      <c r="AL67">
        <v>0.29043999999999998</v>
      </c>
      <c r="AM67">
        <v>0.78227999999999998</v>
      </c>
      <c r="AN67">
        <v>0.25158000000000003</v>
      </c>
      <c r="AO67">
        <v>4.9271999999999996E-3</v>
      </c>
      <c r="AP67">
        <v>0.28577000000000002</v>
      </c>
      <c r="AQ67">
        <v>5.3787000000000001E-3</v>
      </c>
      <c r="AR67" s="665">
        <v>1.3757000000000001E-5</v>
      </c>
      <c r="AS67" s="665">
        <v>4.1138000000000003E-6</v>
      </c>
      <c r="AT67" s="665">
        <v>1.049E-6</v>
      </c>
      <c r="AU67" s="665">
        <v>5.5560000000000003E-9</v>
      </c>
      <c r="AV67">
        <v>0.55069000000000001</v>
      </c>
      <c r="AW67">
        <v>0.4279</v>
      </c>
    </row>
    <row r="68" spans="9:49" x14ac:dyDescent="0.25">
      <c r="I68" s="654"/>
      <c r="J68" s="648"/>
      <c r="K68" s="648"/>
      <c r="L68" s="654"/>
      <c r="M68" s="654"/>
      <c r="N68" s="654" t="s">
        <v>252</v>
      </c>
      <c r="O68" s="631">
        <v>5.1325000000000003E-2</v>
      </c>
      <c r="P68">
        <v>0.12188</v>
      </c>
      <c r="Q68">
        <v>0.18368999999999999</v>
      </c>
      <c r="R68">
        <v>6.8029000000000006E-2</v>
      </c>
      <c r="S68">
        <v>-0.50685000000000002</v>
      </c>
      <c r="T68">
        <v>0.16683999999999999</v>
      </c>
      <c r="U68">
        <v>-0.32328000000000001</v>
      </c>
      <c r="V68">
        <v>-0.52783999999999998</v>
      </c>
      <c r="W68">
        <v>7.4940999999999994E-2</v>
      </c>
      <c r="X68">
        <v>0.10319</v>
      </c>
      <c r="Y68" s="647">
        <v>-0.22438</v>
      </c>
      <c r="Z68">
        <v>4.6554999999999999E-2</v>
      </c>
      <c r="AA68">
        <v>-4.4493999999999999E-2</v>
      </c>
      <c r="AB68">
        <v>-0.19752</v>
      </c>
      <c r="AC68">
        <v>0.15858</v>
      </c>
      <c r="AD68" s="669">
        <v>-0.90712999999999999</v>
      </c>
      <c r="AE68" s="669">
        <v>-0.90566000000000002</v>
      </c>
      <c r="AF68" s="669">
        <v>-0.93215000000000003</v>
      </c>
      <c r="AG68" s="668">
        <v>0.94718000000000002</v>
      </c>
      <c r="AH68">
        <v>-0.75166999999999995</v>
      </c>
      <c r="AI68" s="650">
        <v>0.36081000000000002</v>
      </c>
      <c r="AJ68">
        <v>0.17412</v>
      </c>
      <c r="AL68" s="665">
        <v>5.4929000000000003E-31</v>
      </c>
      <c r="AM68">
        <v>0.14338000000000001</v>
      </c>
      <c r="AN68" s="665">
        <v>3.8472999999999997E-37</v>
      </c>
      <c r="AO68" s="665">
        <v>2.1558999999999999E-13</v>
      </c>
      <c r="AP68" s="665">
        <v>5.9957000000000001E-31</v>
      </c>
      <c r="AQ68" s="665">
        <v>1.6721999999999999E-13</v>
      </c>
      <c r="AR68" s="665">
        <v>2.0331000000000001E-6</v>
      </c>
      <c r="AS68" s="665">
        <v>1.5548999999999999E-6</v>
      </c>
      <c r="AT68" s="665">
        <v>3.9249000000000003E-6</v>
      </c>
      <c r="AU68">
        <v>1.1134E-2</v>
      </c>
      <c r="AV68" s="665">
        <v>2.4956999999999998E-7</v>
      </c>
      <c r="AW68" s="665">
        <v>8.8717999999999993E-18</v>
      </c>
    </row>
    <row r="69" spans="9:49" x14ac:dyDescent="0.25">
      <c r="I69" s="654"/>
      <c r="J69" s="648"/>
      <c r="K69" s="648"/>
      <c r="L69" s="654"/>
      <c r="M69" s="654"/>
      <c r="N69" s="654" t="s">
        <v>263</v>
      </c>
      <c r="O69" s="631">
        <v>5.3893000000000003E-2</v>
      </c>
      <c r="P69">
        <v>0.10291</v>
      </c>
      <c r="Q69">
        <v>0.20191999999999999</v>
      </c>
      <c r="R69">
        <v>6.0516E-2</v>
      </c>
      <c r="S69">
        <v>-0.50541999999999998</v>
      </c>
      <c r="T69">
        <v>0.15905</v>
      </c>
      <c r="U69">
        <v>-0.32673000000000002</v>
      </c>
      <c r="V69">
        <v>-0.54168000000000005</v>
      </c>
      <c r="W69">
        <v>6.028E-2</v>
      </c>
      <c r="X69">
        <v>8.9368000000000003E-2</v>
      </c>
      <c r="Y69" s="647">
        <v>-0.22819999999999999</v>
      </c>
      <c r="Z69">
        <v>7.3221999999999995E-2</v>
      </c>
      <c r="AA69">
        <v>-3.8276999999999999E-2</v>
      </c>
      <c r="AB69">
        <v>-0.18853</v>
      </c>
      <c r="AC69">
        <v>0.16800000000000001</v>
      </c>
      <c r="AD69" s="669">
        <v>-0.92827999999999999</v>
      </c>
      <c r="AE69" s="669">
        <v>-0.92703999999999998</v>
      </c>
      <c r="AF69" s="669">
        <v>-0.95874000000000004</v>
      </c>
      <c r="AG69" s="668">
        <v>0.96811000000000003</v>
      </c>
      <c r="AH69">
        <v>-0.76988000000000001</v>
      </c>
      <c r="AI69" s="650">
        <v>0.39167999999999997</v>
      </c>
      <c r="AJ69">
        <v>0.17602999999999999</v>
      </c>
      <c r="AK69" s="668">
        <v>0.98828000000000005</v>
      </c>
      <c r="AM69">
        <v>0.18812999999999999</v>
      </c>
      <c r="AN69" s="665">
        <v>1.4730000000000001E-46</v>
      </c>
      <c r="AO69" s="665">
        <v>4.8872999999999996E-16</v>
      </c>
      <c r="AP69" s="665">
        <v>2.2453999999999999E-94</v>
      </c>
      <c r="AQ69" s="665">
        <v>3.2012000000000001E-16</v>
      </c>
      <c r="AR69" s="665">
        <v>6.3351999999999997E-7</v>
      </c>
      <c r="AS69" s="665">
        <v>4.9312999999999997E-7</v>
      </c>
      <c r="AT69" s="665">
        <v>1.5015999999999999E-6</v>
      </c>
      <c r="AU69">
        <v>9.3182999999999998E-3</v>
      </c>
      <c r="AV69" s="665">
        <v>3.6103999999999999E-5</v>
      </c>
      <c r="AW69" s="665">
        <v>7.6772000000000004E-26</v>
      </c>
    </row>
    <row r="70" spans="9:49" x14ac:dyDescent="0.25">
      <c r="I70" s="654"/>
      <c r="J70" s="648"/>
      <c r="K70" s="648"/>
      <c r="L70" s="654"/>
      <c r="M70" s="654"/>
      <c r="N70" s="654" t="s">
        <v>253</v>
      </c>
      <c r="O70" s="631">
        <v>-7.9739000000000004E-2</v>
      </c>
      <c r="P70">
        <v>0.28744999999999998</v>
      </c>
      <c r="Q70">
        <v>-4.3632999999999998E-2</v>
      </c>
      <c r="R70">
        <v>-6.6392999999999994E-2</v>
      </c>
      <c r="S70">
        <v>-0.13791999999999999</v>
      </c>
      <c r="T70">
        <v>7.7954999999999997E-2</v>
      </c>
      <c r="U70">
        <v>-4.7182000000000002E-2</v>
      </c>
      <c r="V70">
        <v>-6.9584999999999994E-2</v>
      </c>
      <c r="W70">
        <v>-2.9679000000000001E-2</v>
      </c>
      <c r="X70">
        <v>0.26577000000000001</v>
      </c>
      <c r="Y70" s="647">
        <v>0.14882000000000001</v>
      </c>
      <c r="Z70">
        <v>-0.27411999999999997</v>
      </c>
      <c r="AA70">
        <v>0.20150000000000001</v>
      </c>
      <c r="AB70">
        <v>-0.12095</v>
      </c>
      <c r="AC70">
        <v>-0.36587999999999998</v>
      </c>
      <c r="AD70">
        <v>-0.20902000000000001</v>
      </c>
      <c r="AE70">
        <v>-0.20649000000000001</v>
      </c>
      <c r="AF70">
        <v>-0.20660000000000001</v>
      </c>
      <c r="AG70">
        <v>0.21023</v>
      </c>
      <c r="AH70">
        <v>-2.6443E-3</v>
      </c>
      <c r="AI70" s="650">
        <v>8.2114000000000006E-2</v>
      </c>
      <c r="AJ70">
        <v>-4.9204999999999999E-2</v>
      </c>
      <c r="AK70">
        <v>0.25633</v>
      </c>
      <c r="AL70">
        <v>0.23129</v>
      </c>
      <c r="AN70">
        <v>0.18553</v>
      </c>
      <c r="AO70">
        <v>0.49420999999999998</v>
      </c>
      <c r="AP70">
        <v>0.18973000000000001</v>
      </c>
      <c r="AQ70">
        <v>0.48579</v>
      </c>
      <c r="AR70">
        <v>0.68966000000000005</v>
      </c>
      <c r="AS70">
        <v>0.85585999999999995</v>
      </c>
      <c r="AT70">
        <v>0.84409000000000001</v>
      </c>
      <c r="AU70">
        <v>0.64320999999999995</v>
      </c>
      <c r="AV70">
        <v>0.23505000000000001</v>
      </c>
      <c r="AW70">
        <v>0.22078999999999999</v>
      </c>
    </row>
    <row r="71" spans="9:49" x14ac:dyDescent="0.25">
      <c r="I71" s="654"/>
      <c r="J71" s="648"/>
      <c r="K71" s="648"/>
      <c r="L71" s="654"/>
      <c r="M71" s="654"/>
      <c r="N71" s="654" t="s">
        <v>254</v>
      </c>
      <c r="O71" s="631">
        <v>6.0835E-2</v>
      </c>
      <c r="P71">
        <v>0.11488</v>
      </c>
      <c r="Q71">
        <v>0.19241</v>
      </c>
      <c r="R71">
        <v>7.2806999999999997E-2</v>
      </c>
      <c r="S71">
        <v>-0.51217000000000001</v>
      </c>
      <c r="T71">
        <v>0.16428000000000001</v>
      </c>
      <c r="U71">
        <v>-0.33105000000000001</v>
      </c>
      <c r="V71">
        <v>-0.54230999999999996</v>
      </c>
      <c r="W71">
        <v>7.2523000000000004E-2</v>
      </c>
      <c r="X71">
        <v>8.4588999999999998E-2</v>
      </c>
      <c r="Y71" s="647">
        <v>-0.23493</v>
      </c>
      <c r="Z71">
        <v>7.2855000000000003E-2</v>
      </c>
      <c r="AA71">
        <v>-4.5881999999999999E-2</v>
      </c>
      <c r="AB71">
        <v>-0.19363</v>
      </c>
      <c r="AC71">
        <v>0.18007999999999999</v>
      </c>
      <c r="AD71">
        <v>-0.92040999999999995</v>
      </c>
      <c r="AE71" s="669">
        <v>-0.91925999999999997</v>
      </c>
      <c r="AF71" s="669">
        <v>-0.95408000000000004</v>
      </c>
      <c r="AG71" s="668">
        <v>0.96286000000000005</v>
      </c>
      <c r="AH71">
        <v>-0.77839000000000003</v>
      </c>
      <c r="AI71" s="650">
        <v>0.37125000000000002</v>
      </c>
      <c r="AJ71">
        <v>0.19064999999999999</v>
      </c>
      <c r="AK71" s="668">
        <v>0.99468000000000001</v>
      </c>
      <c r="AL71" s="668">
        <v>0.99841000000000002</v>
      </c>
      <c r="AM71">
        <v>0.23261999999999999</v>
      </c>
      <c r="AO71" s="665">
        <v>8.7675E-16</v>
      </c>
      <c r="AP71" s="665">
        <v>1.0375000000000001E-46</v>
      </c>
      <c r="AQ71" s="665">
        <v>6.0915000000000005E-16</v>
      </c>
      <c r="AR71" s="665">
        <v>4.4886000000000001E-7</v>
      </c>
      <c r="AS71" s="665">
        <v>3.3409E-7</v>
      </c>
      <c r="AT71" s="665">
        <v>9.9919000000000004E-7</v>
      </c>
      <c r="AU71">
        <v>6.7971000000000004E-3</v>
      </c>
      <c r="AV71" s="665">
        <v>6.9589000000000004E-6</v>
      </c>
      <c r="AW71" s="665">
        <v>2.4001999999999999E-22</v>
      </c>
    </row>
    <row r="72" spans="9:49" x14ac:dyDescent="0.25">
      <c r="I72" s="654"/>
      <c r="J72" s="648"/>
      <c r="K72" s="648"/>
      <c r="L72" s="654"/>
      <c r="M72" s="654"/>
      <c r="N72" s="654" t="s">
        <v>255</v>
      </c>
      <c r="O72" s="631">
        <v>0.19073000000000001</v>
      </c>
      <c r="P72">
        <v>0.14903</v>
      </c>
      <c r="Q72">
        <v>0.11094</v>
      </c>
      <c r="R72">
        <v>0.22175</v>
      </c>
      <c r="S72">
        <v>-0.55661000000000005</v>
      </c>
      <c r="T72">
        <v>0.18820000000000001</v>
      </c>
      <c r="U72">
        <v>-0.37408000000000002</v>
      </c>
      <c r="V72">
        <v>-0.59003000000000005</v>
      </c>
      <c r="W72">
        <v>0.15964999999999999</v>
      </c>
      <c r="X72">
        <v>-5.1196999999999999E-2</v>
      </c>
      <c r="Y72" s="647">
        <v>-0.31558000000000003</v>
      </c>
      <c r="Z72">
        <v>0.26017000000000001</v>
      </c>
      <c r="AA72">
        <v>-8.4828000000000001E-2</v>
      </c>
      <c r="AB72">
        <v>-0.20766999999999999</v>
      </c>
      <c r="AC72">
        <v>0.34466000000000002</v>
      </c>
      <c r="AD72">
        <v>-0.81618999999999997</v>
      </c>
      <c r="AE72">
        <v>-0.81779999999999997</v>
      </c>
      <c r="AF72" s="669">
        <v>-0.95716999999999997</v>
      </c>
      <c r="AG72" s="668">
        <v>0.90578000000000003</v>
      </c>
      <c r="AH72" s="669">
        <v>-0.93957000000000002</v>
      </c>
      <c r="AI72" s="650">
        <v>0.17287</v>
      </c>
      <c r="AJ72">
        <v>0.44674999999999998</v>
      </c>
      <c r="AK72" s="668">
        <v>0.88319999999999999</v>
      </c>
      <c r="AL72" s="668">
        <v>0.91807000000000005</v>
      </c>
      <c r="AM72">
        <v>0.12135</v>
      </c>
      <c r="AN72" s="668">
        <v>0.91525999999999996</v>
      </c>
      <c r="AP72" s="665">
        <v>4.0353000000000002E-16</v>
      </c>
      <c r="AQ72" s="665">
        <v>3.0439E-79</v>
      </c>
      <c r="AR72" s="665">
        <v>2.0342999999999999E-15</v>
      </c>
      <c r="AS72" s="665">
        <v>2.0155999999999999E-16</v>
      </c>
      <c r="AT72" s="665">
        <v>3.3956999999999999E-15</v>
      </c>
      <c r="AU72" s="665">
        <v>4.1923999999999999E-7</v>
      </c>
      <c r="AV72">
        <v>2.9074000000000001E-3</v>
      </c>
      <c r="AW72" s="665">
        <v>5.0601999999999999E-16</v>
      </c>
    </row>
    <row r="73" spans="9:49" x14ac:dyDescent="0.25">
      <c r="I73" s="654"/>
      <c r="J73" s="648"/>
      <c r="K73" s="648"/>
      <c r="L73" s="654"/>
      <c r="M73" s="654"/>
      <c r="N73" s="654" t="s">
        <v>256</v>
      </c>
      <c r="O73" s="631">
        <v>5.4797999999999999E-2</v>
      </c>
      <c r="P73">
        <v>0.10349999999999999</v>
      </c>
      <c r="Q73">
        <v>0.2016</v>
      </c>
      <c r="R73">
        <v>6.1608999999999997E-2</v>
      </c>
      <c r="S73">
        <v>-0.50600999999999996</v>
      </c>
      <c r="T73">
        <v>0.15925</v>
      </c>
      <c r="U73">
        <v>-0.32733000000000001</v>
      </c>
      <c r="V73">
        <v>-0.54224000000000006</v>
      </c>
      <c r="W73">
        <v>6.1223E-2</v>
      </c>
      <c r="X73">
        <v>8.8289999999999993E-2</v>
      </c>
      <c r="Y73" s="647">
        <v>-0.22914000000000001</v>
      </c>
      <c r="Z73">
        <v>7.4325000000000002E-2</v>
      </c>
      <c r="AA73">
        <v>-3.8921999999999998E-2</v>
      </c>
      <c r="AB73">
        <v>-0.18865000000000001</v>
      </c>
      <c r="AC73">
        <v>0.16966999999999999</v>
      </c>
      <c r="AD73" s="669">
        <v>-0.92803999999999998</v>
      </c>
      <c r="AE73" s="669">
        <v>-0.92681999999999998</v>
      </c>
      <c r="AF73" s="669">
        <v>-0.95911000000000002</v>
      </c>
      <c r="AG73" s="668">
        <v>0.96818000000000004</v>
      </c>
      <c r="AH73">
        <v>-0.77146999999999999</v>
      </c>
      <c r="AI73" s="650">
        <v>0.39056000000000002</v>
      </c>
      <c r="AJ73">
        <v>0.17771999999999999</v>
      </c>
      <c r="AK73" s="668">
        <v>0.98821999999999999</v>
      </c>
      <c r="AL73" s="668">
        <v>1</v>
      </c>
      <c r="AM73">
        <v>0.23047999999999999</v>
      </c>
      <c r="AN73" s="668">
        <v>0.99843999999999999</v>
      </c>
      <c r="AO73" s="668">
        <v>0.91896999999999995</v>
      </c>
      <c r="AQ73" s="665">
        <v>2.6390000000000001E-16</v>
      </c>
      <c r="AR73" s="665">
        <v>5.7980000000000004E-7</v>
      </c>
      <c r="AS73" s="665">
        <v>4.5144999999999998E-7</v>
      </c>
      <c r="AT73" s="665">
        <v>1.3829999999999999E-6</v>
      </c>
      <c r="AU73">
        <v>8.9263999999999993E-3</v>
      </c>
      <c r="AV73" s="665">
        <v>3.6103000000000003E-5</v>
      </c>
      <c r="AW73" s="665">
        <v>7.7623999999999996E-26</v>
      </c>
    </row>
    <row r="74" spans="9:49" x14ac:dyDescent="0.25">
      <c r="I74" s="654"/>
      <c r="J74" s="648"/>
      <c r="K74" s="648"/>
      <c r="L74" s="654"/>
      <c r="M74" s="654"/>
      <c r="N74" s="654" t="s">
        <v>257</v>
      </c>
      <c r="O74" s="631">
        <v>0.18848999999999999</v>
      </c>
      <c r="P74">
        <v>0.14779</v>
      </c>
      <c r="Q74">
        <v>0.11273</v>
      </c>
      <c r="R74">
        <v>0.21887000000000001</v>
      </c>
      <c r="S74">
        <v>-0.55567</v>
      </c>
      <c r="T74">
        <v>0.18765000000000001</v>
      </c>
      <c r="U74">
        <v>-0.37340000000000001</v>
      </c>
      <c r="V74">
        <v>-0.58972999999999998</v>
      </c>
      <c r="W74">
        <v>0.15775</v>
      </c>
      <c r="X74">
        <v>-4.8776E-2</v>
      </c>
      <c r="Y74" s="647">
        <v>-0.31379000000000001</v>
      </c>
      <c r="Z74">
        <v>0.25796000000000002</v>
      </c>
      <c r="AA74">
        <v>-8.3081000000000002E-2</v>
      </c>
      <c r="AB74">
        <v>-0.20723</v>
      </c>
      <c r="AC74">
        <v>0.34100999999999998</v>
      </c>
      <c r="AD74">
        <v>-0.81886000000000003</v>
      </c>
      <c r="AE74">
        <v>-0.82042000000000004</v>
      </c>
      <c r="AF74" s="669">
        <v>-0.95838000000000001</v>
      </c>
      <c r="AG74" s="668">
        <v>0.90773999999999999</v>
      </c>
      <c r="AH74" s="669">
        <v>-0.93718999999999997</v>
      </c>
      <c r="AI74" s="650">
        <v>0.17709</v>
      </c>
      <c r="AJ74">
        <v>0.44272</v>
      </c>
      <c r="AK74" s="668">
        <v>0.88492999999999999</v>
      </c>
      <c r="AL74" s="668">
        <v>0.92005000000000003</v>
      </c>
      <c r="AM74">
        <v>0.1237</v>
      </c>
      <c r="AN74" s="668">
        <v>0.91701999999999995</v>
      </c>
      <c r="AO74" s="668">
        <v>0.99997999999999998</v>
      </c>
      <c r="AP74" s="668">
        <v>0.92093999999999998</v>
      </c>
      <c r="AR74" s="665">
        <v>3.1917000000000002E-15</v>
      </c>
      <c r="AS74" s="665">
        <v>3.3963999999999998E-16</v>
      </c>
      <c r="AT74" s="665">
        <v>5.4352999999999998E-15</v>
      </c>
      <c r="AU74" s="665">
        <v>5.2862000000000003E-7</v>
      </c>
      <c r="AV74">
        <v>2.9394E-3</v>
      </c>
      <c r="AW74" s="665">
        <v>2.9955999999999998E-16</v>
      </c>
    </row>
    <row r="75" spans="9:49" x14ac:dyDescent="0.25">
      <c r="I75" s="654"/>
      <c r="J75" s="648"/>
      <c r="K75" s="648"/>
      <c r="L75" s="654"/>
      <c r="M75" s="654"/>
      <c r="N75" s="654" t="s">
        <v>258</v>
      </c>
      <c r="O75" s="631">
        <v>0.29186000000000001</v>
      </c>
      <c r="P75">
        <v>0.19472999999999999</v>
      </c>
      <c r="Q75">
        <v>-6.5684999999999997E-3</v>
      </c>
      <c r="R75">
        <v>0.35576000000000002</v>
      </c>
      <c r="S75">
        <v>-0.54457999999999995</v>
      </c>
      <c r="T75">
        <v>0.20427000000000001</v>
      </c>
      <c r="U75">
        <v>-0.37423000000000001</v>
      </c>
      <c r="V75">
        <v>-0.55132999999999999</v>
      </c>
      <c r="W75">
        <v>0.24598</v>
      </c>
      <c r="X75">
        <v>-0.16147</v>
      </c>
      <c r="Y75" s="647">
        <v>-0.36014000000000002</v>
      </c>
      <c r="Z75">
        <v>0.36614000000000002</v>
      </c>
      <c r="AA75">
        <v>-0.14398</v>
      </c>
      <c r="AB75">
        <v>-0.21337</v>
      </c>
      <c r="AC75">
        <v>0.44808999999999999</v>
      </c>
      <c r="AD75">
        <v>-0.58962999999999999</v>
      </c>
      <c r="AE75">
        <v>-0.59365999999999997</v>
      </c>
      <c r="AF75">
        <v>-0.80425999999999997</v>
      </c>
      <c r="AG75">
        <v>0.71452000000000004</v>
      </c>
      <c r="AH75" s="669">
        <v>-0.96748999999999996</v>
      </c>
      <c r="AI75" s="650">
        <v>-0.11304</v>
      </c>
      <c r="AJ75">
        <v>0.64234999999999998</v>
      </c>
      <c r="AK75">
        <v>0.68564000000000003</v>
      </c>
      <c r="AL75">
        <v>0.70887</v>
      </c>
      <c r="AM75">
        <v>7.1053000000000005E-2</v>
      </c>
      <c r="AN75">
        <v>0.71533999999999998</v>
      </c>
      <c r="AO75" s="668">
        <v>0.91103000000000001</v>
      </c>
      <c r="AP75">
        <v>0.71055000000000001</v>
      </c>
      <c r="AQ75" s="668">
        <v>0.90866999999999998</v>
      </c>
      <c r="AS75" s="665">
        <v>1.0024999999999999E-27</v>
      </c>
      <c r="AT75" s="665">
        <v>5.8682000000000002E-27</v>
      </c>
      <c r="AU75" s="665">
        <v>4.0616000000000004E-15</v>
      </c>
      <c r="AV75">
        <v>1.2331E-2</v>
      </c>
      <c r="AW75" s="665">
        <v>1.3383E-6</v>
      </c>
    </row>
    <row r="76" spans="9:49" x14ac:dyDescent="0.25">
      <c r="I76" s="654"/>
      <c r="J76" s="648"/>
      <c r="K76" s="648"/>
      <c r="L76" s="654"/>
      <c r="M76" s="654"/>
      <c r="N76" s="654" t="s">
        <v>259</v>
      </c>
      <c r="O76" s="631">
        <v>0.30625000000000002</v>
      </c>
      <c r="P76">
        <v>0.20541000000000001</v>
      </c>
      <c r="Q76">
        <v>-2.1256000000000001E-2</v>
      </c>
      <c r="R76">
        <v>0.37154999999999999</v>
      </c>
      <c r="S76">
        <v>-0.54693999999999998</v>
      </c>
      <c r="T76">
        <v>0.20794000000000001</v>
      </c>
      <c r="U76">
        <v>-0.37525999999999998</v>
      </c>
      <c r="V76">
        <v>-0.55471000000000004</v>
      </c>
      <c r="W76">
        <v>0.26373000000000002</v>
      </c>
      <c r="X76">
        <v>-0.16949</v>
      </c>
      <c r="Y76" s="647">
        <v>-0.36426999999999998</v>
      </c>
      <c r="Z76">
        <v>0.38817000000000002</v>
      </c>
      <c r="AA76">
        <v>-0.13028999999999999</v>
      </c>
      <c r="AB76">
        <v>-0.21759000000000001</v>
      </c>
      <c r="AC76">
        <v>0.46904000000000001</v>
      </c>
      <c r="AD76">
        <v>-0.57974000000000003</v>
      </c>
      <c r="AE76">
        <v>-0.58377000000000001</v>
      </c>
      <c r="AF76">
        <v>-0.81059999999999999</v>
      </c>
      <c r="AG76">
        <v>0.71036999999999995</v>
      </c>
      <c r="AH76">
        <v>-0.97977999999999998</v>
      </c>
      <c r="AI76" s="650">
        <v>-0.11375</v>
      </c>
      <c r="AJ76">
        <v>0.67047999999999996</v>
      </c>
      <c r="AK76">
        <v>0.69116999999999995</v>
      </c>
      <c r="AL76">
        <v>0.71358999999999995</v>
      </c>
      <c r="AM76">
        <v>3.2354000000000001E-2</v>
      </c>
      <c r="AN76">
        <v>0.72075</v>
      </c>
      <c r="AO76" s="668">
        <v>0.92215000000000003</v>
      </c>
      <c r="AP76">
        <v>0.71523000000000003</v>
      </c>
      <c r="AQ76" s="668">
        <v>0.91978000000000004</v>
      </c>
      <c r="AR76" s="668">
        <v>0.98216000000000003</v>
      </c>
      <c r="AT76" s="665">
        <v>1.2893E-48</v>
      </c>
      <c r="AU76" s="665">
        <v>3.1584999999999999E-17</v>
      </c>
      <c r="AV76">
        <v>9.8858999999999995E-3</v>
      </c>
      <c r="AW76" s="665">
        <v>1.3057000000000001E-6</v>
      </c>
    </row>
    <row r="77" spans="9:49" x14ac:dyDescent="0.25">
      <c r="I77" s="654"/>
      <c r="J77" s="648"/>
      <c r="K77" s="648"/>
      <c r="L77" s="583"/>
      <c r="M77" s="654"/>
      <c r="N77" s="583" t="s">
        <v>260</v>
      </c>
      <c r="O77" s="631">
        <v>0.32538</v>
      </c>
      <c r="P77">
        <v>0.21176</v>
      </c>
      <c r="Q77">
        <v>-4.1585999999999998E-2</v>
      </c>
      <c r="R77">
        <v>0.39201000000000003</v>
      </c>
      <c r="S77">
        <v>-0.54308999999999996</v>
      </c>
      <c r="T77">
        <v>0.21007000000000001</v>
      </c>
      <c r="U77">
        <v>-0.37561</v>
      </c>
      <c r="V77">
        <v>-0.54635999999999996</v>
      </c>
      <c r="W77">
        <v>0.26828000000000002</v>
      </c>
      <c r="X77">
        <v>-0.17921999999999999</v>
      </c>
      <c r="Y77" s="647">
        <v>-0.36263000000000001</v>
      </c>
      <c r="Z77">
        <v>0.40289000000000003</v>
      </c>
      <c r="AA77">
        <v>-0.12911</v>
      </c>
      <c r="AB77">
        <v>-0.22228999999999999</v>
      </c>
      <c r="AC77">
        <v>0.46128000000000002</v>
      </c>
      <c r="AD77">
        <v>-0.54734000000000005</v>
      </c>
      <c r="AE77">
        <v>-0.55152999999999996</v>
      </c>
      <c r="AF77">
        <v>-0.78920000000000001</v>
      </c>
      <c r="AG77">
        <v>0.68284</v>
      </c>
      <c r="AH77" s="669">
        <v>-0.97421000000000002</v>
      </c>
      <c r="AI77" s="650">
        <v>-0.15859000000000001</v>
      </c>
      <c r="AJ77">
        <v>0.69908999999999999</v>
      </c>
      <c r="AK77">
        <v>0.67152000000000001</v>
      </c>
      <c r="AL77">
        <v>0.69188000000000005</v>
      </c>
      <c r="AM77">
        <v>3.5027000000000003E-2</v>
      </c>
      <c r="AN77">
        <v>0.70004999999999995</v>
      </c>
      <c r="AO77" s="668">
        <v>0.90834000000000004</v>
      </c>
      <c r="AP77">
        <v>0.69355999999999995</v>
      </c>
      <c r="AQ77" s="668">
        <v>0.90580000000000005</v>
      </c>
      <c r="AR77" s="668">
        <v>0.98031000000000001</v>
      </c>
      <c r="AS77" s="668">
        <v>0.99878</v>
      </c>
      <c r="AU77" s="665">
        <v>1.7188000000000001E-18</v>
      </c>
      <c r="AV77">
        <v>1.0824E-2</v>
      </c>
      <c r="AW77" s="665">
        <v>4.3147000000000004E-6</v>
      </c>
    </row>
    <row r="78" spans="9:49" x14ac:dyDescent="0.25">
      <c r="I78" s="654"/>
      <c r="J78" s="648"/>
      <c r="K78" s="648"/>
      <c r="L78" s="583"/>
      <c r="M78" s="654"/>
      <c r="N78" s="583" t="s">
        <v>261</v>
      </c>
      <c r="O78" s="631">
        <v>0.37448999999999999</v>
      </c>
      <c r="P78">
        <v>0.23680000000000001</v>
      </c>
      <c r="Q78">
        <v>-0.13696</v>
      </c>
      <c r="R78">
        <v>0.46123999999999998</v>
      </c>
      <c r="S78">
        <v>-0.45358999999999999</v>
      </c>
      <c r="T78">
        <v>0.19298999999999999</v>
      </c>
      <c r="U78">
        <v>-0.32752999999999999</v>
      </c>
      <c r="V78">
        <v>-0.43896000000000002</v>
      </c>
      <c r="W78">
        <v>0.32806000000000002</v>
      </c>
      <c r="X78">
        <v>-0.27949000000000002</v>
      </c>
      <c r="Y78" s="647">
        <v>-0.36908000000000002</v>
      </c>
      <c r="Z78">
        <v>0.45768999999999999</v>
      </c>
      <c r="AA78">
        <v>-0.16511000000000001</v>
      </c>
      <c r="AB78">
        <v>-0.19022</v>
      </c>
      <c r="AC78">
        <v>0.54269000000000001</v>
      </c>
      <c r="AD78">
        <v>-0.27057999999999999</v>
      </c>
      <c r="AE78">
        <v>-0.27660000000000001</v>
      </c>
      <c r="AF78">
        <v>-0.54990000000000006</v>
      </c>
      <c r="AG78">
        <v>0.41858000000000001</v>
      </c>
      <c r="AH78">
        <v>-0.87936000000000003</v>
      </c>
      <c r="AI78" s="650">
        <v>-0.36609000000000003</v>
      </c>
      <c r="AJ78">
        <v>0.78461999999999998</v>
      </c>
      <c r="AK78">
        <v>0.40736</v>
      </c>
      <c r="AL78">
        <v>0.41636000000000001</v>
      </c>
      <c r="AM78">
        <v>-8.2388000000000003E-2</v>
      </c>
      <c r="AN78">
        <v>0.43174000000000001</v>
      </c>
      <c r="AO78">
        <v>0.71660000000000001</v>
      </c>
      <c r="AP78">
        <v>0.41849999999999998</v>
      </c>
      <c r="AQ78">
        <v>0.71228999999999998</v>
      </c>
      <c r="AR78" s="668">
        <v>0.90739000000000003</v>
      </c>
      <c r="AS78" s="668">
        <v>0.93003000000000002</v>
      </c>
      <c r="AT78" s="668">
        <v>0.94077</v>
      </c>
      <c r="AV78">
        <v>6.9103999999999999E-2</v>
      </c>
      <c r="AW78">
        <v>1.7698999999999999E-2</v>
      </c>
    </row>
    <row r="79" spans="9:49" x14ac:dyDescent="0.25">
      <c r="I79" s="654"/>
      <c r="J79" s="648"/>
      <c r="K79" s="648"/>
      <c r="L79" s="654"/>
      <c r="M79" s="654"/>
      <c r="N79" s="654" t="s">
        <v>264</v>
      </c>
      <c r="O79" s="631">
        <v>6.1143000000000003E-2</v>
      </c>
      <c r="P79">
        <v>0.20956</v>
      </c>
      <c r="Q79">
        <v>5.0344E-2</v>
      </c>
      <c r="R79">
        <v>0.11</v>
      </c>
      <c r="S79">
        <v>-0.34084999999999999</v>
      </c>
      <c r="T79">
        <v>0.13905000000000001</v>
      </c>
      <c r="U79">
        <v>-0.24295</v>
      </c>
      <c r="V79">
        <v>-0.33102999999999999</v>
      </c>
      <c r="W79">
        <v>0.16891999999999999</v>
      </c>
      <c r="X79">
        <v>3.7961000000000002E-2</v>
      </c>
      <c r="Y79" s="647">
        <v>-0.21198</v>
      </c>
      <c r="Z79">
        <v>-4.5515E-2</v>
      </c>
      <c r="AA79">
        <v>-0.11622</v>
      </c>
      <c r="AB79">
        <v>-0.18623999999999999</v>
      </c>
      <c r="AC79">
        <v>0.11591</v>
      </c>
      <c r="AD79">
        <v>-0.52161000000000002</v>
      </c>
      <c r="AE79">
        <v>-0.52093999999999996</v>
      </c>
      <c r="AF79">
        <v>-0.51551999999999998</v>
      </c>
      <c r="AG79">
        <v>0.54644999999999999</v>
      </c>
      <c r="AH79">
        <v>-0.47766999999999998</v>
      </c>
      <c r="AI79" s="650">
        <v>0.1017</v>
      </c>
      <c r="AJ79">
        <v>9.9897E-2</v>
      </c>
      <c r="AK79">
        <v>0.72597</v>
      </c>
      <c r="AL79">
        <v>0.61763000000000001</v>
      </c>
      <c r="AM79">
        <v>0.20921000000000001</v>
      </c>
      <c r="AN79">
        <v>0.65859000000000001</v>
      </c>
      <c r="AO79">
        <v>0.47</v>
      </c>
      <c r="AP79">
        <v>0.61763999999999997</v>
      </c>
      <c r="AQ79">
        <v>0.46953</v>
      </c>
      <c r="AR79">
        <v>0.40210000000000001</v>
      </c>
      <c r="AS79">
        <v>0.41339999999999999</v>
      </c>
      <c r="AT79">
        <v>0.40881000000000001</v>
      </c>
      <c r="AU79">
        <v>0.29809000000000002</v>
      </c>
      <c r="AW79">
        <v>5.2443999999999998E-3</v>
      </c>
    </row>
    <row r="80" spans="9:49" x14ac:dyDescent="0.25">
      <c r="I80" s="654"/>
      <c r="J80" s="648"/>
      <c r="K80" s="648"/>
      <c r="L80" s="583"/>
      <c r="M80" s="654"/>
      <c r="N80" s="583" t="s">
        <v>262</v>
      </c>
      <c r="O80" s="631">
        <v>3.3028000000000002E-2</v>
      </c>
      <c r="P80">
        <v>6.3107999999999997E-2</v>
      </c>
      <c r="Q80">
        <v>0.23164999999999999</v>
      </c>
      <c r="R80">
        <v>2.5163000000000001E-2</v>
      </c>
      <c r="S80">
        <v>-0.47958000000000001</v>
      </c>
      <c r="T80">
        <v>0.13921</v>
      </c>
      <c r="U80">
        <v>-0.30854999999999999</v>
      </c>
      <c r="V80">
        <v>-0.53522000000000003</v>
      </c>
      <c r="W80">
        <v>2.7637999999999999E-2</v>
      </c>
      <c r="X80">
        <v>9.6879000000000007E-2</v>
      </c>
      <c r="Y80" s="647">
        <v>-0.21496000000000001</v>
      </c>
      <c r="Z80">
        <v>7.9283999999999993E-2</v>
      </c>
      <c r="AA80">
        <v>-2.1566999999999999E-2</v>
      </c>
      <c r="AB80">
        <v>-0.16919000000000001</v>
      </c>
      <c r="AC80">
        <v>0.14860000000000001</v>
      </c>
      <c r="AD80" s="669">
        <v>-0.93713999999999997</v>
      </c>
      <c r="AE80" s="669">
        <v>-0.93589</v>
      </c>
      <c r="AF80" s="669">
        <v>-0.96225000000000005</v>
      </c>
      <c r="AG80" s="668">
        <v>0.96989000000000003</v>
      </c>
      <c r="AH80">
        <v>-0.74324000000000001</v>
      </c>
      <c r="AI80" s="650">
        <v>0.45852999999999999</v>
      </c>
      <c r="AJ80">
        <v>0.13245999999999999</v>
      </c>
      <c r="AK80" s="668">
        <v>0.93493999999999999</v>
      </c>
      <c r="AL80" s="668">
        <v>0.97724999999999995</v>
      </c>
      <c r="AM80">
        <v>0.21557000000000001</v>
      </c>
      <c r="AN80" s="668">
        <v>0.96421000000000001</v>
      </c>
      <c r="AO80" s="668">
        <v>0.91791</v>
      </c>
      <c r="AP80" s="668">
        <v>0.97724</v>
      </c>
      <c r="AQ80" s="668">
        <v>0.92035999999999996</v>
      </c>
      <c r="AR80">
        <v>0.69421999999999995</v>
      </c>
      <c r="AS80">
        <v>0.69472</v>
      </c>
      <c r="AT80">
        <v>0.66942999999999997</v>
      </c>
      <c r="AU80">
        <v>0.38277</v>
      </c>
      <c r="AV80">
        <v>0.44389000000000001</v>
      </c>
    </row>
    <row r="81" spans="9:15" x14ac:dyDescent="0.25">
      <c r="I81" s="654"/>
      <c r="J81" s="648"/>
      <c r="K81" s="648"/>
      <c r="L81" s="654"/>
      <c r="M81" s="654"/>
      <c r="N81" s="583"/>
      <c r="O81" s="655"/>
    </row>
    <row r="82" spans="9:15" x14ac:dyDescent="0.25">
      <c r="I82" s="654"/>
      <c r="J82" s="648"/>
      <c r="K82" s="648"/>
      <c r="L82" s="654"/>
      <c r="M82" s="654"/>
      <c r="N82" s="654"/>
      <c r="O82" s="655"/>
    </row>
    <row r="83" spans="9:15" x14ac:dyDescent="0.25">
      <c r="I83" s="654"/>
      <c r="J83" s="648"/>
      <c r="K83" s="648"/>
      <c r="L83" s="654"/>
      <c r="M83" s="654"/>
      <c r="N83" s="654"/>
      <c r="O83" s="655"/>
    </row>
    <row r="84" spans="9:15" x14ac:dyDescent="0.25">
      <c r="I84" s="654"/>
      <c r="J84" s="648"/>
      <c r="K84" s="648"/>
      <c r="L84" s="654"/>
      <c r="M84" s="654"/>
      <c r="N84" s="654"/>
      <c r="O84" s="655"/>
    </row>
    <row r="85" spans="9:15" x14ac:dyDescent="0.25">
      <c r="I85" s="654"/>
      <c r="J85" s="648"/>
      <c r="K85" s="648"/>
      <c r="L85" s="654"/>
      <c r="M85" s="654"/>
      <c r="N85" s="654"/>
      <c r="O85" s="655"/>
    </row>
    <row r="86" spans="9:15" x14ac:dyDescent="0.25">
      <c r="I86" s="654"/>
      <c r="J86" s="648"/>
      <c r="K86" s="648"/>
      <c r="L86" s="654"/>
      <c r="M86" s="654"/>
      <c r="N86" s="654"/>
      <c r="O86" s="580"/>
    </row>
    <row r="87" spans="9:15" x14ac:dyDescent="0.25">
      <c r="I87" s="648"/>
      <c r="J87" s="648"/>
      <c r="K87" s="648"/>
      <c r="L87" s="648"/>
      <c r="M87" s="648"/>
      <c r="N87" s="648"/>
      <c r="O87" s="648"/>
    </row>
    <row r="88" spans="9:15" x14ac:dyDescent="0.25">
      <c r="I88" s="648"/>
      <c r="J88" s="648"/>
      <c r="K88" s="648"/>
      <c r="L88" s="648"/>
      <c r="M88" s="648"/>
      <c r="N88" s="648"/>
      <c r="O88" s="648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7"/>
  <sheetViews>
    <sheetView workbookViewId="0">
      <selection activeCell="D20" sqref="D20"/>
    </sheetView>
  </sheetViews>
  <sheetFormatPr defaultRowHeight="15" x14ac:dyDescent="0.25"/>
  <cols>
    <col min="3" max="3" width="24" customWidth="1"/>
    <col min="4" max="4" width="16.7109375" customWidth="1"/>
    <col min="5" max="5" width="14.28515625" customWidth="1"/>
    <col min="6" max="6" width="25.5703125" customWidth="1"/>
  </cols>
  <sheetData>
    <row r="1" spans="1:6" x14ac:dyDescent="0.25">
      <c r="A1" t="s">
        <v>148</v>
      </c>
    </row>
    <row r="2" spans="1:6" x14ac:dyDescent="0.25">
      <c r="B2" s="2" t="s">
        <v>195</v>
      </c>
      <c r="C2" s="2" t="s">
        <v>190</v>
      </c>
      <c r="D2" s="2" t="s">
        <v>191</v>
      </c>
      <c r="E2" s="2" t="s">
        <v>192</v>
      </c>
      <c r="F2" s="2" t="s">
        <v>193</v>
      </c>
    </row>
    <row r="3" spans="1:6" x14ac:dyDescent="0.25">
      <c r="B3" s="576">
        <v>0</v>
      </c>
      <c r="C3" s="581">
        <v>0.8</v>
      </c>
      <c r="D3" s="581">
        <v>4.2</v>
      </c>
      <c r="E3" s="582">
        <v>0.4</v>
      </c>
      <c r="F3" s="583">
        <v>1</v>
      </c>
    </row>
    <row r="4" spans="1:6" x14ac:dyDescent="0.25">
      <c r="B4" s="576">
        <v>25</v>
      </c>
      <c r="C4" s="581">
        <v>2</v>
      </c>
      <c r="D4" s="581">
        <v>1.5</v>
      </c>
      <c r="E4" s="582">
        <v>2.2000000000000002</v>
      </c>
      <c r="F4" s="583">
        <v>0.9</v>
      </c>
    </row>
    <row r="5" spans="1:6" x14ac:dyDescent="0.25">
      <c r="B5" s="576">
        <v>50</v>
      </c>
      <c r="C5" s="581">
        <v>2.6</v>
      </c>
      <c r="D5" s="581">
        <v>1.4</v>
      </c>
      <c r="E5" s="582">
        <v>0.6</v>
      </c>
      <c r="F5" s="583">
        <v>1.2</v>
      </c>
    </row>
    <row r="6" spans="1:6" x14ac:dyDescent="0.25">
      <c r="B6" s="576">
        <v>75</v>
      </c>
      <c r="C6" s="581">
        <v>1</v>
      </c>
      <c r="D6" s="581">
        <v>0.6</v>
      </c>
      <c r="E6" s="582">
        <v>2.6</v>
      </c>
      <c r="F6" s="583">
        <v>0.6</v>
      </c>
    </row>
    <row r="7" spans="1:6" x14ac:dyDescent="0.25">
      <c r="B7" s="576">
        <v>100</v>
      </c>
      <c r="C7" s="581">
        <v>2.7</v>
      </c>
      <c r="D7" s="581">
        <v>0.7</v>
      </c>
      <c r="E7" s="582">
        <v>0.4</v>
      </c>
      <c r="F7" s="583">
        <v>0.7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2:F7"/>
  <sheetViews>
    <sheetView workbookViewId="0">
      <selection activeCell="C2" sqref="C2:F7"/>
    </sheetView>
  </sheetViews>
  <sheetFormatPr defaultRowHeight="15" x14ac:dyDescent="0.25"/>
  <cols>
    <col min="2" max="2" width="9.140625" customWidth="1"/>
    <col min="3" max="3" width="26.42578125" customWidth="1"/>
    <col min="4" max="4" width="12" customWidth="1"/>
    <col min="5" max="5" width="14" customWidth="1"/>
    <col min="6" max="6" width="24.42578125" customWidth="1"/>
  </cols>
  <sheetData>
    <row r="2" spans="2:6" x14ac:dyDescent="0.25">
      <c r="B2" s="2" t="s">
        <v>195</v>
      </c>
      <c r="C2" s="2" t="s">
        <v>190</v>
      </c>
      <c r="D2" s="2" t="s">
        <v>191</v>
      </c>
      <c r="E2" s="2" t="s">
        <v>192</v>
      </c>
      <c r="F2" s="2" t="s">
        <v>193</v>
      </c>
    </row>
    <row r="3" spans="2:6" x14ac:dyDescent="0.25">
      <c r="B3" s="576">
        <v>0</v>
      </c>
      <c r="C3" s="581">
        <f>'-ITER'!W4</f>
        <v>502.26807422133862</v>
      </c>
      <c r="D3" s="581">
        <f>'-ITER'!W9</f>
        <v>762.78304074145581</v>
      </c>
      <c r="E3" s="582">
        <f>'Water Total Fe Al Mn SO4 Openin'!E4</f>
        <v>280</v>
      </c>
      <c r="F3" s="583">
        <f>'-ITER'!W19</f>
        <v>518.39910891089119</v>
      </c>
    </row>
    <row r="4" spans="2:6" x14ac:dyDescent="0.25">
      <c r="B4" s="576">
        <v>25</v>
      </c>
      <c r="C4" s="581">
        <f>'-ITER'!W5</f>
        <v>496.75624499900971</v>
      </c>
      <c r="D4" s="581">
        <f>'-ITER'!W10</f>
        <v>760.59935335296052</v>
      </c>
      <c r="E4" s="582">
        <f>'-ITER'!W15</f>
        <v>363.4535020080321</v>
      </c>
      <c r="F4" s="583">
        <f>'-ITER'!W20</f>
        <v>441.03764210404347</v>
      </c>
    </row>
    <row r="5" spans="2:6" x14ac:dyDescent="0.25">
      <c r="B5" s="576">
        <v>50</v>
      </c>
      <c r="C5" s="581">
        <f>'-ITER'!W6</f>
        <v>498.50577506613757</v>
      </c>
      <c r="D5" s="581">
        <f>'-ITER'!W11</f>
        <v>757.72704062009416</v>
      </c>
      <c r="E5" s="582">
        <f>'-ITER'!W16</f>
        <v>389.53770643482</v>
      </c>
      <c r="F5" s="583">
        <f>'-ITER'!W21</f>
        <v>682.18329727111256</v>
      </c>
    </row>
    <row r="6" spans="2:6" x14ac:dyDescent="0.25">
      <c r="B6" s="576">
        <v>75</v>
      </c>
      <c r="C6" s="581">
        <f>'-ITER'!W7</f>
        <v>495.29925636007829</v>
      </c>
      <c r="D6" s="581">
        <f>'-ITER'!W12</f>
        <v>758.95882606988607</v>
      </c>
      <c r="E6" s="582">
        <f>'-ITER'!W17</f>
        <v>372.68581467600887</v>
      </c>
      <c r="F6" s="583">
        <f>'-ITER'!W22</f>
        <v>682.85401273885338</v>
      </c>
    </row>
    <row r="7" spans="2:6" x14ac:dyDescent="0.25">
      <c r="B7" s="576">
        <v>100</v>
      </c>
      <c r="C7" s="581">
        <f>'-ITER'!W8</f>
        <v>493.56928236614505</v>
      </c>
      <c r="D7" s="581">
        <f>'-ITER'!W13</f>
        <v>752.68473707909152</v>
      </c>
      <c r="E7" s="582">
        <f>'-ITER'!W18</f>
        <v>315.04432426116841</v>
      </c>
      <c r="F7" s="583">
        <f>'-ITER'!W23</f>
        <v>644.66597687892579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Z26"/>
  <sheetViews>
    <sheetView workbookViewId="0">
      <selection activeCell="A17" sqref="A17:XFD17"/>
    </sheetView>
  </sheetViews>
  <sheetFormatPr defaultRowHeight="15" x14ac:dyDescent="0.25"/>
  <cols>
    <col min="1" max="1" width="14.140625" customWidth="1"/>
  </cols>
  <sheetData>
    <row r="1" spans="1:26" x14ac:dyDescent="0.25">
      <c r="A1" s="510"/>
      <c r="B1" s="510" t="s">
        <v>211</v>
      </c>
      <c r="C1" s="510" t="s">
        <v>212</v>
      </c>
      <c r="D1" s="510" t="s">
        <v>213</v>
      </c>
      <c r="E1" s="510" t="s">
        <v>214</v>
      </c>
      <c r="F1" s="510" t="s">
        <v>215</v>
      </c>
      <c r="G1" s="510" t="s">
        <v>216</v>
      </c>
      <c r="H1" s="510" t="s">
        <v>217</v>
      </c>
      <c r="I1" s="510" t="s">
        <v>218</v>
      </c>
      <c r="J1" s="510" t="s">
        <v>146</v>
      </c>
      <c r="K1" s="510" t="s">
        <v>147</v>
      </c>
      <c r="L1" s="510" t="s">
        <v>148</v>
      </c>
      <c r="M1" s="510" t="s">
        <v>219</v>
      </c>
      <c r="N1" s="510" t="s">
        <v>149</v>
      </c>
      <c r="O1" s="510" t="s">
        <v>197</v>
      </c>
      <c r="P1" s="510" t="s">
        <v>198</v>
      </c>
      <c r="Q1" s="510" t="s">
        <v>196</v>
      </c>
      <c r="R1" s="510" t="s">
        <v>220</v>
      </c>
      <c r="S1" s="510" t="s">
        <v>204</v>
      </c>
      <c r="T1" s="510" t="s">
        <v>203</v>
      </c>
      <c r="U1" s="510" t="s">
        <v>205</v>
      </c>
      <c r="V1" s="510" t="s">
        <v>206</v>
      </c>
      <c r="W1" s="510" t="s">
        <v>207</v>
      </c>
      <c r="X1" s="510" t="s">
        <v>208</v>
      </c>
      <c r="Y1" s="510" t="s">
        <v>209</v>
      </c>
      <c r="Z1" s="510" t="s">
        <v>210</v>
      </c>
    </row>
    <row r="2" spans="1:26" ht="12.75" customHeight="1" x14ac:dyDescent="0.25">
      <c r="A2" s="510" t="s">
        <v>211</v>
      </c>
      <c r="B2" s="510"/>
      <c r="C2" s="592">
        <v>1.7676E-3</v>
      </c>
      <c r="D2" s="510">
        <v>0.19697999999999999</v>
      </c>
      <c r="E2" s="510">
        <v>7.6242000000000004E-2</v>
      </c>
      <c r="F2" s="510">
        <v>0.19169</v>
      </c>
      <c r="G2" s="587">
        <v>4.7732999999999998E-2</v>
      </c>
      <c r="H2" s="510">
        <v>0.48426000000000002</v>
      </c>
      <c r="I2" s="510">
        <v>0.21187</v>
      </c>
      <c r="J2" s="510">
        <v>8.6785000000000001E-2</v>
      </c>
      <c r="K2" s="510">
        <v>0.25805</v>
      </c>
      <c r="L2" s="510">
        <v>0.57991000000000004</v>
      </c>
      <c r="M2" s="510">
        <v>0.11108999999999999</v>
      </c>
      <c r="N2" s="510">
        <v>9.2874999999999999E-2</v>
      </c>
      <c r="O2" s="510">
        <v>0.33424999999999999</v>
      </c>
      <c r="P2" s="510">
        <v>0.15690000000000001</v>
      </c>
      <c r="Q2" s="510">
        <v>0.47244999999999998</v>
      </c>
      <c r="R2" s="510">
        <v>0.31120999999999999</v>
      </c>
      <c r="S2" s="510">
        <v>0.56172999999999995</v>
      </c>
      <c r="T2" s="510">
        <v>0.98917999999999995</v>
      </c>
      <c r="U2" s="510">
        <v>1</v>
      </c>
      <c r="V2" s="510">
        <v>0.11108999999999999</v>
      </c>
      <c r="W2" s="510">
        <v>0.99226999999999999</v>
      </c>
      <c r="X2" s="510">
        <v>1</v>
      </c>
      <c r="Y2" s="510">
        <v>0.37803999999999999</v>
      </c>
      <c r="Z2" s="510">
        <v>1</v>
      </c>
    </row>
    <row r="3" spans="1:26" x14ac:dyDescent="0.25">
      <c r="A3" s="510" t="s">
        <v>212</v>
      </c>
      <c r="B3" s="586"/>
      <c r="C3" s="510"/>
      <c r="D3" s="510">
        <v>0.18229000000000001</v>
      </c>
      <c r="E3" s="510">
        <v>0.11509</v>
      </c>
      <c r="F3" s="510">
        <v>0.24263999999999999</v>
      </c>
      <c r="G3" s="510">
        <v>8.3612000000000006E-2</v>
      </c>
      <c r="H3" s="510">
        <v>0.36535000000000001</v>
      </c>
      <c r="I3" s="510">
        <v>0.16219</v>
      </c>
      <c r="J3" s="510">
        <v>5.4267000000000003E-2</v>
      </c>
      <c r="K3" s="510">
        <v>0.36453000000000002</v>
      </c>
      <c r="L3" s="510">
        <v>0.44523000000000001</v>
      </c>
      <c r="M3" s="510">
        <v>0.85619999999999996</v>
      </c>
      <c r="N3" s="510">
        <v>0.10929</v>
      </c>
      <c r="O3" s="510">
        <v>0.38907000000000003</v>
      </c>
      <c r="P3" s="510">
        <v>0.32771</v>
      </c>
      <c r="Q3" s="510">
        <v>0.26446999999999998</v>
      </c>
      <c r="R3" s="510">
        <v>0.43431999999999998</v>
      </c>
      <c r="S3" s="510">
        <v>0.59528999999999999</v>
      </c>
      <c r="T3" s="510">
        <v>0.57243999999999995</v>
      </c>
      <c r="U3" s="510">
        <v>1</v>
      </c>
      <c r="V3" s="510">
        <v>0.85619999999999996</v>
      </c>
      <c r="W3" s="510">
        <v>0.97123999999999999</v>
      </c>
      <c r="X3" s="510">
        <v>1</v>
      </c>
      <c r="Y3" s="510">
        <v>0.34966000000000003</v>
      </c>
      <c r="Z3" s="510">
        <v>1</v>
      </c>
    </row>
    <row r="4" spans="1:26" x14ac:dyDescent="0.25">
      <c r="A4" s="510" t="s">
        <v>213</v>
      </c>
      <c r="B4" s="586"/>
      <c r="C4" s="586"/>
      <c r="D4" s="510"/>
      <c r="E4" s="510">
        <v>5.5778000000000001E-2</v>
      </c>
      <c r="F4" s="510">
        <v>6.3591999999999996E-2</v>
      </c>
      <c r="G4" s="510">
        <v>0.57745000000000002</v>
      </c>
      <c r="H4" s="510">
        <v>0.22105</v>
      </c>
      <c r="I4" s="510">
        <v>0.25152999999999998</v>
      </c>
      <c r="J4" s="587">
        <v>4.1869000000000003E-2</v>
      </c>
      <c r="K4" s="510">
        <v>0.97369000000000006</v>
      </c>
      <c r="L4" s="510">
        <v>0.87285000000000001</v>
      </c>
      <c r="M4" s="510">
        <v>0.68230000000000002</v>
      </c>
      <c r="N4" s="510">
        <v>0.67854999999999999</v>
      </c>
      <c r="O4" s="510">
        <v>0.64254999999999995</v>
      </c>
      <c r="P4" s="510">
        <v>0.61599999999999999</v>
      </c>
      <c r="Q4" s="510">
        <v>0.48368</v>
      </c>
      <c r="R4" s="510">
        <v>0.83425000000000005</v>
      </c>
      <c r="S4" s="510">
        <v>0.18498000000000001</v>
      </c>
      <c r="T4" s="510">
        <v>0.60309999999999997</v>
      </c>
      <c r="U4" s="510">
        <v>1</v>
      </c>
      <c r="V4" s="510">
        <v>0.68230000000000002</v>
      </c>
      <c r="W4" s="510">
        <v>0.26790000000000003</v>
      </c>
      <c r="X4" s="510">
        <v>1</v>
      </c>
      <c r="Y4" s="592">
        <v>4.9995999999999999E-3</v>
      </c>
      <c r="Z4" s="510">
        <v>1</v>
      </c>
    </row>
    <row r="5" spans="1:26" x14ac:dyDescent="0.25">
      <c r="A5" s="510" t="s">
        <v>214</v>
      </c>
      <c r="B5" s="586"/>
      <c r="C5" s="586"/>
      <c r="D5" s="586"/>
      <c r="E5" s="510"/>
      <c r="F5" s="587">
        <v>3.5764999999999998E-2</v>
      </c>
      <c r="G5" s="510">
        <v>0.20669999999999999</v>
      </c>
      <c r="H5" s="510">
        <v>0.62348000000000003</v>
      </c>
      <c r="I5" s="510">
        <v>0.42657</v>
      </c>
      <c r="J5" s="510">
        <v>0.14510000000000001</v>
      </c>
      <c r="K5" s="510">
        <v>0.46506999999999998</v>
      </c>
      <c r="L5" s="510">
        <v>0.84225000000000005</v>
      </c>
      <c r="M5" s="510">
        <v>0.65844000000000003</v>
      </c>
      <c r="N5" s="510">
        <v>0.43320999999999998</v>
      </c>
      <c r="O5" s="510">
        <v>0.64500000000000002</v>
      </c>
      <c r="P5" s="510">
        <v>0.38544</v>
      </c>
      <c r="Q5" s="510">
        <v>0.82728999999999997</v>
      </c>
      <c r="R5" s="510">
        <v>0.29560999999999998</v>
      </c>
      <c r="S5" s="510">
        <v>0.70589999999999997</v>
      </c>
      <c r="T5" s="510">
        <v>0.45406000000000002</v>
      </c>
      <c r="U5" s="510">
        <v>1</v>
      </c>
      <c r="V5" s="510">
        <v>0.65844000000000003</v>
      </c>
      <c r="W5" s="510">
        <v>0.32521</v>
      </c>
      <c r="X5" s="510">
        <v>1</v>
      </c>
      <c r="Y5" s="510">
        <v>0.12722</v>
      </c>
      <c r="Z5" s="510">
        <v>1</v>
      </c>
    </row>
    <row r="6" spans="1:26" x14ac:dyDescent="0.25">
      <c r="A6" s="510" t="s">
        <v>215</v>
      </c>
      <c r="B6" s="586"/>
      <c r="C6" s="586"/>
      <c r="D6" s="586"/>
      <c r="E6" s="586"/>
      <c r="F6" s="510"/>
      <c r="G6" s="510">
        <v>0.46446999999999999</v>
      </c>
      <c r="H6" s="510">
        <v>0.44485999999999998</v>
      </c>
      <c r="I6" s="510">
        <v>0.26161000000000001</v>
      </c>
      <c r="J6" s="510">
        <v>0.13868</v>
      </c>
      <c r="K6" s="510">
        <v>0.61851</v>
      </c>
      <c r="L6" s="510">
        <v>0.93493999999999999</v>
      </c>
      <c r="M6" s="510">
        <v>0.66666999999999998</v>
      </c>
      <c r="N6" s="510">
        <v>0.44574000000000003</v>
      </c>
      <c r="O6" s="510">
        <v>0.95709</v>
      </c>
      <c r="P6" s="510">
        <v>0.11816</v>
      </c>
      <c r="Q6" s="510">
        <v>0.84867000000000004</v>
      </c>
      <c r="R6" s="510">
        <v>0.59628999999999999</v>
      </c>
      <c r="S6" s="510">
        <v>0.75312000000000001</v>
      </c>
      <c r="T6" s="510">
        <v>0.93332999999999999</v>
      </c>
      <c r="U6" s="510">
        <v>1</v>
      </c>
      <c r="V6" s="510">
        <v>0.66666999999999998</v>
      </c>
      <c r="W6" s="510">
        <v>0.66666999999999998</v>
      </c>
      <c r="X6" s="510">
        <v>1</v>
      </c>
      <c r="Y6" s="510">
        <v>0.11720999999999999</v>
      </c>
      <c r="Z6" s="510">
        <v>1</v>
      </c>
    </row>
    <row r="7" spans="1:26" x14ac:dyDescent="0.25">
      <c r="A7" s="510" t="s">
        <v>216</v>
      </c>
      <c r="B7" s="586"/>
      <c r="C7" s="586"/>
      <c r="D7" s="586"/>
      <c r="E7" s="586"/>
      <c r="F7" s="586"/>
      <c r="G7" s="510"/>
      <c r="H7" s="510">
        <v>0.95452999999999999</v>
      </c>
      <c r="I7" s="510">
        <v>0.61011000000000004</v>
      </c>
      <c r="J7" s="510">
        <v>0.43518000000000001</v>
      </c>
      <c r="K7" s="510">
        <v>5.5525999999999999E-2</v>
      </c>
      <c r="L7" s="510">
        <v>0.85533999999999999</v>
      </c>
      <c r="M7" s="510">
        <v>0.20963000000000001</v>
      </c>
      <c r="N7" s="510">
        <v>0.11234</v>
      </c>
      <c r="O7" s="587">
        <v>4.6531000000000003E-2</v>
      </c>
      <c r="P7" s="510">
        <v>0.97841999999999996</v>
      </c>
      <c r="Q7" s="587">
        <v>1.2142E-2</v>
      </c>
      <c r="R7" s="510">
        <v>6.8883E-2</v>
      </c>
      <c r="S7" s="510">
        <v>0.19783000000000001</v>
      </c>
      <c r="T7" s="510">
        <v>0.83411999999999997</v>
      </c>
      <c r="U7" s="510">
        <v>1</v>
      </c>
      <c r="V7" s="510">
        <v>0.20963000000000001</v>
      </c>
      <c r="W7" s="510">
        <v>0.79508999999999996</v>
      </c>
      <c r="X7" s="510">
        <v>1</v>
      </c>
      <c r="Y7" s="510">
        <v>0.82816000000000001</v>
      </c>
      <c r="Z7" s="510">
        <v>1</v>
      </c>
    </row>
    <row r="8" spans="1:26" x14ac:dyDescent="0.25">
      <c r="A8" s="510" t="s">
        <v>217</v>
      </c>
      <c r="B8" s="586"/>
      <c r="C8" s="586"/>
      <c r="D8" s="586"/>
      <c r="E8" s="586"/>
      <c r="F8" s="586"/>
      <c r="G8" s="586"/>
      <c r="H8" s="510"/>
      <c r="I8" s="587">
        <v>4.6640000000000001E-2</v>
      </c>
      <c r="J8" s="510">
        <v>7.7231999999999995E-2</v>
      </c>
      <c r="K8" s="510">
        <v>0.59114</v>
      </c>
      <c r="L8" s="510">
        <v>0.16314000000000001</v>
      </c>
      <c r="M8" s="510">
        <v>0.32102000000000003</v>
      </c>
      <c r="N8" s="510">
        <v>0.61272000000000004</v>
      </c>
      <c r="O8" s="587">
        <v>3.7182E-2</v>
      </c>
      <c r="P8" s="510">
        <v>0.90305999999999997</v>
      </c>
      <c r="Q8" s="592">
        <v>6.2564999999999999E-3</v>
      </c>
      <c r="R8" s="510">
        <v>0.39513999999999999</v>
      </c>
      <c r="S8" s="510">
        <v>0.35111999999999999</v>
      </c>
      <c r="T8" s="510">
        <v>0.61839</v>
      </c>
      <c r="U8" s="510">
        <v>1</v>
      </c>
      <c r="V8" s="510">
        <v>0.32102000000000003</v>
      </c>
      <c r="W8" s="510">
        <v>0.99504000000000004</v>
      </c>
      <c r="X8" s="510">
        <v>1</v>
      </c>
      <c r="Y8" s="510">
        <v>0.23118</v>
      </c>
      <c r="Z8" s="510">
        <v>1</v>
      </c>
    </row>
    <row r="9" spans="1:26" x14ac:dyDescent="0.25">
      <c r="A9" s="510" t="s">
        <v>218</v>
      </c>
      <c r="B9" s="586"/>
      <c r="C9" s="586"/>
      <c r="D9" s="586"/>
      <c r="E9" s="586"/>
      <c r="F9" s="586"/>
      <c r="G9" s="586"/>
      <c r="H9" s="586"/>
      <c r="I9" s="510"/>
      <c r="J9" s="587">
        <v>4.5444999999999999E-2</v>
      </c>
      <c r="K9" s="510">
        <v>0.83399999999999996</v>
      </c>
      <c r="L9" s="510">
        <v>0.14840999999999999</v>
      </c>
      <c r="M9" s="510">
        <v>0.74121000000000004</v>
      </c>
      <c r="N9" s="510">
        <v>0.19048000000000001</v>
      </c>
      <c r="O9" s="510">
        <v>0.23088</v>
      </c>
      <c r="P9" s="510">
        <v>0.56133999999999995</v>
      </c>
      <c r="Q9" s="510">
        <v>0.18759999999999999</v>
      </c>
      <c r="R9" s="510">
        <v>0.78842000000000001</v>
      </c>
      <c r="S9" s="510">
        <v>0.77298999999999995</v>
      </c>
      <c r="T9" s="510">
        <v>0.26549</v>
      </c>
      <c r="U9" s="510">
        <v>1</v>
      </c>
      <c r="V9" s="510">
        <v>0.74121000000000004</v>
      </c>
      <c r="W9" s="510">
        <v>0.60907</v>
      </c>
      <c r="X9" s="510">
        <v>1</v>
      </c>
      <c r="Y9" s="510">
        <v>0.36157</v>
      </c>
      <c r="Z9" s="510">
        <v>1</v>
      </c>
    </row>
    <row r="10" spans="1:26" x14ac:dyDescent="0.25">
      <c r="A10" s="510" t="s">
        <v>146</v>
      </c>
      <c r="B10" s="586"/>
      <c r="C10" s="586"/>
      <c r="D10" s="586"/>
      <c r="E10" s="586"/>
      <c r="F10" s="586"/>
      <c r="G10" s="586"/>
      <c r="H10" s="586"/>
      <c r="I10" s="586"/>
      <c r="J10" s="510"/>
      <c r="K10" s="510">
        <v>0.85553999999999997</v>
      </c>
      <c r="L10" s="510">
        <v>0.37491999999999998</v>
      </c>
      <c r="M10" s="510">
        <v>0.47683999999999999</v>
      </c>
      <c r="N10" s="510">
        <v>0.31446000000000002</v>
      </c>
      <c r="O10" s="510">
        <v>0.20912</v>
      </c>
      <c r="P10" s="510">
        <v>0.65778999999999999</v>
      </c>
      <c r="Q10" s="510">
        <v>0.10464</v>
      </c>
      <c r="R10" s="510">
        <v>0.93252999999999997</v>
      </c>
      <c r="S10" s="510">
        <v>0.24592</v>
      </c>
      <c r="T10" s="510">
        <v>0.85653000000000001</v>
      </c>
      <c r="U10" s="510">
        <v>1</v>
      </c>
      <c r="V10" s="510">
        <v>0.47683999999999999</v>
      </c>
      <c r="W10" s="510">
        <v>0.72492999999999996</v>
      </c>
      <c r="X10" s="510">
        <v>1</v>
      </c>
      <c r="Y10" s="510">
        <v>0.10236000000000001</v>
      </c>
      <c r="Z10" s="510">
        <v>1</v>
      </c>
    </row>
    <row r="11" spans="1:26" x14ac:dyDescent="0.25">
      <c r="A11" s="510" t="s">
        <v>147</v>
      </c>
      <c r="B11" s="586"/>
      <c r="C11" s="586"/>
      <c r="D11" s="586"/>
      <c r="E11" s="586"/>
      <c r="F11" s="586"/>
      <c r="G11" s="586"/>
      <c r="H11" s="586"/>
      <c r="I11" s="586"/>
      <c r="J11" s="586"/>
      <c r="K11" s="510"/>
      <c r="L11" s="510">
        <v>0.95733999999999997</v>
      </c>
      <c r="M11" s="510">
        <v>7.2827000000000003E-2</v>
      </c>
      <c r="N11" s="510">
        <v>0.12182999999999999</v>
      </c>
      <c r="O11" s="510">
        <v>0.15307000000000001</v>
      </c>
      <c r="P11" s="510">
        <v>0.69172</v>
      </c>
      <c r="Q11" s="510">
        <v>0.1381</v>
      </c>
      <c r="R11" s="510">
        <v>6.6553000000000001E-2</v>
      </c>
      <c r="S11" s="510">
        <v>5.8978000000000003E-2</v>
      </c>
      <c r="T11" s="510">
        <v>0.80867999999999995</v>
      </c>
      <c r="U11" s="510">
        <v>1</v>
      </c>
      <c r="V11" s="510">
        <v>7.2827000000000003E-2</v>
      </c>
      <c r="W11" s="510">
        <v>0.51434000000000002</v>
      </c>
      <c r="X11" s="510">
        <v>1</v>
      </c>
      <c r="Y11" s="510">
        <v>0.71347000000000005</v>
      </c>
      <c r="Z11" s="510">
        <v>1</v>
      </c>
    </row>
    <row r="12" spans="1:26" x14ac:dyDescent="0.25">
      <c r="A12" s="510" t="s">
        <v>148</v>
      </c>
      <c r="B12" s="586"/>
      <c r="C12" s="586"/>
      <c r="D12" s="586"/>
      <c r="E12" s="586"/>
      <c r="F12" s="586"/>
      <c r="G12" s="586"/>
      <c r="H12" s="586"/>
      <c r="I12" s="586"/>
      <c r="J12" s="586"/>
      <c r="K12" s="586"/>
      <c r="L12" s="510"/>
      <c r="M12" s="510">
        <v>0.49042999999999998</v>
      </c>
      <c r="N12" s="510">
        <v>0.33707999999999999</v>
      </c>
      <c r="O12" s="510">
        <v>0.23205999999999999</v>
      </c>
      <c r="P12" s="510">
        <v>0.72831000000000001</v>
      </c>
      <c r="Q12" s="510">
        <v>0.34227000000000002</v>
      </c>
      <c r="R12" s="510">
        <v>0.49131999999999998</v>
      </c>
      <c r="S12" s="510">
        <v>0.97287000000000001</v>
      </c>
      <c r="T12" s="510">
        <v>0.25063999999999997</v>
      </c>
      <c r="U12" s="510">
        <v>1</v>
      </c>
      <c r="V12" s="510">
        <v>0.49042999999999998</v>
      </c>
      <c r="W12" s="510">
        <v>0.37053000000000003</v>
      </c>
      <c r="X12" s="510">
        <v>1</v>
      </c>
      <c r="Y12" s="510">
        <v>0.98321999999999998</v>
      </c>
      <c r="Z12" s="510">
        <v>1</v>
      </c>
    </row>
    <row r="13" spans="1:26" x14ac:dyDescent="0.25">
      <c r="A13" s="510" t="s">
        <v>219</v>
      </c>
      <c r="B13" s="586"/>
      <c r="C13" s="586"/>
      <c r="D13" s="586"/>
      <c r="E13" s="586"/>
      <c r="F13" s="586"/>
      <c r="G13" s="586"/>
      <c r="H13" s="586"/>
      <c r="I13" s="586"/>
      <c r="J13" s="586"/>
      <c r="K13" s="586"/>
      <c r="L13" s="586"/>
      <c r="M13" s="510"/>
      <c r="N13" s="510">
        <v>0.38873000000000002</v>
      </c>
      <c r="O13" s="510">
        <v>0.18462999999999999</v>
      </c>
      <c r="P13" s="510">
        <v>0.37837999999999999</v>
      </c>
      <c r="Q13" s="510">
        <v>0.24335000000000001</v>
      </c>
      <c r="R13" s="510">
        <v>0.23294000000000001</v>
      </c>
      <c r="S13" s="510">
        <v>0.20451</v>
      </c>
      <c r="T13" s="510">
        <v>0.84443999999999997</v>
      </c>
      <c r="U13" s="510">
        <v>1</v>
      </c>
      <c r="V13" s="593">
        <v>1E-10</v>
      </c>
      <c r="W13" s="510">
        <v>0.66666999999999998</v>
      </c>
      <c r="X13" s="510">
        <v>1</v>
      </c>
      <c r="Y13" s="510">
        <v>0.59914000000000001</v>
      </c>
      <c r="Z13" s="510">
        <v>1</v>
      </c>
    </row>
    <row r="14" spans="1:26" x14ac:dyDescent="0.25">
      <c r="A14" s="510" t="s">
        <v>149</v>
      </c>
      <c r="B14" s="586"/>
      <c r="C14" s="586"/>
      <c r="D14" s="586"/>
      <c r="E14" s="586"/>
      <c r="F14" s="586"/>
      <c r="G14" s="586"/>
      <c r="H14" s="586"/>
      <c r="I14" s="586"/>
      <c r="J14" s="586"/>
      <c r="K14" s="586"/>
      <c r="L14" s="586"/>
      <c r="M14" s="586"/>
      <c r="N14" s="510"/>
      <c r="O14" s="510">
        <v>0.81838999999999995</v>
      </c>
      <c r="P14" s="510">
        <v>0.59253999999999996</v>
      </c>
      <c r="Q14" s="510">
        <v>0.77753000000000005</v>
      </c>
      <c r="R14" s="510">
        <v>0.45601000000000003</v>
      </c>
      <c r="S14" s="510">
        <v>0.15848999999999999</v>
      </c>
      <c r="T14" s="510">
        <v>0.14685999999999999</v>
      </c>
      <c r="U14" s="510">
        <v>1</v>
      </c>
      <c r="V14" s="510">
        <v>0.38873000000000002</v>
      </c>
      <c r="W14" s="510">
        <v>5.8342999999999999E-2</v>
      </c>
      <c r="X14" s="510">
        <v>1</v>
      </c>
      <c r="Y14" s="510">
        <v>0.95223999999999998</v>
      </c>
      <c r="Z14" s="510">
        <v>1</v>
      </c>
    </row>
    <row r="15" spans="1:26" x14ac:dyDescent="0.25">
      <c r="A15" s="510" t="s">
        <v>197</v>
      </c>
      <c r="B15" s="586"/>
      <c r="C15" s="586"/>
      <c r="D15" s="586"/>
      <c r="E15" s="586"/>
      <c r="F15" s="586"/>
      <c r="G15" s="586"/>
      <c r="H15" s="586"/>
      <c r="I15" s="586"/>
      <c r="J15" s="586"/>
      <c r="K15" s="586"/>
      <c r="L15" s="586"/>
      <c r="M15" s="586"/>
      <c r="N15" s="586"/>
      <c r="O15" s="510"/>
      <c r="P15" s="510">
        <v>0.83435999999999999</v>
      </c>
      <c r="Q15" s="587">
        <v>1.9376999999999998E-2</v>
      </c>
      <c r="R15" s="592">
        <v>3.6389E-3</v>
      </c>
      <c r="S15" s="510">
        <v>0.36080000000000001</v>
      </c>
      <c r="T15" s="510">
        <v>0.64237999999999995</v>
      </c>
      <c r="U15" s="510">
        <v>1</v>
      </c>
      <c r="V15" s="510">
        <v>0.18462999999999999</v>
      </c>
      <c r="W15" s="510">
        <v>0.95709</v>
      </c>
      <c r="X15" s="510">
        <v>1</v>
      </c>
      <c r="Y15" s="510">
        <v>0.60121000000000002</v>
      </c>
      <c r="Z15" s="510">
        <v>1</v>
      </c>
    </row>
    <row r="16" spans="1:26" x14ac:dyDescent="0.25">
      <c r="A16" s="510" t="s">
        <v>198</v>
      </c>
      <c r="B16" s="586"/>
      <c r="C16" s="586"/>
      <c r="D16" s="586"/>
      <c r="E16" s="586"/>
      <c r="F16" s="586"/>
      <c r="G16" s="586"/>
      <c r="H16" s="586"/>
      <c r="I16" s="586"/>
      <c r="J16" s="586"/>
      <c r="K16" s="586"/>
      <c r="L16" s="586"/>
      <c r="M16" s="586"/>
      <c r="N16" s="586"/>
      <c r="O16" s="586"/>
      <c r="P16" s="510"/>
      <c r="Q16" s="510">
        <v>0.99343999999999999</v>
      </c>
      <c r="R16" s="510">
        <v>0.88343000000000005</v>
      </c>
      <c r="S16" s="510">
        <v>0.80847000000000002</v>
      </c>
      <c r="T16" s="510">
        <v>0.68100000000000005</v>
      </c>
      <c r="U16" s="510">
        <v>1</v>
      </c>
      <c r="V16" s="510">
        <v>0.37837999999999999</v>
      </c>
      <c r="W16" s="510">
        <v>0.86989000000000005</v>
      </c>
      <c r="X16" s="510">
        <v>1</v>
      </c>
      <c r="Y16" s="510">
        <v>0.70762000000000003</v>
      </c>
      <c r="Z16" s="510">
        <v>1</v>
      </c>
    </row>
    <row r="17" spans="1:26" x14ac:dyDescent="0.25">
      <c r="A17" s="510" t="s">
        <v>196</v>
      </c>
      <c r="B17" s="586"/>
      <c r="C17" s="586"/>
      <c r="D17" s="586"/>
      <c r="E17" s="586"/>
      <c r="F17" s="586"/>
      <c r="G17" s="586"/>
      <c r="H17" s="586"/>
      <c r="I17" s="586"/>
      <c r="J17" s="586"/>
      <c r="K17" s="586"/>
      <c r="L17" s="586"/>
      <c r="M17" s="586"/>
      <c r="N17" s="586"/>
      <c r="O17" s="586"/>
      <c r="P17" s="586"/>
      <c r="Q17" s="510"/>
      <c r="R17" s="587">
        <v>2.3238000000000002E-2</v>
      </c>
      <c r="S17" s="510">
        <v>0.29847000000000001</v>
      </c>
      <c r="T17" s="510">
        <v>0.68725000000000003</v>
      </c>
      <c r="U17" s="510">
        <v>1</v>
      </c>
      <c r="V17" s="510">
        <v>0.24335000000000001</v>
      </c>
      <c r="W17" s="510">
        <v>0.94955999999999996</v>
      </c>
      <c r="X17" s="510">
        <v>1</v>
      </c>
      <c r="Y17" s="510">
        <v>0.45404</v>
      </c>
      <c r="Z17" s="510">
        <v>1</v>
      </c>
    </row>
    <row r="18" spans="1:26" x14ac:dyDescent="0.25">
      <c r="A18" s="510" t="s">
        <v>220</v>
      </c>
      <c r="B18" s="586"/>
      <c r="C18" s="586"/>
      <c r="D18" s="586"/>
      <c r="E18" s="586"/>
      <c r="F18" s="586"/>
      <c r="G18" s="586"/>
      <c r="H18" s="586"/>
      <c r="I18" s="586"/>
      <c r="J18" s="586"/>
      <c r="K18" s="586"/>
      <c r="L18" s="586"/>
      <c r="M18" s="586"/>
      <c r="N18" s="586"/>
      <c r="O18" s="586"/>
      <c r="P18" s="586"/>
      <c r="Q18" s="586"/>
      <c r="R18" s="510"/>
      <c r="S18" s="510">
        <v>0.42059999999999997</v>
      </c>
      <c r="T18" s="510">
        <v>0.56554000000000004</v>
      </c>
      <c r="U18" s="510">
        <v>1</v>
      </c>
      <c r="V18" s="510">
        <v>0.23294000000000001</v>
      </c>
      <c r="W18" s="510">
        <v>0.88151000000000002</v>
      </c>
      <c r="X18" s="510">
        <v>1</v>
      </c>
      <c r="Y18" s="510">
        <v>0.97946</v>
      </c>
      <c r="Z18" s="510">
        <v>1</v>
      </c>
    </row>
    <row r="19" spans="1:26" x14ac:dyDescent="0.25">
      <c r="A19" s="510" t="s">
        <v>204</v>
      </c>
      <c r="B19" s="586"/>
      <c r="C19" s="586"/>
      <c r="D19" s="586"/>
      <c r="E19" s="586"/>
      <c r="F19" s="586"/>
      <c r="G19" s="586"/>
      <c r="H19" s="586"/>
      <c r="I19" s="586"/>
      <c r="J19" s="586"/>
      <c r="K19" s="586"/>
      <c r="L19" s="586"/>
      <c r="M19" s="586"/>
      <c r="N19" s="586"/>
      <c r="O19" s="586"/>
      <c r="P19" s="586"/>
      <c r="Q19" s="586"/>
      <c r="R19" s="586"/>
      <c r="S19" s="510"/>
      <c r="T19" s="510">
        <v>0.54464999999999997</v>
      </c>
      <c r="U19" s="510">
        <v>1</v>
      </c>
      <c r="V19" s="510">
        <v>0.20451</v>
      </c>
      <c r="W19" s="510">
        <v>0.25936999999999999</v>
      </c>
      <c r="X19" s="510">
        <v>1</v>
      </c>
      <c r="Y19" s="510">
        <v>0.13331999999999999</v>
      </c>
      <c r="Z19" s="510">
        <v>1</v>
      </c>
    </row>
    <row r="20" spans="1:26" x14ac:dyDescent="0.25">
      <c r="A20" s="510" t="s">
        <v>203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10"/>
      <c r="U20" s="510">
        <v>1</v>
      </c>
      <c r="V20" s="510">
        <v>0.84443999999999997</v>
      </c>
      <c r="W20" s="510">
        <v>8.8888999999999996E-2</v>
      </c>
      <c r="X20" s="510">
        <v>1</v>
      </c>
      <c r="Y20" s="510">
        <v>0.56513000000000002</v>
      </c>
      <c r="Z20" s="510">
        <v>1</v>
      </c>
    </row>
    <row r="21" spans="1:26" x14ac:dyDescent="0.25">
      <c r="A21" s="510" t="s">
        <v>205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10"/>
      <c r="V21" s="510">
        <v>1</v>
      </c>
      <c r="W21" s="510">
        <v>1</v>
      </c>
      <c r="X21" s="510">
        <v>1</v>
      </c>
      <c r="Y21" s="510">
        <v>1</v>
      </c>
      <c r="Z21" s="510">
        <v>1</v>
      </c>
    </row>
    <row r="22" spans="1:26" x14ac:dyDescent="0.25">
      <c r="A22" s="510" t="s">
        <v>206</v>
      </c>
      <c r="B22" s="586"/>
      <c r="C22" s="586"/>
      <c r="D22" s="586"/>
      <c r="E22" s="586"/>
      <c r="F22" s="586"/>
      <c r="G22" s="586"/>
      <c r="H22" s="586"/>
      <c r="I22" s="586"/>
      <c r="J22" s="586"/>
      <c r="K22" s="586"/>
      <c r="L22" s="586"/>
      <c r="M22" s="586"/>
      <c r="N22" s="586"/>
      <c r="O22" s="586"/>
      <c r="P22" s="586"/>
      <c r="Q22" s="586"/>
      <c r="R22" s="586"/>
      <c r="S22" s="586"/>
      <c r="T22" s="586"/>
      <c r="U22" s="586"/>
      <c r="V22" s="510"/>
      <c r="W22" s="510">
        <v>0.66666999999999998</v>
      </c>
      <c r="X22" s="510">
        <v>1</v>
      </c>
      <c r="Y22" s="510">
        <v>0.59914000000000001</v>
      </c>
      <c r="Z22" s="510">
        <v>1</v>
      </c>
    </row>
    <row r="23" spans="1:26" x14ac:dyDescent="0.25">
      <c r="A23" s="510" t="s">
        <v>207</v>
      </c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86"/>
      <c r="P23" s="586"/>
      <c r="Q23" s="586"/>
      <c r="R23" s="586"/>
      <c r="S23" s="586"/>
      <c r="T23" s="586"/>
      <c r="U23" s="586"/>
      <c r="V23" s="586"/>
      <c r="W23" s="510"/>
      <c r="X23" s="510">
        <v>1</v>
      </c>
      <c r="Y23" s="510">
        <v>0.23472000000000001</v>
      </c>
      <c r="Z23" s="510">
        <v>1</v>
      </c>
    </row>
    <row r="24" spans="1:26" x14ac:dyDescent="0.25">
      <c r="A24" s="510" t="s">
        <v>208</v>
      </c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86"/>
      <c r="P24" s="586"/>
      <c r="Q24" s="586"/>
      <c r="R24" s="586"/>
      <c r="S24" s="586"/>
      <c r="T24" s="586"/>
      <c r="U24" s="586"/>
      <c r="V24" s="586"/>
      <c r="W24" s="586"/>
      <c r="X24" s="510"/>
      <c r="Y24" s="510">
        <v>1</v>
      </c>
      <c r="Z24" s="510">
        <v>1</v>
      </c>
    </row>
    <row r="25" spans="1:26" x14ac:dyDescent="0.25">
      <c r="A25" s="510" t="s">
        <v>209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10"/>
      <c r="Z25" s="510">
        <v>1</v>
      </c>
    </row>
    <row r="26" spans="1:26" x14ac:dyDescent="0.25">
      <c r="A26" s="510" t="s">
        <v>210</v>
      </c>
      <c r="B26" s="586"/>
      <c r="C26" s="586"/>
      <c r="D26" s="586"/>
      <c r="E26" s="586"/>
      <c r="F26" s="586"/>
      <c r="G26" s="586"/>
      <c r="H26" s="586"/>
      <c r="I26" s="586"/>
      <c r="J26" s="586"/>
      <c r="K26" s="586"/>
      <c r="L26" s="586"/>
      <c r="M26" s="586"/>
      <c r="N26" s="586"/>
      <c r="O26" s="586"/>
      <c r="P26" s="586"/>
      <c r="Q26" s="586"/>
      <c r="R26" s="586"/>
      <c r="S26" s="586"/>
      <c r="T26" s="586"/>
      <c r="U26" s="586"/>
      <c r="V26" s="586"/>
      <c r="W26" s="586"/>
      <c r="X26" s="586"/>
      <c r="Y26" s="586"/>
      <c r="Z26" s="510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Z27"/>
  <sheetViews>
    <sheetView workbookViewId="0">
      <selection activeCell="B1" sqref="B1:Z1"/>
    </sheetView>
  </sheetViews>
  <sheetFormatPr defaultRowHeight="15" x14ac:dyDescent="0.25"/>
  <sheetData>
    <row r="1" spans="1:26" x14ac:dyDescent="0.25">
      <c r="B1" t="s">
        <v>211</v>
      </c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J1" t="s">
        <v>146</v>
      </c>
      <c r="K1" t="s">
        <v>147</v>
      </c>
      <c r="L1" t="s">
        <v>148</v>
      </c>
      <c r="M1" t="s">
        <v>219</v>
      </c>
      <c r="N1" t="s">
        <v>149</v>
      </c>
      <c r="O1" t="s">
        <v>197</v>
      </c>
      <c r="P1" t="s">
        <v>198</v>
      </c>
      <c r="Q1" t="s">
        <v>196</v>
      </c>
      <c r="R1" t="s">
        <v>220</v>
      </c>
      <c r="S1" t="s">
        <v>204</v>
      </c>
      <c r="T1" t="s">
        <v>203</v>
      </c>
      <c r="U1" t="s">
        <v>205</v>
      </c>
      <c r="V1" t="s">
        <v>206</v>
      </c>
      <c r="W1" t="s">
        <v>207</v>
      </c>
      <c r="X1" t="s">
        <v>208</v>
      </c>
      <c r="Y1" t="s">
        <v>209</v>
      </c>
      <c r="Z1" t="s">
        <v>210</v>
      </c>
    </row>
    <row r="2" spans="1:26" x14ac:dyDescent="0.25">
      <c r="A2" t="s">
        <v>211</v>
      </c>
      <c r="C2">
        <v>0.13242000000000001</v>
      </c>
      <c r="D2">
        <v>0.22083</v>
      </c>
      <c r="E2">
        <v>0.49293999999999999</v>
      </c>
      <c r="F2">
        <v>5.8653999999999998E-2</v>
      </c>
      <c r="G2">
        <v>0.20599000000000001</v>
      </c>
      <c r="H2">
        <v>0.97613000000000005</v>
      </c>
      <c r="I2">
        <v>0.11447</v>
      </c>
      <c r="J2">
        <v>7.7273999999999995E-2</v>
      </c>
      <c r="K2" s="589">
        <v>2.9278999999999999E-2</v>
      </c>
      <c r="L2">
        <v>0.97006999999999999</v>
      </c>
      <c r="M2">
        <v>0.45437</v>
      </c>
      <c r="N2">
        <v>5.2879000000000002E-2</v>
      </c>
      <c r="O2">
        <v>0.13199</v>
      </c>
      <c r="P2">
        <v>0.69891000000000003</v>
      </c>
      <c r="Q2">
        <v>0.33496999999999999</v>
      </c>
      <c r="R2">
        <v>0.78612000000000004</v>
      </c>
      <c r="S2">
        <v>0.79044000000000003</v>
      </c>
      <c r="T2" s="589">
        <v>4.0848000000000002E-2</v>
      </c>
      <c r="U2">
        <v>1</v>
      </c>
      <c r="V2">
        <v>0.43187999999999999</v>
      </c>
      <c r="W2">
        <v>0.29994999999999999</v>
      </c>
      <c r="X2">
        <v>0.33333000000000002</v>
      </c>
      <c r="Y2">
        <v>5.4140000000000001E-2</v>
      </c>
      <c r="Z2">
        <v>1</v>
      </c>
    </row>
    <row r="3" spans="1:26" x14ac:dyDescent="0.25">
      <c r="A3" t="s">
        <v>212</v>
      </c>
      <c r="B3" s="586"/>
      <c r="D3">
        <v>0.19661000000000001</v>
      </c>
      <c r="E3">
        <v>0.25622</v>
      </c>
      <c r="F3">
        <v>0.11142000000000001</v>
      </c>
      <c r="G3">
        <v>0.43075000000000002</v>
      </c>
      <c r="H3">
        <v>0.91481000000000001</v>
      </c>
      <c r="I3" s="591">
        <v>2.4250000000000001E-3</v>
      </c>
      <c r="J3">
        <v>0.18973999999999999</v>
      </c>
      <c r="K3">
        <v>0.13916000000000001</v>
      </c>
      <c r="L3">
        <v>0.56098000000000003</v>
      </c>
      <c r="M3">
        <v>0.96201999999999999</v>
      </c>
      <c r="N3">
        <v>6.9646E-2</v>
      </c>
      <c r="O3">
        <v>0.29164000000000001</v>
      </c>
      <c r="P3">
        <v>0.19126000000000001</v>
      </c>
      <c r="Q3">
        <v>0.68574999999999997</v>
      </c>
      <c r="R3">
        <v>0.78703000000000001</v>
      </c>
      <c r="S3">
        <v>0.51227</v>
      </c>
      <c r="T3">
        <v>0.48309000000000002</v>
      </c>
      <c r="U3">
        <v>1</v>
      </c>
      <c r="V3">
        <v>0.93952999999999998</v>
      </c>
      <c r="W3">
        <v>0.80759999999999998</v>
      </c>
      <c r="X3">
        <v>0.84097999999999995</v>
      </c>
      <c r="Y3" s="591">
        <v>7.0134000000000004E-3</v>
      </c>
      <c r="Z3">
        <v>1</v>
      </c>
    </row>
    <row r="4" spans="1:26" x14ac:dyDescent="0.25">
      <c r="A4" t="s">
        <v>213</v>
      </c>
      <c r="B4" s="586"/>
      <c r="C4" s="586"/>
      <c r="E4">
        <v>0.44955000000000001</v>
      </c>
      <c r="F4" s="589">
        <v>1.5997999999999998E-2</v>
      </c>
      <c r="G4">
        <v>0.16821</v>
      </c>
      <c r="H4">
        <v>0.24148</v>
      </c>
      <c r="I4">
        <v>0.23202</v>
      </c>
      <c r="J4" s="589">
        <v>1.9973999999999999E-2</v>
      </c>
      <c r="K4">
        <v>7.9145999999999994E-2</v>
      </c>
      <c r="L4">
        <v>0.45354</v>
      </c>
      <c r="M4">
        <v>0.24207999999999999</v>
      </c>
      <c r="N4">
        <v>0.48063</v>
      </c>
      <c r="O4">
        <v>0.37733</v>
      </c>
      <c r="P4">
        <v>0.60463999999999996</v>
      </c>
      <c r="Q4">
        <v>0.70643999999999996</v>
      </c>
      <c r="R4">
        <v>0.10263</v>
      </c>
      <c r="S4">
        <v>0.24557999999999999</v>
      </c>
      <c r="T4">
        <v>0.44914999999999999</v>
      </c>
      <c r="U4">
        <v>1</v>
      </c>
      <c r="V4">
        <v>0.26457000000000003</v>
      </c>
      <c r="W4">
        <v>0.39650000000000002</v>
      </c>
      <c r="X4">
        <v>0.36310999999999999</v>
      </c>
      <c r="Y4">
        <v>0.14865999999999999</v>
      </c>
      <c r="Z4">
        <v>1</v>
      </c>
    </row>
    <row r="5" spans="1:26" x14ac:dyDescent="0.25">
      <c r="A5" t="s">
        <v>214</v>
      </c>
      <c r="B5" s="586"/>
      <c r="C5" s="586"/>
      <c r="D5" s="586"/>
      <c r="F5">
        <v>0.49901000000000001</v>
      </c>
      <c r="G5">
        <v>0.17655999999999999</v>
      </c>
      <c r="H5">
        <v>0.77763000000000004</v>
      </c>
      <c r="I5">
        <v>0.15864</v>
      </c>
      <c r="J5">
        <v>0.33473000000000003</v>
      </c>
      <c r="K5">
        <v>0.24709999999999999</v>
      </c>
      <c r="L5">
        <v>6.0331999999999997E-2</v>
      </c>
      <c r="M5">
        <v>0.12103999999999999</v>
      </c>
      <c r="N5">
        <v>0.25672</v>
      </c>
      <c r="O5">
        <v>0.77871000000000001</v>
      </c>
      <c r="P5">
        <v>0.96775</v>
      </c>
      <c r="Q5">
        <v>0.85240000000000005</v>
      </c>
      <c r="R5">
        <v>0.66961000000000004</v>
      </c>
      <c r="S5">
        <v>0.73314000000000001</v>
      </c>
      <c r="T5">
        <v>0.62551000000000001</v>
      </c>
      <c r="U5">
        <v>1</v>
      </c>
      <c r="V5">
        <v>9.8544000000000007E-2</v>
      </c>
      <c r="W5" s="589">
        <v>3.3383000000000003E-2</v>
      </c>
      <c r="X5" s="590">
        <v>9.0032000000000005E-6</v>
      </c>
      <c r="Y5">
        <v>0.41284999999999999</v>
      </c>
      <c r="Z5">
        <v>1</v>
      </c>
    </row>
    <row r="6" spans="1:26" x14ac:dyDescent="0.25">
      <c r="A6" t="s">
        <v>215</v>
      </c>
      <c r="B6" s="586"/>
      <c r="C6" s="586"/>
      <c r="D6" s="586"/>
      <c r="E6" s="586"/>
      <c r="G6">
        <v>0.18121999999999999</v>
      </c>
      <c r="H6">
        <v>0.49991999999999998</v>
      </c>
      <c r="I6">
        <v>0.13619999999999999</v>
      </c>
      <c r="J6" s="589">
        <v>1.1475000000000001E-2</v>
      </c>
      <c r="K6" s="589">
        <v>2.9434999999999999E-2</v>
      </c>
      <c r="L6">
        <v>0.69967999999999997</v>
      </c>
      <c r="M6">
        <v>0.66666999999999998</v>
      </c>
      <c r="N6">
        <v>0.24787000000000001</v>
      </c>
      <c r="O6">
        <v>0.16636000000000001</v>
      </c>
      <c r="P6">
        <v>0.48662</v>
      </c>
      <c r="Q6">
        <v>0.86990000000000001</v>
      </c>
      <c r="R6">
        <v>0.30197000000000002</v>
      </c>
      <c r="S6">
        <v>0.32868999999999998</v>
      </c>
      <c r="T6">
        <v>0.23108999999999999</v>
      </c>
      <c r="U6">
        <v>1</v>
      </c>
      <c r="V6">
        <v>0.64417000000000002</v>
      </c>
      <c r="W6">
        <v>0.51224999999999998</v>
      </c>
      <c r="X6">
        <v>0.54562999999999995</v>
      </c>
      <c r="Y6" s="589">
        <v>4.7632000000000001E-2</v>
      </c>
      <c r="Z6">
        <v>1</v>
      </c>
    </row>
    <row r="7" spans="1:26" x14ac:dyDescent="0.25">
      <c r="A7" t="s">
        <v>216</v>
      </c>
      <c r="B7" s="586"/>
      <c r="C7" s="586"/>
      <c r="D7" s="586"/>
      <c r="E7" s="586"/>
      <c r="F7" s="586"/>
      <c r="H7">
        <v>0.31479000000000001</v>
      </c>
      <c r="I7">
        <v>0.33090000000000003</v>
      </c>
      <c r="J7" s="589">
        <v>4.6667E-2</v>
      </c>
      <c r="K7" s="589">
        <v>3.9935999999999999E-2</v>
      </c>
      <c r="L7">
        <v>0.29703000000000002</v>
      </c>
      <c r="M7">
        <v>0.51224999999999998</v>
      </c>
      <c r="N7">
        <v>0.34791</v>
      </c>
      <c r="O7">
        <v>0.82308000000000003</v>
      </c>
      <c r="P7">
        <v>0.33446999999999999</v>
      </c>
      <c r="Q7">
        <v>0.92913000000000001</v>
      </c>
      <c r="R7">
        <v>0.27490999999999999</v>
      </c>
      <c r="S7">
        <v>0.91915999999999998</v>
      </c>
      <c r="T7">
        <v>0.16234000000000001</v>
      </c>
      <c r="U7">
        <v>1</v>
      </c>
      <c r="V7">
        <v>0.53473999999999999</v>
      </c>
      <c r="W7">
        <v>0.66666999999999998</v>
      </c>
      <c r="X7">
        <v>0.63327999999999995</v>
      </c>
      <c r="Y7">
        <v>0.40168999999999999</v>
      </c>
      <c r="Z7">
        <v>1</v>
      </c>
    </row>
    <row r="8" spans="1:26" x14ac:dyDescent="0.25">
      <c r="A8" t="s">
        <v>217</v>
      </c>
      <c r="B8" s="586"/>
      <c r="C8" s="586"/>
      <c r="D8" s="586"/>
      <c r="E8" s="586"/>
      <c r="F8" s="586"/>
      <c r="G8" s="586"/>
      <c r="I8">
        <v>0.90376999999999996</v>
      </c>
      <c r="J8">
        <v>0.35058</v>
      </c>
      <c r="K8">
        <v>0.56657999999999997</v>
      </c>
      <c r="L8">
        <v>0.38827</v>
      </c>
      <c r="M8">
        <v>0.46906999999999999</v>
      </c>
      <c r="N8">
        <v>0.61553999999999998</v>
      </c>
      <c r="O8">
        <v>0.82682999999999995</v>
      </c>
      <c r="P8">
        <v>0.37764999999999999</v>
      </c>
      <c r="Q8">
        <v>0.15398000000000001</v>
      </c>
      <c r="R8" s="591">
        <v>6.9708000000000001E-3</v>
      </c>
      <c r="S8">
        <v>0.53871000000000002</v>
      </c>
      <c r="T8">
        <v>0.91435999999999995</v>
      </c>
      <c r="U8">
        <v>1</v>
      </c>
      <c r="V8">
        <v>0.49156</v>
      </c>
      <c r="W8">
        <v>0.62348999999999999</v>
      </c>
      <c r="X8">
        <v>0.59011000000000002</v>
      </c>
      <c r="Y8">
        <v>0.96313000000000004</v>
      </c>
      <c r="Z8">
        <v>1</v>
      </c>
    </row>
    <row r="9" spans="1:26" x14ac:dyDescent="0.25">
      <c r="A9" t="s">
        <v>218</v>
      </c>
      <c r="B9" s="586"/>
      <c r="C9" s="586"/>
      <c r="D9" s="586"/>
      <c r="E9" s="586"/>
      <c r="F9" s="586"/>
      <c r="G9" s="586"/>
      <c r="H9" s="586"/>
      <c r="J9">
        <v>0.17638000000000001</v>
      </c>
      <c r="K9">
        <v>0.10496</v>
      </c>
      <c r="L9">
        <v>0.47599000000000002</v>
      </c>
      <c r="M9">
        <v>0.78769999999999996</v>
      </c>
      <c r="N9" s="589">
        <v>3.5353000000000002E-2</v>
      </c>
      <c r="O9">
        <v>0.38438</v>
      </c>
      <c r="P9">
        <v>0.36558000000000002</v>
      </c>
      <c r="Q9">
        <v>0.64690999999999999</v>
      </c>
      <c r="R9">
        <v>0.82381000000000004</v>
      </c>
      <c r="S9">
        <v>0.70252999999999999</v>
      </c>
      <c r="T9">
        <v>0.40189000000000002</v>
      </c>
      <c r="U9">
        <v>1</v>
      </c>
      <c r="V9">
        <v>0.76520999999999995</v>
      </c>
      <c r="W9">
        <v>0.63327999999999995</v>
      </c>
      <c r="X9">
        <v>0.66666999999999998</v>
      </c>
      <c r="Y9" s="589">
        <v>1.8466E-2</v>
      </c>
      <c r="Z9">
        <v>1</v>
      </c>
    </row>
    <row r="10" spans="1:26" x14ac:dyDescent="0.25">
      <c r="A10" t="s">
        <v>146</v>
      </c>
      <c r="B10" s="586"/>
      <c r="C10" s="586"/>
      <c r="D10" s="586"/>
      <c r="E10" s="586"/>
      <c r="F10" s="586"/>
      <c r="G10" s="586"/>
      <c r="H10" s="586"/>
      <c r="I10" s="586"/>
      <c r="K10" s="591">
        <v>6.5018000000000003E-3</v>
      </c>
      <c r="L10">
        <v>0.49421999999999999</v>
      </c>
      <c r="M10">
        <v>0.64710000000000001</v>
      </c>
      <c r="N10">
        <v>0.26933000000000001</v>
      </c>
      <c r="O10">
        <v>0.36237999999999998</v>
      </c>
      <c r="P10">
        <v>0.19961999999999999</v>
      </c>
      <c r="Q10">
        <v>0.98585</v>
      </c>
      <c r="R10">
        <v>0.21720999999999999</v>
      </c>
      <c r="S10">
        <v>0.55095000000000005</v>
      </c>
      <c r="T10">
        <v>0.17047000000000001</v>
      </c>
      <c r="U10">
        <v>1</v>
      </c>
      <c r="V10">
        <v>0.66959000000000002</v>
      </c>
      <c r="W10">
        <v>0.80152000000000001</v>
      </c>
      <c r="X10">
        <v>0.76814000000000004</v>
      </c>
      <c r="Y10">
        <v>0.12681000000000001</v>
      </c>
      <c r="Z10">
        <v>1</v>
      </c>
    </row>
    <row r="11" spans="1:26" x14ac:dyDescent="0.25">
      <c r="A11" t="s">
        <v>147</v>
      </c>
      <c r="B11" s="586"/>
      <c r="C11" s="586"/>
      <c r="D11" s="586"/>
      <c r="E11" s="586"/>
      <c r="F11" s="586"/>
      <c r="G11" s="586"/>
      <c r="H11" s="586"/>
      <c r="I11" s="586"/>
      <c r="J11" s="586"/>
      <c r="L11">
        <v>0.52229999999999999</v>
      </c>
      <c r="M11">
        <v>0.66666999999999998</v>
      </c>
      <c r="N11">
        <v>0.12286999999999999</v>
      </c>
      <c r="O11">
        <v>0.35808000000000001</v>
      </c>
      <c r="P11">
        <v>0.18004999999999999</v>
      </c>
      <c r="Q11">
        <v>0.74431000000000003</v>
      </c>
      <c r="R11">
        <v>0.41221999999999998</v>
      </c>
      <c r="S11">
        <v>0.76771</v>
      </c>
      <c r="T11">
        <v>9.2115000000000002E-2</v>
      </c>
      <c r="U11">
        <v>1</v>
      </c>
      <c r="V11">
        <v>0.68915999999999999</v>
      </c>
      <c r="W11">
        <v>0.82108999999999999</v>
      </c>
      <c r="X11">
        <v>0.78769999999999996</v>
      </c>
      <c r="Y11">
        <v>9.2553999999999997E-2</v>
      </c>
      <c r="Z11">
        <v>1</v>
      </c>
    </row>
    <row r="12" spans="1:26" x14ac:dyDescent="0.25">
      <c r="A12" t="s">
        <v>148</v>
      </c>
      <c r="B12" s="586"/>
      <c r="C12" s="586"/>
      <c r="D12" s="586"/>
      <c r="E12" s="586"/>
      <c r="F12" s="586"/>
      <c r="G12" s="586"/>
      <c r="H12" s="586"/>
      <c r="I12" s="586"/>
      <c r="J12" s="586"/>
      <c r="K12" s="586"/>
      <c r="M12">
        <v>9.9424999999999999E-2</v>
      </c>
      <c r="N12">
        <v>0.78149000000000002</v>
      </c>
      <c r="O12">
        <v>0.43697000000000003</v>
      </c>
      <c r="P12">
        <v>0.94613999999999998</v>
      </c>
      <c r="Q12">
        <v>0.28243000000000001</v>
      </c>
      <c r="R12">
        <v>0.34587000000000001</v>
      </c>
      <c r="S12">
        <v>0.94901999999999997</v>
      </c>
      <c r="T12">
        <v>0.90144999999999997</v>
      </c>
      <c r="U12">
        <v>1</v>
      </c>
      <c r="V12">
        <v>7.6930999999999999E-2</v>
      </c>
      <c r="W12">
        <v>5.4996000000000003E-2</v>
      </c>
      <c r="X12" s="589">
        <v>2.1611999999999999E-2</v>
      </c>
      <c r="Y12">
        <v>0.77620999999999996</v>
      </c>
      <c r="Z12">
        <v>1</v>
      </c>
    </row>
    <row r="13" spans="1:26" x14ac:dyDescent="0.25">
      <c r="A13" t="s">
        <v>219</v>
      </c>
      <c r="B13" s="586"/>
      <c r="C13" s="586"/>
      <c r="D13" s="586"/>
      <c r="E13" s="586"/>
      <c r="F13" s="586"/>
      <c r="G13" s="586"/>
      <c r="H13" s="586"/>
      <c r="I13" s="586"/>
      <c r="J13" s="586"/>
      <c r="K13" s="586"/>
      <c r="L13" s="586"/>
      <c r="N13">
        <v>0.67686000000000002</v>
      </c>
      <c r="O13" s="589">
        <v>2.6877999999999999E-2</v>
      </c>
      <c r="P13">
        <v>0.84672000000000003</v>
      </c>
      <c r="Q13">
        <v>7.1997000000000005E-2</v>
      </c>
      <c r="R13">
        <v>0.36671999999999999</v>
      </c>
      <c r="S13">
        <v>0.58640999999999999</v>
      </c>
      <c r="T13">
        <v>0.79007000000000005</v>
      </c>
      <c r="U13">
        <v>1</v>
      </c>
      <c r="V13" s="589">
        <v>2.2494E-2</v>
      </c>
      <c r="W13">
        <v>0.15442</v>
      </c>
      <c r="X13">
        <v>0.12103999999999999</v>
      </c>
      <c r="Y13">
        <v>0.66666999999999998</v>
      </c>
      <c r="Z13">
        <v>1</v>
      </c>
    </row>
    <row r="14" spans="1:26" x14ac:dyDescent="0.25">
      <c r="A14" t="s">
        <v>149</v>
      </c>
      <c r="B14" s="586"/>
      <c r="C14" s="586"/>
      <c r="D14" s="586"/>
      <c r="E14" s="586"/>
      <c r="F14" s="586"/>
      <c r="G14" s="586"/>
      <c r="H14" s="586"/>
      <c r="I14" s="586"/>
      <c r="J14" s="586"/>
      <c r="K14" s="586"/>
      <c r="L14" s="586"/>
      <c r="M14" s="586"/>
      <c r="O14">
        <v>0.34247</v>
      </c>
      <c r="P14">
        <v>0.16985</v>
      </c>
      <c r="Q14">
        <v>0.25894</v>
      </c>
      <c r="R14">
        <v>0.81777999999999995</v>
      </c>
      <c r="S14">
        <v>0.90075000000000005</v>
      </c>
      <c r="T14">
        <v>0.17372000000000001</v>
      </c>
      <c r="U14">
        <v>1</v>
      </c>
      <c r="V14">
        <v>0.69935999999999998</v>
      </c>
      <c r="W14">
        <v>0.83128000000000002</v>
      </c>
      <c r="X14">
        <v>0.79790000000000005</v>
      </c>
      <c r="Y14">
        <v>6.9708000000000006E-2</v>
      </c>
      <c r="Z14">
        <v>1</v>
      </c>
    </row>
    <row r="15" spans="1:26" x14ac:dyDescent="0.25">
      <c r="A15" t="s">
        <v>197</v>
      </c>
      <c r="B15" s="586"/>
      <c r="C15" s="586"/>
      <c r="D15" s="586"/>
      <c r="E15" s="586"/>
      <c r="F15" s="586"/>
      <c r="G15" s="586"/>
      <c r="H15" s="586"/>
      <c r="I15" s="586"/>
      <c r="J15" s="586"/>
      <c r="K15" s="586"/>
      <c r="L15" s="586"/>
      <c r="M15" s="586"/>
      <c r="N15" s="586"/>
      <c r="P15">
        <v>0.81984000000000001</v>
      </c>
      <c r="Q15">
        <v>0.32412000000000002</v>
      </c>
      <c r="R15">
        <v>0.95377999999999996</v>
      </c>
      <c r="S15">
        <v>0.32383000000000001</v>
      </c>
      <c r="T15">
        <v>0.32097999999999999</v>
      </c>
      <c r="U15">
        <v>1</v>
      </c>
      <c r="V15" s="589">
        <v>4.9371999999999999E-2</v>
      </c>
      <c r="W15">
        <v>0.18129999999999999</v>
      </c>
      <c r="X15">
        <v>0.14792</v>
      </c>
      <c r="Y15">
        <v>0.13314999999999999</v>
      </c>
      <c r="Z15">
        <v>1</v>
      </c>
    </row>
    <row r="16" spans="1:26" x14ac:dyDescent="0.25">
      <c r="A16" t="s">
        <v>198</v>
      </c>
      <c r="B16" s="586"/>
      <c r="C16" s="586"/>
      <c r="D16" s="586"/>
      <c r="E16" s="586"/>
      <c r="F16" s="586"/>
      <c r="G16" s="586"/>
      <c r="H16" s="586"/>
      <c r="I16" s="586"/>
      <c r="J16" s="586"/>
      <c r="K16" s="586"/>
      <c r="L16" s="586"/>
      <c r="M16" s="586"/>
      <c r="N16" s="586"/>
      <c r="O16" s="586"/>
      <c r="Q16">
        <v>0.91871000000000003</v>
      </c>
      <c r="R16">
        <v>0.48</v>
      </c>
      <c r="S16">
        <v>0.26029999999999998</v>
      </c>
      <c r="T16">
        <v>0.36320999999999998</v>
      </c>
      <c r="U16">
        <v>1</v>
      </c>
      <c r="V16">
        <v>0.86921000000000004</v>
      </c>
      <c r="W16">
        <v>0.99885999999999997</v>
      </c>
      <c r="X16">
        <v>0.96775</v>
      </c>
      <c r="Y16">
        <v>0.18004999999999999</v>
      </c>
      <c r="Z16">
        <v>1</v>
      </c>
    </row>
    <row r="17" spans="1:26" x14ac:dyDescent="0.25">
      <c r="A17" t="s">
        <v>196</v>
      </c>
      <c r="B17" s="586"/>
      <c r="C17" s="586"/>
      <c r="D17" s="586"/>
      <c r="E17" s="586"/>
      <c r="F17" s="586"/>
      <c r="G17" s="586"/>
      <c r="H17" s="586"/>
      <c r="I17" s="586"/>
      <c r="J17" s="586"/>
      <c r="K17" s="586"/>
      <c r="L17" s="586"/>
      <c r="M17" s="586"/>
      <c r="N17" s="586"/>
      <c r="O17" s="586"/>
      <c r="P17" s="586"/>
      <c r="R17">
        <v>0.19456999999999999</v>
      </c>
      <c r="S17">
        <v>0.59714999999999996</v>
      </c>
      <c r="T17">
        <v>0.28836000000000001</v>
      </c>
      <c r="U17">
        <v>1</v>
      </c>
      <c r="V17" s="589">
        <v>4.9502999999999998E-2</v>
      </c>
      <c r="W17">
        <v>8.2423999999999997E-2</v>
      </c>
      <c r="X17" s="589">
        <v>4.9041000000000001E-2</v>
      </c>
      <c r="Y17">
        <v>0.56218999999999997</v>
      </c>
      <c r="Z17">
        <v>1</v>
      </c>
    </row>
    <row r="18" spans="1:26" x14ac:dyDescent="0.25">
      <c r="A18" t="s">
        <v>220</v>
      </c>
      <c r="B18" s="586"/>
      <c r="C18" s="586"/>
      <c r="D18" s="586"/>
      <c r="E18" s="586"/>
      <c r="F18" s="586"/>
      <c r="G18" s="586"/>
      <c r="H18" s="586"/>
      <c r="I18" s="586"/>
      <c r="J18" s="586"/>
      <c r="K18" s="586"/>
      <c r="L18" s="586"/>
      <c r="M18" s="586"/>
      <c r="N18" s="586"/>
      <c r="O18" s="586"/>
      <c r="P18" s="586"/>
      <c r="Q18" s="586"/>
      <c r="S18">
        <v>0.35214000000000001</v>
      </c>
      <c r="T18">
        <v>0.86102000000000001</v>
      </c>
      <c r="U18">
        <v>1</v>
      </c>
      <c r="V18">
        <v>0.38921</v>
      </c>
      <c r="W18">
        <v>0.52114000000000005</v>
      </c>
      <c r="X18">
        <v>0.48775000000000002</v>
      </c>
      <c r="Y18">
        <v>0.74519000000000002</v>
      </c>
      <c r="Z18">
        <v>1</v>
      </c>
    </row>
    <row r="19" spans="1:26" x14ac:dyDescent="0.25">
      <c r="A19" t="s">
        <v>204</v>
      </c>
      <c r="B19" s="586"/>
      <c r="C19" s="586"/>
      <c r="D19" s="586"/>
      <c r="E19" s="586"/>
      <c r="F19" s="586"/>
      <c r="G19" s="586"/>
      <c r="H19" s="586"/>
      <c r="I19" s="586"/>
      <c r="J19" s="586"/>
      <c r="K19" s="586"/>
      <c r="L19" s="586"/>
      <c r="M19" s="586"/>
      <c r="N19" s="586"/>
      <c r="O19" s="586"/>
      <c r="P19" s="586"/>
      <c r="Q19" s="586"/>
      <c r="R19" s="586"/>
      <c r="T19">
        <v>0.79064000000000001</v>
      </c>
      <c r="U19">
        <v>1</v>
      </c>
      <c r="V19">
        <v>0.60890999999999995</v>
      </c>
      <c r="W19">
        <v>0.74082999999999999</v>
      </c>
      <c r="X19">
        <v>0.70745000000000002</v>
      </c>
      <c r="Y19">
        <v>0.43584000000000001</v>
      </c>
      <c r="Z19">
        <v>1</v>
      </c>
    </row>
    <row r="20" spans="1:26" x14ac:dyDescent="0.25">
      <c r="A20" t="s">
        <v>203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U20">
        <v>1</v>
      </c>
      <c r="V20">
        <v>0.76758000000000004</v>
      </c>
      <c r="W20">
        <v>0.63565000000000005</v>
      </c>
      <c r="X20">
        <v>0.66903000000000001</v>
      </c>
      <c r="Y20">
        <v>0.32551000000000002</v>
      </c>
      <c r="Z20">
        <v>1</v>
      </c>
    </row>
    <row r="21" spans="1:26" x14ac:dyDescent="0.25">
      <c r="A21" t="s">
        <v>205</v>
      </c>
      <c r="B21" s="588"/>
      <c r="C21" s="586"/>
      <c r="D21" s="588"/>
      <c r="E21" s="588"/>
      <c r="F21" s="586"/>
      <c r="G21" s="588"/>
      <c r="H21" s="586"/>
      <c r="I21" s="588"/>
      <c r="J21" s="588"/>
      <c r="K21" s="588"/>
      <c r="L21" s="588"/>
      <c r="M21" s="588"/>
      <c r="N21" s="588"/>
      <c r="O21" s="588"/>
      <c r="P21" s="588"/>
      <c r="Q21" s="586"/>
      <c r="R21" s="588"/>
      <c r="S21" s="588"/>
      <c r="T21" s="588"/>
      <c r="V21">
        <v>1</v>
      </c>
      <c r="W21">
        <v>1</v>
      </c>
      <c r="X21">
        <v>1</v>
      </c>
      <c r="Y21">
        <v>1</v>
      </c>
      <c r="Z21">
        <v>1</v>
      </c>
    </row>
    <row r="22" spans="1:26" x14ac:dyDescent="0.25">
      <c r="A22" t="s">
        <v>206</v>
      </c>
      <c r="B22" s="586"/>
      <c r="C22" s="586"/>
      <c r="D22" s="586"/>
      <c r="E22" s="586"/>
      <c r="F22" s="586"/>
      <c r="G22" s="586"/>
      <c r="H22" s="586"/>
      <c r="I22" s="586"/>
      <c r="J22" s="586"/>
      <c r="K22" s="586"/>
      <c r="L22" s="586"/>
      <c r="M22" s="586"/>
      <c r="N22" s="586"/>
      <c r="O22" s="586"/>
      <c r="P22" s="586"/>
      <c r="Q22" s="586"/>
      <c r="R22" s="586"/>
      <c r="S22" s="586"/>
      <c r="T22" s="586"/>
      <c r="U22" s="588"/>
      <c r="W22">
        <v>0.13192999999999999</v>
      </c>
      <c r="X22">
        <v>9.8544000000000007E-2</v>
      </c>
      <c r="Y22">
        <v>0.68915999999999999</v>
      </c>
      <c r="Z22">
        <v>1</v>
      </c>
    </row>
    <row r="23" spans="1:26" x14ac:dyDescent="0.25">
      <c r="A23" t="s">
        <v>207</v>
      </c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86"/>
      <c r="P23" s="586"/>
      <c r="Q23" s="586"/>
      <c r="R23" s="586"/>
      <c r="S23" s="586"/>
      <c r="T23" s="586"/>
      <c r="U23" s="588"/>
      <c r="V23" s="586"/>
      <c r="X23" s="589">
        <v>3.3383000000000003E-2</v>
      </c>
      <c r="Y23">
        <v>0.82108999999999999</v>
      </c>
      <c r="Z23">
        <v>1</v>
      </c>
    </row>
    <row r="24" spans="1:26" x14ac:dyDescent="0.25">
      <c r="A24" t="s">
        <v>208</v>
      </c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86"/>
      <c r="P24" s="586"/>
      <c r="Q24" s="586"/>
      <c r="R24" s="586"/>
      <c r="S24" s="586"/>
      <c r="T24" s="586"/>
      <c r="U24" s="588"/>
      <c r="V24" s="586"/>
      <c r="W24" s="586"/>
      <c r="Y24">
        <v>0.78769999999999996</v>
      </c>
      <c r="Z24">
        <v>1</v>
      </c>
    </row>
    <row r="25" spans="1:26" x14ac:dyDescent="0.25">
      <c r="A25" t="s">
        <v>209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8"/>
      <c r="V25" s="586"/>
      <c r="W25" s="586"/>
      <c r="X25" s="586"/>
      <c r="Z25">
        <v>1</v>
      </c>
    </row>
    <row r="26" spans="1:26" x14ac:dyDescent="0.25">
      <c r="A26" t="s">
        <v>210</v>
      </c>
      <c r="B26" s="586"/>
      <c r="C26" s="586"/>
      <c r="D26" s="586"/>
      <c r="E26" s="586"/>
      <c r="F26" s="586"/>
      <c r="G26" s="586"/>
      <c r="H26" s="586"/>
      <c r="I26" s="586"/>
      <c r="J26" s="586"/>
      <c r="K26" s="586"/>
      <c r="L26" s="586"/>
      <c r="M26" s="586"/>
      <c r="N26" s="586"/>
      <c r="O26" s="586"/>
      <c r="P26" s="586"/>
      <c r="Q26" s="586"/>
      <c r="R26" s="586"/>
      <c r="S26" s="586"/>
      <c r="T26" s="586"/>
      <c r="U26" s="586"/>
      <c r="V26" s="586"/>
      <c r="W26" s="586"/>
      <c r="X26" s="586"/>
      <c r="Y26" s="586"/>
    </row>
    <row r="27" spans="1:26" x14ac:dyDescent="0.25">
      <c r="J27" s="586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Z26"/>
  <sheetViews>
    <sheetView workbookViewId="0">
      <selection activeCell="B1" sqref="B1:Z1"/>
    </sheetView>
  </sheetViews>
  <sheetFormatPr defaultRowHeight="15" x14ac:dyDescent="0.25"/>
  <sheetData>
    <row r="1" spans="1:26" x14ac:dyDescent="0.25">
      <c r="A1" s="510"/>
      <c r="B1" s="510" t="s">
        <v>211</v>
      </c>
      <c r="C1" s="510" t="s">
        <v>212</v>
      </c>
      <c r="D1" s="510" t="s">
        <v>213</v>
      </c>
      <c r="E1" s="510" t="s">
        <v>214</v>
      </c>
      <c r="F1" s="510" t="s">
        <v>215</v>
      </c>
      <c r="G1" s="510" t="s">
        <v>216</v>
      </c>
      <c r="H1" s="510" t="s">
        <v>217</v>
      </c>
      <c r="I1" s="510" t="s">
        <v>218</v>
      </c>
      <c r="J1" s="510" t="s">
        <v>146</v>
      </c>
      <c r="K1" s="510" t="s">
        <v>147</v>
      </c>
      <c r="L1" s="510" t="s">
        <v>148</v>
      </c>
      <c r="M1" s="510" t="s">
        <v>219</v>
      </c>
      <c r="N1" s="510" t="s">
        <v>149</v>
      </c>
      <c r="O1" s="510" t="s">
        <v>197</v>
      </c>
      <c r="P1" s="510" t="s">
        <v>198</v>
      </c>
      <c r="Q1" s="510" t="s">
        <v>196</v>
      </c>
      <c r="R1" s="510" t="s">
        <v>220</v>
      </c>
      <c r="S1" s="510" t="s">
        <v>204</v>
      </c>
      <c r="T1" s="510" t="s">
        <v>203</v>
      </c>
      <c r="U1" s="510" t="s">
        <v>205</v>
      </c>
      <c r="V1" s="510" t="s">
        <v>206</v>
      </c>
      <c r="W1" s="510" t="s">
        <v>207</v>
      </c>
      <c r="X1" s="510" t="s">
        <v>208</v>
      </c>
      <c r="Y1" s="510" t="s">
        <v>209</v>
      </c>
      <c r="Z1" s="510" t="s">
        <v>210</v>
      </c>
    </row>
    <row r="2" spans="1:26" x14ac:dyDescent="0.25">
      <c r="A2" s="510" t="s">
        <v>211</v>
      </c>
      <c r="B2" s="510"/>
      <c r="C2" s="592">
        <v>4.4692999999999998E-3</v>
      </c>
      <c r="D2" s="510">
        <v>0.14846000000000001</v>
      </c>
      <c r="E2" s="510">
        <v>0.63985000000000003</v>
      </c>
      <c r="F2" s="510">
        <v>0.12064999999999999</v>
      </c>
      <c r="G2" s="510">
        <v>0.28860000000000002</v>
      </c>
      <c r="H2" s="510">
        <v>0.90452999999999995</v>
      </c>
      <c r="I2" s="510">
        <v>0.25311</v>
      </c>
      <c r="J2" s="587">
        <v>1.6157000000000001E-2</v>
      </c>
      <c r="K2" s="510">
        <v>0.76651000000000002</v>
      </c>
      <c r="L2" s="510">
        <v>0.50826000000000005</v>
      </c>
      <c r="M2" s="510">
        <v>0.21276</v>
      </c>
      <c r="N2" s="510">
        <v>9.8312999999999998E-2</v>
      </c>
      <c r="O2" s="510">
        <v>0.11831999999999999</v>
      </c>
      <c r="P2" s="510">
        <v>0.14745</v>
      </c>
      <c r="Q2" s="510">
        <v>7.4537000000000006E-2</v>
      </c>
      <c r="R2" s="510">
        <v>0.53608999999999996</v>
      </c>
      <c r="S2" s="510">
        <v>0.56966000000000006</v>
      </c>
      <c r="T2" s="510">
        <v>0.29409999999999997</v>
      </c>
      <c r="U2" s="510">
        <v>0.11495</v>
      </c>
      <c r="V2" s="510">
        <v>0.13088</v>
      </c>
      <c r="W2" s="510">
        <v>0.64512000000000003</v>
      </c>
      <c r="X2" s="510">
        <v>0.10841000000000001</v>
      </c>
      <c r="Y2" s="510">
        <v>5.4371000000000003E-2</v>
      </c>
      <c r="Z2" s="510">
        <v>1</v>
      </c>
    </row>
    <row r="3" spans="1:26" x14ac:dyDescent="0.25">
      <c r="A3" s="510" t="s">
        <v>212</v>
      </c>
      <c r="B3" s="594"/>
      <c r="C3" s="510"/>
      <c r="D3" s="510">
        <v>0.20738999999999999</v>
      </c>
      <c r="E3" s="510">
        <v>0.63419000000000003</v>
      </c>
      <c r="F3" s="510">
        <v>7.9580999999999999E-2</v>
      </c>
      <c r="G3" s="510">
        <v>0.36033999999999999</v>
      </c>
      <c r="H3" s="510">
        <v>0.80191000000000001</v>
      </c>
      <c r="I3" s="510">
        <v>0.16023999999999999</v>
      </c>
      <c r="J3" s="510">
        <v>6.6405000000000006E-2</v>
      </c>
      <c r="K3" s="510">
        <v>0.55955999999999995</v>
      </c>
      <c r="L3" s="510">
        <v>0.33578000000000002</v>
      </c>
      <c r="M3" s="510">
        <v>0.28938000000000003</v>
      </c>
      <c r="N3" s="510">
        <v>0.11409</v>
      </c>
      <c r="O3" s="510">
        <v>0.23269999999999999</v>
      </c>
      <c r="P3" s="510">
        <v>0.30169000000000001</v>
      </c>
      <c r="Q3" s="510">
        <v>0.14655000000000001</v>
      </c>
      <c r="R3" s="510">
        <v>0.77195000000000003</v>
      </c>
      <c r="S3" s="510">
        <v>0.70435000000000003</v>
      </c>
      <c r="T3" s="510">
        <v>0.49048999999999998</v>
      </c>
      <c r="U3" s="510">
        <v>0.22811999999999999</v>
      </c>
      <c r="V3" s="510">
        <v>0.23336000000000001</v>
      </c>
      <c r="W3" s="510">
        <v>0.75334999999999996</v>
      </c>
      <c r="X3" s="510">
        <v>0.23008999999999999</v>
      </c>
      <c r="Y3" s="587">
        <v>1.6726999999999999E-2</v>
      </c>
      <c r="Z3" s="510">
        <v>1</v>
      </c>
    </row>
    <row r="4" spans="1:26" x14ac:dyDescent="0.25">
      <c r="A4" s="510" t="s">
        <v>213</v>
      </c>
      <c r="B4" s="594"/>
      <c r="C4" s="594"/>
      <c r="D4" s="510"/>
      <c r="E4" s="510">
        <v>0.15328</v>
      </c>
      <c r="F4" s="510">
        <v>7.5913999999999995E-2</v>
      </c>
      <c r="G4" s="592">
        <v>6.1292999999999999E-3</v>
      </c>
      <c r="H4" s="510">
        <v>0.82221</v>
      </c>
      <c r="I4" s="510">
        <v>0.34247</v>
      </c>
      <c r="J4" s="510">
        <v>0.11890000000000001</v>
      </c>
      <c r="K4" s="510">
        <v>0.62338000000000005</v>
      </c>
      <c r="L4" s="510">
        <v>0.98777999999999999</v>
      </c>
      <c r="M4" s="510">
        <v>0.27039999999999997</v>
      </c>
      <c r="N4" s="510">
        <v>0.69366000000000005</v>
      </c>
      <c r="O4" s="510">
        <v>0.10696</v>
      </c>
      <c r="P4" s="510">
        <v>0.18431</v>
      </c>
      <c r="Q4" s="510">
        <v>0.26183000000000001</v>
      </c>
      <c r="R4" s="510">
        <v>0.51766000000000001</v>
      </c>
      <c r="S4" s="510">
        <v>0.96972999999999998</v>
      </c>
      <c r="T4" s="510">
        <v>0.16486999999999999</v>
      </c>
      <c r="U4" s="587">
        <v>2.6587E-2</v>
      </c>
      <c r="V4" s="510">
        <v>0.34784999999999999</v>
      </c>
      <c r="W4" s="510">
        <v>6.8972000000000006E-2</v>
      </c>
      <c r="X4" s="510">
        <v>0.19258</v>
      </c>
      <c r="Y4" s="510">
        <v>0.50512999999999997</v>
      </c>
      <c r="Z4" s="510">
        <v>1</v>
      </c>
    </row>
    <row r="5" spans="1:26" x14ac:dyDescent="0.25">
      <c r="A5" s="510" t="s">
        <v>214</v>
      </c>
      <c r="B5" s="594"/>
      <c r="C5" s="594"/>
      <c r="D5" s="594"/>
      <c r="E5" s="510"/>
      <c r="F5" s="510">
        <v>0.21292</v>
      </c>
      <c r="G5" s="510">
        <v>6.0284999999999998E-2</v>
      </c>
      <c r="H5" s="510">
        <v>0.23477000000000001</v>
      </c>
      <c r="I5" s="510">
        <v>0.21134</v>
      </c>
      <c r="J5" s="510">
        <v>0.72614000000000001</v>
      </c>
      <c r="K5" s="510">
        <v>0.46564</v>
      </c>
      <c r="L5" s="510">
        <v>0.71836</v>
      </c>
      <c r="M5" s="510">
        <v>0.94057000000000002</v>
      </c>
      <c r="N5" s="510">
        <v>0.60070999999999997</v>
      </c>
      <c r="O5" s="510">
        <v>0.41686000000000001</v>
      </c>
      <c r="P5" s="510">
        <v>0.74321999999999999</v>
      </c>
      <c r="Q5" s="510">
        <v>0.63032999999999995</v>
      </c>
      <c r="R5" s="510">
        <v>0.84938000000000002</v>
      </c>
      <c r="S5" s="510">
        <v>0.20780999999999999</v>
      </c>
      <c r="T5" s="510">
        <v>0.52268000000000003</v>
      </c>
      <c r="U5" s="510">
        <v>0.40982000000000002</v>
      </c>
      <c r="V5" s="510">
        <v>0.79796999999999996</v>
      </c>
      <c r="W5" s="510">
        <v>0.10274</v>
      </c>
      <c r="X5" s="510">
        <v>0.91832000000000003</v>
      </c>
      <c r="Y5" s="510">
        <v>0.95328999999999997</v>
      </c>
      <c r="Z5" s="510">
        <v>1</v>
      </c>
    </row>
    <row r="6" spans="1:26" x14ac:dyDescent="0.25">
      <c r="A6" s="510" t="s">
        <v>215</v>
      </c>
      <c r="B6" s="594"/>
      <c r="C6" s="594"/>
      <c r="D6" s="594"/>
      <c r="E6" s="594"/>
      <c r="F6" s="510"/>
      <c r="G6" s="510">
        <v>0.12728999999999999</v>
      </c>
      <c r="H6" s="510">
        <v>0.63697000000000004</v>
      </c>
      <c r="I6" s="510">
        <v>9.8086999999999994E-2</v>
      </c>
      <c r="J6" s="510">
        <v>0.24146000000000001</v>
      </c>
      <c r="K6" s="510">
        <v>0.73741000000000001</v>
      </c>
      <c r="L6" s="510">
        <v>0.41205999999999998</v>
      </c>
      <c r="M6" s="510">
        <v>0.39035999999999998</v>
      </c>
      <c r="N6" s="510">
        <v>0.58535999999999999</v>
      </c>
      <c r="O6" s="510">
        <v>0.37953999999999999</v>
      </c>
      <c r="P6" s="510">
        <v>0.55449999999999999</v>
      </c>
      <c r="Q6" s="510">
        <v>0.43586000000000003</v>
      </c>
      <c r="R6" s="510">
        <v>0.90878000000000003</v>
      </c>
      <c r="S6" s="510">
        <v>0.76222999999999996</v>
      </c>
      <c r="T6" s="510">
        <v>0.62633000000000005</v>
      </c>
      <c r="U6" s="510">
        <v>0.25206000000000001</v>
      </c>
      <c r="V6" s="510">
        <v>0.55210000000000004</v>
      </c>
      <c r="W6" s="510">
        <v>0.32221</v>
      </c>
      <c r="X6" s="510">
        <v>0.47043000000000001</v>
      </c>
      <c r="Y6" s="510">
        <v>0.19739000000000001</v>
      </c>
      <c r="Z6" s="510">
        <v>1</v>
      </c>
    </row>
    <row r="7" spans="1:26" x14ac:dyDescent="0.25">
      <c r="A7" s="510" t="s">
        <v>216</v>
      </c>
      <c r="B7" s="594"/>
      <c r="C7" s="594"/>
      <c r="D7" s="594"/>
      <c r="E7" s="594"/>
      <c r="F7" s="594"/>
      <c r="G7" s="510"/>
      <c r="H7" s="510">
        <v>0.64505999999999997</v>
      </c>
      <c r="I7" s="510">
        <v>0.34233000000000002</v>
      </c>
      <c r="J7" s="510">
        <v>0.25148999999999999</v>
      </c>
      <c r="K7" s="510">
        <v>0.43740000000000001</v>
      </c>
      <c r="L7" s="510">
        <v>0.78976000000000002</v>
      </c>
      <c r="M7" s="510">
        <v>0.47027000000000002</v>
      </c>
      <c r="N7" s="510">
        <v>0.95816000000000001</v>
      </c>
      <c r="O7" s="510">
        <v>0.1348</v>
      </c>
      <c r="P7" s="510">
        <v>0.26608999999999999</v>
      </c>
      <c r="Q7" s="510">
        <v>0.33395000000000002</v>
      </c>
      <c r="R7" s="510">
        <v>0.50926000000000005</v>
      </c>
      <c r="S7" s="510">
        <v>0.72711999999999999</v>
      </c>
      <c r="T7" s="510">
        <v>0.17652000000000001</v>
      </c>
      <c r="U7" s="510">
        <v>6.6353999999999996E-2</v>
      </c>
      <c r="V7" s="510">
        <v>0.56376999999999999</v>
      </c>
      <c r="W7" s="587">
        <v>2.8174999999999999E-2</v>
      </c>
      <c r="X7" s="510">
        <v>0.33692</v>
      </c>
      <c r="Y7" s="510">
        <v>0.72065999999999997</v>
      </c>
      <c r="Z7" s="510">
        <v>1</v>
      </c>
    </row>
    <row r="8" spans="1:26" x14ac:dyDescent="0.25">
      <c r="A8" s="510" t="s">
        <v>217</v>
      </c>
      <c r="B8" s="594"/>
      <c r="C8" s="594"/>
      <c r="D8" s="594"/>
      <c r="E8" s="594"/>
      <c r="F8" s="594"/>
      <c r="G8" s="594"/>
      <c r="H8" s="510"/>
      <c r="I8" s="510">
        <v>0.14146</v>
      </c>
      <c r="J8" s="510">
        <v>0.81372999999999995</v>
      </c>
      <c r="K8" s="510">
        <v>0.81274000000000002</v>
      </c>
      <c r="L8" s="510">
        <v>0.78366000000000002</v>
      </c>
      <c r="M8" s="510">
        <v>0.25035000000000002</v>
      </c>
      <c r="N8" s="510">
        <v>0.71984999999999999</v>
      </c>
      <c r="O8" s="510">
        <v>0.75114000000000003</v>
      </c>
      <c r="P8" s="510">
        <v>0.80740000000000001</v>
      </c>
      <c r="Q8" s="510">
        <v>0.66942999999999997</v>
      </c>
      <c r="R8" s="510">
        <v>0.99741999999999997</v>
      </c>
      <c r="S8" s="510">
        <v>0.11216</v>
      </c>
      <c r="T8" s="510">
        <v>0.99695</v>
      </c>
      <c r="U8" s="510">
        <v>0.90161999999999998</v>
      </c>
      <c r="V8" s="510">
        <v>0.35120000000000001</v>
      </c>
      <c r="W8" s="510">
        <v>0.88965000000000005</v>
      </c>
      <c r="X8" s="510">
        <v>0.52517000000000003</v>
      </c>
      <c r="Y8" s="510">
        <v>0.85672000000000004</v>
      </c>
      <c r="Z8" s="510">
        <v>1</v>
      </c>
    </row>
    <row r="9" spans="1:26" x14ac:dyDescent="0.25">
      <c r="A9" s="510" t="s">
        <v>218</v>
      </c>
      <c r="B9" s="594"/>
      <c r="C9" s="594"/>
      <c r="D9" s="594"/>
      <c r="E9" s="594"/>
      <c r="F9" s="594"/>
      <c r="G9" s="594"/>
      <c r="H9" s="594"/>
      <c r="I9" s="510"/>
      <c r="J9" s="510">
        <v>0.52807999999999999</v>
      </c>
      <c r="K9" s="510">
        <v>0.72560000000000002</v>
      </c>
      <c r="L9" s="510">
        <v>0.56240000000000001</v>
      </c>
      <c r="M9" s="510">
        <v>0.96641999999999995</v>
      </c>
      <c r="N9" s="510">
        <v>0.66683000000000003</v>
      </c>
      <c r="O9" s="510">
        <v>0.46690999999999999</v>
      </c>
      <c r="P9" s="510">
        <v>0.81457000000000002</v>
      </c>
      <c r="Q9" s="510">
        <v>0.37618000000000001</v>
      </c>
      <c r="R9" s="510">
        <v>0.91186999999999996</v>
      </c>
      <c r="S9" s="510">
        <v>0.42152000000000001</v>
      </c>
      <c r="T9" s="510">
        <v>0.82691999999999999</v>
      </c>
      <c r="U9" s="510">
        <v>0.60358999999999996</v>
      </c>
      <c r="V9" s="510">
        <v>0.98377999999999999</v>
      </c>
      <c r="W9" s="510">
        <v>0.70437000000000005</v>
      </c>
      <c r="X9" s="510">
        <v>0.89827999999999997</v>
      </c>
      <c r="Y9" s="510">
        <v>0.21493000000000001</v>
      </c>
      <c r="Z9" s="510">
        <v>1</v>
      </c>
    </row>
    <row r="10" spans="1:26" x14ac:dyDescent="0.25">
      <c r="A10" s="510" t="s">
        <v>146</v>
      </c>
      <c r="B10" s="594"/>
      <c r="C10" s="594"/>
      <c r="D10" s="594"/>
      <c r="E10" s="594"/>
      <c r="F10" s="594"/>
      <c r="G10" s="594"/>
      <c r="H10" s="594"/>
      <c r="I10" s="594"/>
      <c r="J10" s="510"/>
      <c r="K10" s="510">
        <v>0.95831</v>
      </c>
      <c r="L10" s="510">
        <v>0.75202000000000002</v>
      </c>
      <c r="M10" s="510">
        <v>0.10113999999999999</v>
      </c>
      <c r="N10" s="510">
        <v>0.12672</v>
      </c>
      <c r="O10" s="510">
        <v>6.2259000000000002E-2</v>
      </c>
      <c r="P10" s="587">
        <v>3.5043999999999999E-2</v>
      </c>
      <c r="Q10" s="510">
        <v>7.0170999999999997E-2</v>
      </c>
      <c r="R10" s="510">
        <v>0.31635999999999997</v>
      </c>
      <c r="S10" s="510">
        <v>0.36415999999999998</v>
      </c>
      <c r="T10" s="510">
        <v>0.12828999999999999</v>
      </c>
      <c r="U10" s="587">
        <v>3.27E-2</v>
      </c>
      <c r="V10" s="587">
        <v>3.4332000000000001E-2</v>
      </c>
      <c r="W10" s="510">
        <v>0.50539999999999996</v>
      </c>
      <c r="X10" s="587">
        <v>1.3426E-2</v>
      </c>
      <c r="Y10" s="510">
        <v>0.19406999999999999</v>
      </c>
      <c r="Z10" s="510">
        <v>1</v>
      </c>
    </row>
    <row r="11" spans="1:26" x14ac:dyDescent="0.25">
      <c r="A11" s="510" t="s">
        <v>147</v>
      </c>
      <c r="B11" s="594"/>
      <c r="C11" s="594"/>
      <c r="D11" s="594"/>
      <c r="E11" s="594"/>
      <c r="F11" s="594"/>
      <c r="G11" s="594"/>
      <c r="H11" s="594"/>
      <c r="I11" s="594"/>
      <c r="J11" s="594"/>
      <c r="K11" s="510"/>
      <c r="L11" s="587">
        <v>1.4638999999999999E-2</v>
      </c>
      <c r="M11" s="510">
        <v>0.82598000000000005</v>
      </c>
      <c r="N11" s="510">
        <v>0.45669999999999999</v>
      </c>
      <c r="O11" s="510">
        <v>0.43975999999999998</v>
      </c>
      <c r="P11" s="510">
        <v>0.49147000000000002</v>
      </c>
      <c r="Q11" s="510">
        <v>0.71858</v>
      </c>
      <c r="R11" s="510">
        <v>0.18920000000000001</v>
      </c>
      <c r="S11" s="510">
        <v>0.79693999999999998</v>
      </c>
      <c r="T11" s="510">
        <v>0.22955</v>
      </c>
      <c r="U11" s="510">
        <v>0.52107999999999999</v>
      </c>
      <c r="V11" s="510">
        <v>0.94249000000000005</v>
      </c>
      <c r="W11" s="510">
        <v>0.28683999999999998</v>
      </c>
      <c r="X11" s="510">
        <v>0.77536000000000005</v>
      </c>
      <c r="Y11" s="510">
        <v>0.26561000000000001</v>
      </c>
      <c r="Z11" s="510">
        <v>1</v>
      </c>
    </row>
    <row r="12" spans="1:26" x14ac:dyDescent="0.25">
      <c r="A12" s="510" t="s">
        <v>148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10"/>
      <c r="M12" s="510">
        <v>0.53524000000000005</v>
      </c>
      <c r="N12" s="510">
        <v>0.39308999999999999</v>
      </c>
      <c r="O12" s="510">
        <v>0.67112000000000005</v>
      </c>
      <c r="P12" s="510">
        <v>0.71360999999999997</v>
      </c>
      <c r="Q12" s="510">
        <v>0.87939999999999996</v>
      </c>
      <c r="R12" s="510">
        <v>0.24228</v>
      </c>
      <c r="S12" s="510">
        <v>0.78820000000000001</v>
      </c>
      <c r="T12" s="510">
        <v>0.42047000000000001</v>
      </c>
      <c r="U12" s="510">
        <v>0.85760999999999998</v>
      </c>
      <c r="V12" s="510">
        <v>0.72070000000000001</v>
      </c>
      <c r="W12" s="510">
        <v>0.60077000000000003</v>
      </c>
      <c r="X12" s="510">
        <v>0.95748999999999995</v>
      </c>
      <c r="Y12" s="510">
        <v>0.15809999999999999</v>
      </c>
      <c r="Z12" s="510">
        <v>1</v>
      </c>
    </row>
    <row r="13" spans="1:26" x14ac:dyDescent="0.25">
      <c r="A13" s="510" t="s">
        <v>219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10"/>
      <c r="N13" s="510">
        <v>0.28658</v>
      </c>
      <c r="O13" s="510">
        <v>0.43376999999999999</v>
      </c>
      <c r="P13" s="510">
        <v>0.22844</v>
      </c>
      <c r="Q13" s="510">
        <v>0.53464999999999996</v>
      </c>
      <c r="R13" s="510">
        <v>0.70684000000000002</v>
      </c>
      <c r="S13" s="510">
        <v>0.20560999999999999</v>
      </c>
      <c r="T13" s="510">
        <v>0.41234999999999999</v>
      </c>
      <c r="U13" s="510">
        <v>0.16091</v>
      </c>
      <c r="V13" s="587">
        <v>3.1690000000000003E-2</v>
      </c>
      <c r="W13" s="510">
        <v>0.51853000000000005</v>
      </c>
      <c r="X13" s="510">
        <v>6.0635000000000001E-2</v>
      </c>
      <c r="Y13" s="510">
        <v>0.40967999999999999</v>
      </c>
      <c r="Z13" s="510">
        <v>1</v>
      </c>
    </row>
    <row r="14" spans="1:26" x14ac:dyDescent="0.25">
      <c r="A14" s="510" t="s">
        <v>149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4"/>
      <c r="N14" s="510"/>
      <c r="O14" s="510">
        <v>0.39795000000000003</v>
      </c>
      <c r="P14" s="510">
        <v>0.28784999999999999</v>
      </c>
      <c r="Q14" s="510">
        <v>0.19589000000000001</v>
      </c>
      <c r="R14" s="510">
        <v>0.59887000000000001</v>
      </c>
      <c r="S14" s="510">
        <v>0.18121999999999999</v>
      </c>
      <c r="T14" s="510">
        <v>0.57430999999999999</v>
      </c>
      <c r="U14" s="510">
        <v>0.45784000000000002</v>
      </c>
      <c r="V14" s="510">
        <v>0.10527</v>
      </c>
      <c r="W14" s="510">
        <v>0.65981999999999996</v>
      </c>
      <c r="X14" s="510">
        <v>0.19023999999999999</v>
      </c>
      <c r="Y14" s="510">
        <v>6.6961000000000007E-2</v>
      </c>
      <c r="Z14" s="510">
        <v>1</v>
      </c>
    </row>
    <row r="15" spans="1:26" x14ac:dyDescent="0.25">
      <c r="A15" s="510" t="s">
        <v>197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4"/>
      <c r="N15" s="594"/>
      <c r="O15" s="510"/>
      <c r="P15" s="587">
        <v>1.9158999999999999E-2</v>
      </c>
      <c r="Q15" s="587">
        <v>1.7697000000000001E-2</v>
      </c>
      <c r="R15" s="510">
        <v>8.9878E-2</v>
      </c>
      <c r="S15" s="510">
        <v>0.70615000000000006</v>
      </c>
      <c r="T15" s="587">
        <v>1.5539000000000001E-2</v>
      </c>
      <c r="U15" s="587">
        <v>3.0589000000000002E-2</v>
      </c>
      <c r="V15" s="510">
        <v>0.23402000000000001</v>
      </c>
      <c r="W15" s="510">
        <v>0.34622999999999998</v>
      </c>
      <c r="X15" s="510">
        <v>9.4991000000000006E-2</v>
      </c>
      <c r="Y15" s="510">
        <v>0.49145</v>
      </c>
      <c r="Z15" s="510">
        <v>1</v>
      </c>
    </row>
    <row r="16" spans="1:26" x14ac:dyDescent="0.25">
      <c r="A16" s="510" t="s">
        <v>198</v>
      </c>
      <c r="B16" s="594"/>
      <c r="C16" s="594"/>
      <c r="D16" s="594"/>
      <c r="E16" s="594"/>
      <c r="F16" s="594"/>
      <c r="G16" s="594"/>
      <c r="H16" s="594"/>
      <c r="I16" s="594"/>
      <c r="J16" s="594"/>
      <c r="K16" s="594"/>
      <c r="L16" s="594"/>
      <c r="M16" s="594"/>
      <c r="N16" s="594"/>
      <c r="O16" s="594"/>
      <c r="P16" s="510"/>
      <c r="Q16" s="510">
        <v>5.5524999999999998E-2</v>
      </c>
      <c r="R16" s="510">
        <v>6.3750000000000001E-2</v>
      </c>
      <c r="S16" s="510">
        <v>0.34745999999999999</v>
      </c>
      <c r="T16" s="587">
        <v>1.2241E-2</v>
      </c>
      <c r="U16" s="587">
        <v>2.6950000000000002E-2</v>
      </c>
      <c r="V16" s="510">
        <v>7.3527999999999996E-2</v>
      </c>
      <c r="W16" s="510">
        <v>0.43814999999999998</v>
      </c>
      <c r="X16" s="587">
        <v>1.5145E-2</v>
      </c>
      <c r="Y16" s="510">
        <v>0.54174</v>
      </c>
      <c r="Z16" s="510">
        <v>1</v>
      </c>
    </row>
    <row r="17" spans="1:26" x14ac:dyDescent="0.25">
      <c r="A17" s="510" t="s">
        <v>196</v>
      </c>
      <c r="B17" s="594"/>
      <c r="C17" s="594"/>
      <c r="D17" s="594"/>
      <c r="E17" s="594"/>
      <c r="F17" s="594"/>
      <c r="G17" s="594"/>
      <c r="H17" s="594"/>
      <c r="I17" s="594"/>
      <c r="J17" s="594"/>
      <c r="K17" s="594"/>
      <c r="L17" s="594"/>
      <c r="M17" s="594"/>
      <c r="N17" s="594"/>
      <c r="O17" s="594"/>
      <c r="P17" s="594"/>
      <c r="Q17" s="510"/>
      <c r="R17" s="510">
        <v>0.13578000000000001</v>
      </c>
      <c r="S17" s="510">
        <v>0.62058999999999997</v>
      </c>
      <c r="T17" s="510">
        <v>9.4061000000000006E-2</v>
      </c>
      <c r="U17" s="510">
        <v>0.12989999999999999</v>
      </c>
      <c r="V17" s="510">
        <v>0.24079</v>
      </c>
      <c r="W17" s="510">
        <v>0.69821</v>
      </c>
      <c r="X17" s="510">
        <v>0.14293</v>
      </c>
      <c r="Y17" s="510">
        <v>0.28316999999999998</v>
      </c>
      <c r="Z17" s="510">
        <v>1</v>
      </c>
    </row>
    <row r="18" spans="1:26" x14ac:dyDescent="0.25">
      <c r="A18" s="510" t="s">
        <v>220</v>
      </c>
      <c r="B18" s="594"/>
      <c r="C18" s="594"/>
      <c r="D18" s="594"/>
      <c r="E18" s="594"/>
      <c r="F18" s="594"/>
      <c r="G18" s="594"/>
      <c r="H18" s="594"/>
      <c r="I18" s="594"/>
      <c r="J18" s="594"/>
      <c r="K18" s="594"/>
      <c r="L18" s="594"/>
      <c r="M18" s="594"/>
      <c r="N18" s="594"/>
      <c r="O18" s="594"/>
      <c r="P18" s="594"/>
      <c r="Q18" s="594"/>
      <c r="R18" s="510"/>
      <c r="S18" s="510">
        <v>0.50395999999999996</v>
      </c>
      <c r="T18" s="587">
        <v>3.0442E-2</v>
      </c>
      <c r="U18" s="510">
        <v>0.22584000000000001</v>
      </c>
      <c r="V18" s="510">
        <v>0.36159000000000002</v>
      </c>
      <c r="W18" s="510">
        <v>0.62341999999999997</v>
      </c>
      <c r="X18" s="510">
        <v>0.21475</v>
      </c>
      <c r="Y18" s="510">
        <v>0.97711000000000003</v>
      </c>
      <c r="Z18" s="510">
        <v>1</v>
      </c>
    </row>
    <row r="19" spans="1:26" x14ac:dyDescent="0.25">
      <c r="A19" s="510" t="s">
        <v>204</v>
      </c>
      <c r="B19" s="594"/>
      <c r="C19" s="594"/>
      <c r="D19" s="594"/>
      <c r="E19" s="594"/>
      <c r="F19" s="594"/>
      <c r="G19" s="594"/>
      <c r="H19" s="594"/>
      <c r="I19" s="594"/>
      <c r="J19" s="594"/>
      <c r="K19" s="594"/>
      <c r="L19" s="594"/>
      <c r="M19" s="594"/>
      <c r="N19" s="594"/>
      <c r="O19" s="594"/>
      <c r="P19" s="594"/>
      <c r="Q19" s="594"/>
      <c r="R19" s="594"/>
      <c r="S19" s="510"/>
      <c r="T19" s="510">
        <v>0.59240000000000004</v>
      </c>
      <c r="U19" s="510">
        <v>0.60633999999999999</v>
      </c>
      <c r="V19" s="510">
        <v>8.8054999999999994E-2</v>
      </c>
      <c r="W19" s="510">
        <v>0.68457999999999997</v>
      </c>
      <c r="X19" s="510">
        <v>0.20030000000000001</v>
      </c>
      <c r="Y19" s="510">
        <v>0.64337</v>
      </c>
      <c r="Z19" s="510">
        <v>1</v>
      </c>
    </row>
    <row r="20" spans="1:26" x14ac:dyDescent="0.25">
      <c r="A20" s="510" t="s">
        <v>203</v>
      </c>
      <c r="B20" s="594"/>
      <c r="C20" s="594"/>
      <c r="D20" s="594"/>
      <c r="E20" s="594"/>
      <c r="F20" s="594"/>
      <c r="G20" s="594"/>
      <c r="H20" s="594"/>
      <c r="I20" s="594"/>
      <c r="J20" s="594"/>
      <c r="K20" s="594"/>
      <c r="L20" s="594"/>
      <c r="M20" s="594"/>
      <c r="N20" s="594"/>
      <c r="O20" s="594"/>
      <c r="P20" s="594"/>
      <c r="Q20" s="594"/>
      <c r="R20" s="594"/>
      <c r="S20" s="594"/>
      <c r="T20" s="510"/>
      <c r="U20" s="587">
        <v>3.6165000000000003E-2</v>
      </c>
      <c r="V20" s="510">
        <v>0.23021</v>
      </c>
      <c r="W20" s="510">
        <v>0.27744000000000002</v>
      </c>
      <c r="X20" s="510">
        <v>8.6011000000000004E-2</v>
      </c>
      <c r="Y20" s="510">
        <v>0.82238</v>
      </c>
      <c r="Z20" s="510">
        <v>1</v>
      </c>
    </row>
    <row r="21" spans="1:26" x14ac:dyDescent="0.25">
      <c r="A21" s="510" t="s">
        <v>205</v>
      </c>
      <c r="B21" s="594"/>
      <c r="C21" s="594"/>
      <c r="D21" s="594"/>
      <c r="E21" s="594"/>
      <c r="F21" s="594"/>
      <c r="G21" s="594"/>
      <c r="H21" s="594"/>
      <c r="I21" s="594"/>
      <c r="J21" s="594"/>
      <c r="K21" s="594"/>
      <c r="L21" s="594"/>
      <c r="M21" s="594"/>
      <c r="N21" s="594"/>
      <c r="O21" s="594"/>
      <c r="P21" s="594"/>
      <c r="Q21" s="594"/>
      <c r="R21" s="594"/>
      <c r="S21" s="594"/>
      <c r="T21" s="594"/>
      <c r="U21" s="510"/>
      <c r="V21" s="510">
        <v>0.12748000000000001</v>
      </c>
      <c r="W21" s="510">
        <v>0.16611000000000001</v>
      </c>
      <c r="X21" s="587">
        <v>3.5768000000000001E-2</v>
      </c>
      <c r="Y21" s="510">
        <v>0.51978000000000002</v>
      </c>
      <c r="Z21" s="510">
        <v>1</v>
      </c>
    </row>
    <row r="22" spans="1:26" x14ac:dyDescent="0.25">
      <c r="A22" s="510" t="s">
        <v>206</v>
      </c>
      <c r="B22" s="594"/>
      <c r="C22" s="594"/>
      <c r="D22" s="594"/>
      <c r="E22" s="594"/>
      <c r="F22" s="594"/>
      <c r="G22" s="594"/>
      <c r="H22" s="594"/>
      <c r="I22" s="594"/>
      <c r="J22" s="594"/>
      <c r="K22" s="594"/>
      <c r="L22" s="594"/>
      <c r="M22" s="594"/>
      <c r="N22" s="594"/>
      <c r="O22" s="594"/>
      <c r="P22" s="594"/>
      <c r="Q22" s="594"/>
      <c r="R22" s="594"/>
      <c r="S22" s="594"/>
      <c r="T22" s="594"/>
      <c r="U22" s="594"/>
      <c r="V22" s="510"/>
      <c r="W22" s="510">
        <v>0.73009000000000002</v>
      </c>
      <c r="X22" s="592">
        <v>8.0762999999999998E-3</v>
      </c>
      <c r="Y22" s="510">
        <v>0.33085999999999999</v>
      </c>
      <c r="Z22" s="510">
        <v>1</v>
      </c>
    </row>
    <row r="23" spans="1:26" x14ac:dyDescent="0.25">
      <c r="A23" s="510" t="s">
        <v>207</v>
      </c>
      <c r="B23" s="594"/>
      <c r="C23" s="594"/>
      <c r="D23" s="594"/>
      <c r="E23" s="594"/>
      <c r="F23" s="594"/>
      <c r="G23" s="594"/>
      <c r="H23" s="594"/>
      <c r="I23" s="594"/>
      <c r="J23" s="594"/>
      <c r="K23" s="594"/>
      <c r="L23" s="594"/>
      <c r="M23" s="594"/>
      <c r="N23" s="594"/>
      <c r="O23" s="594"/>
      <c r="P23" s="594"/>
      <c r="Q23" s="594"/>
      <c r="R23" s="594"/>
      <c r="S23" s="594"/>
      <c r="T23" s="594"/>
      <c r="U23" s="594"/>
      <c r="V23" s="594"/>
      <c r="W23" s="510"/>
      <c r="X23" s="510">
        <v>0.49120999999999998</v>
      </c>
      <c r="Y23" s="510">
        <v>0.83716000000000002</v>
      </c>
      <c r="Z23" s="510">
        <v>1</v>
      </c>
    </row>
    <row r="24" spans="1:26" x14ac:dyDescent="0.25">
      <c r="A24" s="510" t="s">
        <v>208</v>
      </c>
      <c r="B24" s="594"/>
      <c r="C24" s="594"/>
      <c r="D24" s="594"/>
      <c r="E24" s="594"/>
      <c r="F24" s="594"/>
      <c r="G24" s="594"/>
      <c r="H24" s="594"/>
      <c r="I24" s="594"/>
      <c r="J24" s="594"/>
      <c r="K24" s="594"/>
      <c r="L24" s="594"/>
      <c r="M24" s="594"/>
      <c r="N24" s="594"/>
      <c r="O24" s="594"/>
      <c r="P24" s="594"/>
      <c r="Q24" s="594"/>
      <c r="R24" s="594"/>
      <c r="S24" s="594"/>
      <c r="T24" s="594"/>
      <c r="U24" s="594"/>
      <c r="V24" s="594"/>
      <c r="W24" s="594"/>
      <c r="X24" s="510"/>
      <c r="Y24" s="510">
        <v>0.41150999999999999</v>
      </c>
      <c r="Z24" s="510">
        <v>1</v>
      </c>
    </row>
    <row r="25" spans="1:26" x14ac:dyDescent="0.25">
      <c r="A25" s="510" t="s">
        <v>209</v>
      </c>
      <c r="B25" s="594"/>
      <c r="C25" s="594"/>
      <c r="D25" s="594"/>
      <c r="E25" s="594"/>
      <c r="F25" s="594"/>
      <c r="G25" s="594"/>
      <c r="H25" s="594"/>
      <c r="I25" s="594"/>
      <c r="J25" s="594"/>
      <c r="K25" s="594"/>
      <c r="L25" s="594"/>
      <c r="M25" s="594"/>
      <c r="N25" s="594"/>
      <c r="O25" s="594"/>
      <c r="P25" s="594"/>
      <c r="Q25" s="594"/>
      <c r="R25" s="594"/>
      <c r="S25" s="594"/>
      <c r="T25" s="594"/>
      <c r="U25" s="594"/>
      <c r="V25" s="594"/>
      <c r="W25" s="594"/>
      <c r="X25" s="594"/>
      <c r="Y25" s="510"/>
      <c r="Z25" s="510">
        <v>1</v>
      </c>
    </row>
    <row r="26" spans="1:26" x14ac:dyDescent="0.25">
      <c r="A26" s="510" t="s">
        <v>210</v>
      </c>
      <c r="B26" s="594"/>
      <c r="C26" s="594"/>
      <c r="D26" s="594"/>
      <c r="E26" s="594"/>
      <c r="F26" s="594"/>
      <c r="G26" s="594"/>
      <c r="H26" s="594"/>
      <c r="I26" s="594"/>
      <c r="J26" s="594"/>
      <c r="K26" s="594"/>
      <c r="L26" s="594"/>
      <c r="M26" s="594"/>
      <c r="N26" s="594"/>
      <c r="O26" s="594"/>
      <c r="P26" s="594"/>
      <c r="Q26" s="594"/>
      <c r="R26" s="594"/>
      <c r="S26" s="594"/>
      <c r="T26" s="594"/>
      <c r="U26" s="594"/>
      <c r="V26" s="594"/>
      <c r="W26" s="594"/>
      <c r="X26" s="594"/>
      <c r="Y26" s="594"/>
      <c r="Z26" s="510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Z26"/>
  <sheetViews>
    <sheetView workbookViewId="0">
      <selection activeCell="L7" sqref="L7"/>
    </sheetView>
  </sheetViews>
  <sheetFormatPr defaultRowHeight="15" x14ac:dyDescent="0.25"/>
  <sheetData>
    <row r="1" spans="1:26" x14ac:dyDescent="0.25">
      <c r="A1" s="510"/>
      <c r="B1" s="510" t="s">
        <v>211</v>
      </c>
      <c r="C1" s="510" t="s">
        <v>212</v>
      </c>
      <c r="D1" s="510" t="s">
        <v>213</v>
      </c>
      <c r="E1" s="510" t="s">
        <v>214</v>
      </c>
      <c r="F1" s="510" t="s">
        <v>215</v>
      </c>
      <c r="G1" s="510" t="s">
        <v>216</v>
      </c>
      <c r="H1" s="510" t="s">
        <v>217</v>
      </c>
      <c r="I1" s="510" t="s">
        <v>218</v>
      </c>
      <c r="J1" s="510" t="s">
        <v>146</v>
      </c>
      <c r="K1" s="510" t="s">
        <v>147</v>
      </c>
      <c r="L1" s="510" t="s">
        <v>148</v>
      </c>
      <c r="M1" s="510" t="s">
        <v>219</v>
      </c>
      <c r="N1" s="510" t="s">
        <v>149</v>
      </c>
      <c r="O1" s="510" t="s">
        <v>197</v>
      </c>
      <c r="P1" s="510" t="s">
        <v>198</v>
      </c>
      <c r="Q1" s="510" t="s">
        <v>196</v>
      </c>
      <c r="R1" s="510" t="s">
        <v>220</v>
      </c>
      <c r="S1" s="510" t="s">
        <v>204</v>
      </c>
      <c r="T1" s="510" t="s">
        <v>203</v>
      </c>
      <c r="U1" s="510" t="s">
        <v>205</v>
      </c>
      <c r="V1" s="510" t="s">
        <v>206</v>
      </c>
      <c r="W1" s="510" t="s">
        <v>207</v>
      </c>
      <c r="X1" s="510" t="s">
        <v>208</v>
      </c>
      <c r="Y1" s="510" t="s">
        <v>209</v>
      </c>
      <c r="Z1" s="510" t="s">
        <v>210</v>
      </c>
    </row>
    <row r="2" spans="1:26" x14ac:dyDescent="0.25">
      <c r="A2" s="510" t="s">
        <v>211</v>
      </c>
      <c r="B2" s="510"/>
      <c r="C2" s="593">
        <v>4.5194000000000001E-8</v>
      </c>
      <c r="D2" s="592">
        <v>2.6021E-3</v>
      </c>
      <c r="E2" s="510">
        <v>0.56993000000000005</v>
      </c>
      <c r="F2" s="510">
        <v>0.42895</v>
      </c>
      <c r="G2" s="587">
        <v>1.345E-2</v>
      </c>
      <c r="H2" s="510">
        <v>0.77500000000000002</v>
      </c>
      <c r="I2" s="510">
        <v>0.56974000000000002</v>
      </c>
      <c r="J2" s="510">
        <v>0.53908999999999996</v>
      </c>
      <c r="K2" s="510">
        <v>0.51358999999999999</v>
      </c>
      <c r="L2" s="592">
        <v>4.2643999999999998E-3</v>
      </c>
      <c r="M2" s="510">
        <v>0.14055000000000001</v>
      </c>
      <c r="N2" s="510">
        <v>0.19072</v>
      </c>
      <c r="O2" s="510">
        <v>9.8960000000000006E-2</v>
      </c>
      <c r="P2" s="510">
        <v>0.44063999999999998</v>
      </c>
      <c r="Q2" s="510">
        <v>0.4128</v>
      </c>
      <c r="R2" s="510">
        <v>0.44862999999999997</v>
      </c>
      <c r="S2" s="510">
        <v>0.2011</v>
      </c>
      <c r="T2" s="510">
        <v>0.37918000000000002</v>
      </c>
      <c r="U2" s="510">
        <v>0.73980000000000001</v>
      </c>
      <c r="V2" s="510">
        <v>0.38912000000000002</v>
      </c>
      <c r="W2" s="587">
        <v>3.8732000000000003E-2</v>
      </c>
      <c r="X2" s="510">
        <v>0.33051000000000003</v>
      </c>
      <c r="Y2" s="510">
        <v>0.51463000000000003</v>
      </c>
      <c r="Z2" s="510">
        <v>1</v>
      </c>
    </row>
    <row r="3" spans="1:26" x14ac:dyDescent="0.25">
      <c r="A3" s="510" t="s">
        <v>212</v>
      </c>
      <c r="B3" s="595"/>
      <c r="C3" s="510"/>
      <c r="D3" s="592">
        <v>2.7606000000000002E-3</v>
      </c>
      <c r="E3" s="510">
        <v>0.57320000000000004</v>
      </c>
      <c r="F3" s="510">
        <v>0.43275999999999998</v>
      </c>
      <c r="G3" s="587">
        <v>1.3576E-2</v>
      </c>
      <c r="H3" s="510">
        <v>0.77188000000000001</v>
      </c>
      <c r="I3" s="510">
        <v>0.56745000000000001</v>
      </c>
      <c r="J3" s="510">
        <v>0.53902000000000005</v>
      </c>
      <c r="K3" s="510">
        <v>0.51254999999999995</v>
      </c>
      <c r="L3" s="592">
        <v>4.4869000000000003E-3</v>
      </c>
      <c r="M3" s="510">
        <v>0.14305000000000001</v>
      </c>
      <c r="N3" s="510">
        <v>0.19305</v>
      </c>
      <c r="O3" s="510">
        <v>9.7915000000000002E-2</v>
      </c>
      <c r="P3" s="510">
        <v>0.44506000000000001</v>
      </c>
      <c r="Q3" s="510">
        <v>0.41474</v>
      </c>
      <c r="R3" s="510">
        <v>0.44634000000000001</v>
      </c>
      <c r="S3" s="510">
        <v>0.20047000000000001</v>
      </c>
      <c r="T3" s="510">
        <v>0.37698999999999999</v>
      </c>
      <c r="U3" s="510">
        <v>0.74206000000000005</v>
      </c>
      <c r="V3" s="510">
        <v>0.39174999999999999</v>
      </c>
      <c r="W3" s="587">
        <v>3.7622000000000003E-2</v>
      </c>
      <c r="X3" s="510">
        <v>0.33237</v>
      </c>
      <c r="Y3" s="510">
        <v>0.50958999999999999</v>
      </c>
      <c r="Z3" s="510">
        <v>1</v>
      </c>
    </row>
    <row r="4" spans="1:26" x14ac:dyDescent="0.25">
      <c r="A4" s="510" t="s">
        <v>213</v>
      </c>
      <c r="B4" s="595"/>
      <c r="C4" s="595"/>
      <c r="D4" s="510"/>
      <c r="E4" s="510">
        <v>0.39004</v>
      </c>
      <c r="F4" s="510">
        <v>0.27232000000000001</v>
      </c>
      <c r="G4" s="587">
        <v>3.3544999999999998E-2</v>
      </c>
      <c r="H4" s="510">
        <v>0.98229</v>
      </c>
      <c r="I4" s="510">
        <v>0.53158000000000005</v>
      </c>
      <c r="J4" s="510">
        <v>0.64658000000000004</v>
      </c>
      <c r="K4" s="510">
        <v>0.44031999999999999</v>
      </c>
      <c r="L4" s="592">
        <v>5.9851000000000001E-3</v>
      </c>
      <c r="M4" s="510">
        <v>6.9795999999999997E-2</v>
      </c>
      <c r="N4" s="510">
        <v>9.2217999999999994E-2</v>
      </c>
      <c r="O4" s="510">
        <v>0.19158</v>
      </c>
      <c r="P4" s="510">
        <v>0.34761999999999998</v>
      </c>
      <c r="Q4" s="510">
        <v>0.27588000000000001</v>
      </c>
      <c r="R4" s="510">
        <v>0.46494999999999997</v>
      </c>
      <c r="S4" s="510">
        <v>0.17032</v>
      </c>
      <c r="T4" s="510">
        <v>0.55427000000000004</v>
      </c>
      <c r="U4" s="510">
        <v>0.57040999999999997</v>
      </c>
      <c r="V4" s="510">
        <v>0.24218000000000001</v>
      </c>
      <c r="W4" s="510">
        <v>9.2902999999999999E-2</v>
      </c>
      <c r="X4" s="510">
        <v>0.20977999999999999</v>
      </c>
      <c r="Y4" s="510">
        <v>0.66881000000000002</v>
      </c>
      <c r="Z4" s="510">
        <v>1</v>
      </c>
    </row>
    <row r="5" spans="1:26" x14ac:dyDescent="0.25">
      <c r="A5" s="510" t="s">
        <v>214</v>
      </c>
      <c r="B5" s="595"/>
      <c r="C5" s="595"/>
      <c r="D5" s="595"/>
      <c r="E5" s="510"/>
      <c r="F5" s="587">
        <v>1.0749E-2</v>
      </c>
      <c r="G5" s="510">
        <v>0.81335999999999997</v>
      </c>
      <c r="H5" s="510">
        <v>0.21909999999999999</v>
      </c>
      <c r="I5" s="510">
        <v>0.51807000000000003</v>
      </c>
      <c r="J5" s="510">
        <v>0.73663000000000001</v>
      </c>
      <c r="K5" s="510">
        <v>0.37808000000000003</v>
      </c>
      <c r="L5" s="510">
        <v>0.53529000000000004</v>
      </c>
      <c r="M5" s="510">
        <v>0.13697000000000001</v>
      </c>
      <c r="N5" s="510">
        <v>5.7752999999999999E-2</v>
      </c>
      <c r="O5" s="510">
        <v>0.77707999999999999</v>
      </c>
      <c r="P5" s="510">
        <v>0.32423999999999997</v>
      </c>
      <c r="Q5" s="592">
        <v>7.4472000000000002E-3</v>
      </c>
      <c r="R5" s="510">
        <v>0.92188999999999999</v>
      </c>
      <c r="S5" s="510">
        <v>0.46406999999999998</v>
      </c>
      <c r="T5" s="510">
        <v>0.35733999999999999</v>
      </c>
      <c r="U5" s="587">
        <v>1.6277E-2</v>
      </c>
      <c r="V5" s="592">
        <v>2.6319E-3</v>
      </c>
      <c r="W5" s="510">
        <v>0.94501999999999997</v>
      </c>
      <c r="X5" s="587">
        <v>1.1967E-2</v>
      </c>
      <c r="Y5" s="510">
        <v>0.60029999999999994</v>
      </c>
      <c r="Z5" s="510">
        <v>1</v>
      </c>
    </row>
    <row r="6" spans="1:26" x14ac:dyDescent="0.25">
      <c r="A6" s="510" t="s">
        <v>215</v>
      </c>
      <c r="B6" s="595"/>
      <c r="C6" s="595"/>
      <c r="D6" s="595"/>
      <c r="E6" s="595"/>
      <c r="F6" s="510"/>
      <c r="G6" s="510">
        <v>0.57343</v>
      </c>
      <c r="H6" s="510">
        <v>0.33767000000000003</v>
      </c>
      <c r="I6" s="510">
        <v>0.75829000000000002</v>
      </c>
      <c r="J6" s="510">
        <v>0.98529</v>
      </c>
      <c r="K6" s="510">
        <v>0.56689999999999996</v>
      </c>
      <c r="L6" s="510">
        <v>0.34731000000000001</v>
      </c>
      <c r="M6" s="587">
        <v>3.8092000000000001E-2</v>
      </c>
      <c r="N6" s="587">
        <v>2.9812999999999999E-2</v>
      </c>
      <c r="O6" s="510">
        <v>0.98623000000000005</v>
      </c>
      <c r="P6" s="510">
        <v>0.12614</v>
      </c>
      <c r="Q6" s="587">
        <v>3.6239E-2</v>
      </c>
      <c r="R6" s="510">
        <v>0.95016</v>
      </c>
      <c r="S6" s="510">
        <v>0.53617999999999999</v>
      </c>
      <c r="T6" s="510">
        <v>0.55093999999999999</v>
      </c>
      <c r="U6" s="510">
        <v>7.5413999999999995E-2</v>
      </c>
      <c r="V6" s="587">
        <v>1.1618E-2</v>
      </c>
      <c r="W6" s="510">
        <v>0.85997999999999997</v>
      </c>
      <c r="X6" s="587">
        <v>3.0832999999999999E-2</v>
      </c>
      <c r="Y6" s="510">
        <v>0.49419999999999997</v>
      </c>
      <c r="Z6" s="510">
        <v>1</v>
      </c>
    </row>
    <row r="7" spans="1:26" x14ac:dyDescent="0.25">
      <c r="A7" s="510" t="s">
        <v>216</v>
      </c>
      <c r="B7" s="595"/>
      <c r="C7" s="595"/>
      <c r="D7" s="595"/>
      <c r="E7" s="595"/>
      <c r="F7" s="595"/>
      <c r="G7" s="510"/>
      <c r="H7" s="510">
        <v>0.55496999999999996</v>
      </c>
      <c r="I7" s="510">
        <v>0.92727000000000004</v>
      </c>
      <c r="J7" s="510">
        <v>0.33171</v>
      </c>
      <c r="K7" s="510">
        <v>0.85623000000000005</v>
      </c>
      <c r="L7" s="592">
        <v>5.7594999999999999E-3</v>
      </c>
      <c r="M7" s="510">
        <v>0.18114</v>
      </c>
      <c r="N7" s="510">
        <v>0.33513999999999999</v>
      </c>
      <c r="O7" s="587">
        <v>4.3059E-2</v>
      </c>
      <c r="P7" s="510">
        <v>0.34516000000000002</v>
      </c>
      <c r="Q7" s="510">
        <v>0.68376999999999999</v>
      </c>
      <c r="R7" s="510">
        <v>0.66010000000000002</v>
      </c>
      <c r="S7" s="510">
        <v>0.41771999999999998</v>
      </c>
      <c r="T7" s="510">
        <v>0.20832999999999999</v>
      </c>
      <c r="U7" s="510">
        <v>0.97477000000000003</v>
      </c>
      <c r="V7" s="510">
        <v>0.62533000000000005</v>
      </c>
      <c r="W7" s="510">
        <v>7.0814000000000002E-2</v>
      </c>
      <c r="X7" s="510">
        <v>0.57481000000000004</v>
      </c>
      <c r="Y7" s="510">
        <v>0.62871999999999995</v>
      </c>
      <c r="Z7" s="510">
        <v>1</v>
      </c>
    </row>
    <row r="8" spans="1:26" x14ac:dyDescent="0.25">
      <c r="A8" s="510" t="s">
        <v>217</v>
      </c>
      <c r="B8" s="595"/>
      <c r="C8" s="595"/>
      <c r="D8" s="595"/>
      <c r="E8" s="595"/>
      <c r="F8" s="595"/>
      <c r="G8" s="595"/>
      <c r="H8" s="510"/>
      <c r="I8" s="510">
        <v>0.48037999999999997</v>
      </c>
      <c r="J8" s="510">
        <v>9.0342000000000006E-2</v>
      </c>
      <c r="K8" s="510">
        <v>0.30580000000000002</v>
      </c>
      <c r="L8" s="510">
        <v>0.75224999999999997</v>
      </c>
      <c r="M8" s="510">
        <v>0.66662999999999994</v>
      </c>
      <c r="N8" s="510">
        <v>0.35781000000000002</v>
      </c>
      <c r="O8" s="510">
        <v>0.16772999999999999</v>
      </c>
      <c r="P8" s="510">
        <v>0.87297999999999998</v>
      </c>
      <c r="Q8" s="510">
        <v>0.35441</v>
      </c>
      <c r="R8" s="510">
        <v>0.65907000000000004</v>
      </c>
      <c r="S8" s="510">
        <v>0.52446000000000004</v>
      </c>
      <c r="T8" s="587">
        <v>2.6970999999999998E-2</v>
      </c>
      <c r="U8" s="510">
        <v>0.33685999999999999</v>
      </c>
      <c r="V8" s="510">
        <v>0.27733000000000002</v>
      </c>
      <c r="W8" s="510">
        <v>0.41865000000000002</v>
      </c>
      <c r="X8" s="510">
        <v>0.41685</v>
      </c>
      <c r="Y8" s="510">
        <v>0.32604</v>
      </c>
      <c r="Z8" s="510">
        <v>1</v>
      </c>
    </row>
    <row r="9" spans="1:26" x14ac:dyDescent="0.25">
      <c r="A9" s="510" t="s">
        <v>218</v>
      </c>
      <c r="B9" s="595"/>
      <c r="C9" s="595"/>
      <c r="D9" s="595"/>
      <c r="E9" s="595"/>
      <c r="F9" s="595"/>
      <c r="G9" s="595"/>
      <c r="H9" s="595"/>
      <c r="I9" s="510"/>
      <c r="J9" s="510">
        <v>0.30270999999999998</v>
      </c>
      <c r="K9" s="592">
        <v>6.5354000000000002E-3</v>
      </c>
      <c r="L9" s="510">
        <v>0.79705000000000004</v>
      </c>
      <c r="M9" s="510">
        <v>0.87063999999999997</v>
      </c>
      <c r="N9" s="510">
        <v>0.47832000000000002</v>
      </c>
      <c r="O9" s="510">
        <v>0.95637000000000005</v>
      </c>
      <c r="P9" s="510">
        <v>0.49874000000000002</v>
      </c>
      <c r="Q9" s="510">
        <v>0.35641</v>
      </c>
      <c r="R9" s="510">
        <v>6.7393999999999996E-2</v>
      </c>
      <c r="S9" s="510">
        <v>6.1516000000000001E-2</v>
      </c>
      <c r="T9" s="510">
        <v>0.64153000000000004</v>
      </c>
      <c r="U9" s="510">
        <v>0.49057000000000001</v>
      </c>
      <c r="V9" s="510">
        <v>0.42465000000000003</v>
      </c>
      <c r="W9" s="510">
        <v>0.51122000000000001</v>
      </c>
      <c r="X9" s="510">
        <v>0.38073000000000001</v>
      </c>
      <c r="Y9" s="510">
        <v>0.38008999999999998</v>
      </c>
      <c r="Z9" s="510">
        <v>1</v>
      </c>
    </row>
    <row r="10" spans="1:26" x14ac:dyDescent="0.25">
      <c r="A10" s="510" t="s">
        <v>146</v>
      </c>
      <c r="B10" s="595"/>
      <c r="C10" s="595"/>
      <c r="D10" s="595"/>
      <c r="E10" s="595"/>
      <c r="F10" s="595"/>
      <c r="G10" s="595"/>
      <c r="H10" s="595"/>
      <c r="I10" s="595"/>
      <c r="J10" s="510"/>
      <c r="K10" s="510">
        <v>0.23743</v>
      </c>
      <c r="L10" s="510">
        <v>0.40978999999999999</v>
      </c>
      <c r="M10" s="510">
        <v>0.69786999999999999</v>
      </c>
      <c r="N10" s="510">
        <v>0.85887999999999998</v>
      </c>
      <c r="O10" s="510">
        <v>0.14474999999999999</v>
      </c>
      <c r="P10" s="510">
        <v>0.42625000000000002</v>
      </c>
      <c r="Q10" s="510">
        <v>0.82323999999999997</v>
      </c>
      <c r="R10" s="510">
        <v>0.34928999999999999</v>
      </c>
      <c r="S10" s="510">
        <v>0.49919999999999998</v>
      </c>
      <c r="T10" s="510">
        <v>9.8179000000000002E-2</v>
      </c>
      <c r="U10" s="510">
        <v>0.79964999999999997</v>
      </c>
      <c r="V10" s="510">
        <v>0.78288000000000002</v>
      </c>
      <c r="W10" s="510">
        <v>0.44167000000000001</v>
      </c>
      <c r="X10" s="510">
        <v>0.91208999999999996</v>
      </c>
      <c r="Y10" s="510">
        <v>0.74165000000000003</v>
      </c>
      <c r="Z10" s="510">
        <v>1</v>
      </c>
    </row>
    <row r="11" spans="1:26" x14ac:dyDescent="0.25">
      <c r="A11" s="510" t="s">
        <v>147</v>
      </c>
      <c r="B11" s="595"/>
      <c r="C11" s="595"/>
      <c r="D11" s="595"/>
      <c r="E11" s="595"/>
      <c r="F11" s="595"/>
      <c r="G11" s="595"/>
      <c r="H11" s="595"/>
      <c r="I11" s="595"/>
      <c r="J11" s="595"/>
      <c r="K11" s="510"/>
      <c r="L11" s="510">
        <v>0.70628999999999997</v>
      </c>
      <c r="M11" s="510">
        <v>0.67037000000000002</v>
      </c>
      <c r="N11" s="510">
        <v>0.30053999999999997</v>
      </c>
      <c r="O11" s="510">
        <v>0.88748000000000005</v>
      </c>
      <c r="P11" s="510">
        <v>0.69762999999999997</v>
      </c>
      <c r="Q11" s="510">
        <v>0.27544000000000002</v>
      </c>
      <c r="R11" s="510">
        <v>6.1788999999999997E-2</v>
      </c>
      <c r="S11" s="587">
        <v>2.7446000000000002E-2</v>
      </c>
      <c r="T11" s="510">
        <v>0.52380000000000004</v>
      </c>
      <c r="U11" s="510">
        <v>0.43378</v>
      </c>
      <c r="V11" s="510">
        <v>0.29379</v>
      </c>
      <c r="W11" s="510">
        <v>0.58460000000000001</v>
      </c>
      <c r="X11" s="510">
        <v>0.29544999999999999</v>
      </c>
      <c r="Y11" s="510">
        <v>0.60297000000000001</v>
      </c>
      <c r="Z11" s="510">
        <v>1</v>
      </c>
    </row>
    <row r="12" spans="1:26" x14ac:dyDescent="0.25">
      <c r="A12" s="510" t="s">
        <v>148</v>
      </c>
      <c r="B12" s="595"/>
      <c r="C12" s="595"/>
      <c r="D12" s="595"/>
      <c r="E12" s="595"/>
      <c r="F12" s="595"/>
      <c r="G12" s="595"/>
      <c r="H12" s="595"/>
      <c r="I12" s="595"/>
      <c r="J12" s="595"/>
      <c r="K12" s="595"/>
      <c r="L12" s="510"/>
      <c r="M12" s="510">
        <v>7.9352000000000006E-2</v>
      </c>
      <c r="N12" s="510">
        <v>0.17601</v>
      </c>
      <c r="O12" s="510">
        <v>9.9954000000000001E-2</v>
      </c>
      <c r="P12" s="510">
        <v>0.25890999999999997</v>
      </c>
      <c r="Q12" s="510">
        <v>0.42207</v>
      </c>
      <c r="R12" s="510">
        <v>0.66185000000000005</v>
      </c>
      <c r="S12" s="510">
        <v>0.33666000000000001</v>
      </c>
      <c r="T12" s="510">
        <v>0.36682999999999999</v>
      </c>
      <c r="U12" s="510">
        <v>0.72736000000000001</v>
      </c>
      <c r="V12" s="510">
        <v>0.37670999999999999</v>
      </c>
      <c r="W12" s="510">
        <v>8.7729000000000001E-2</v>
      </c>
      <c r="X12" s="510">
        <v>0.33373999999999998</v>
      </c>
      <c r="Y12" s="510">
        <v>0.70481000000000005</v>
      </c>
      <c r="Z12" s="510">
        <v>1</v>
      </c>
    </row>
    <row r="13" spans="1:26" x14ac:dyDescent="0.25">
      <c r="A13" s="510" t="s">
        <v>219</v>
      </c>
      <c r="B13" s="595"/>
      <c r="C13" s="595"/>
      <c r="D13" s="595"/>
      <c r="E13" s="595"/>
      <c r="F13" s="595"/>
      <c r="G13" s="595"/>
      <c r="H13" s="595"/>
      <c r="I13" s="595"/>
      <c r="J13" s="595"/>
      <c r="K13" s="595"/>
      <c r="L13" s="595"/>
      <c r="M13" s="510"/>
      <c r="N13" s="587">
        <v>2.3261E-2</v>
      </c>
      <c r="O13" s="510">
        <v>0.53610000000000002</v>
      </c>
      <c r="P13" s="510">
        <v>6.0470999999999997E-2</v>
      </c>
      <c r="Q13" s="510">
        <v>0.15037</v>
      </c>
      <c r="R13" s="510">
        <v>0.91957</v>
      </c>
      <c r="S13" s="510">
        <v>0.43578</v>
      </c>
      <c r="T13" s="510">
        <v>0.96265999999999996</v>
      </c>
      <c r="U13" s="510">
        <v>0.31512000000000001</v>
      </c>
      <c r="V13" s="510">
        <v>8.8062000000000001E-2</v>
      </c>
      <c r="W13" s="510">
        <v>0.48703999999999997</v>
      </c>
      <c r="X13" s="510">
        <v>0.10997999999999999</v>
      </c>
      <c r="Y13" s="510">
        <v>0.68515000000000004</v>
      </c>
      <c r="Z13" s="510">
        <v>1</v>
      </c>
    </row>
    <row r="14" spans="1:26" x14ac:dyDescent="0.25">
      <c r="A14" s="510" t="s">
        <v>149</v>
      </c>
      <c r="B14" s="595"/>
      <c r="C14" s="595"/>
      <c r="D14" s="595"/>
      <c r="E14" s="595"/>
      <c r="F14" s="595"/>
      <c r="G14" s="595"/>
      <c r="H14" s="595"/>
      <c r="I14" s="595"/>
      <c r="J14" s="595"/>
      <c r="K14" s="595"/>
      <c r="L14" s="595"/>
      <c r="M14" s="595"/>
      <c r="N14" s="510"/>
      <c r="O14" s="510">
        <v>0.78639999999999999</v>
      </c>
      <c r="P14" s="510">
        <v>0.23763000000000001</v>
      </c>
      <c r="Q14" s="510">
        <v>6.0756999999999999E-2</v>
      </c>
      <c r="R14" s="510">
        <v>0.58313000000000004</v>
      </c>
      <c r="S14" s="510">
        <v>0.19620000000000001</v>
      </c>
      <c r="T14" s="510">
        <v>0.71584999999999999</v>
      </c>
      <c r="U14" s="510">
        <v>0.20355999999999999</v>
      </c>
      <c r="V14" s="587">
        <v>2.2006999999999999E-2</v>
      </c>
      <c r="W14" s="510">
        <v>0.55120000000000002</v>
      </c>
      <c r="X14" s="587">
        <v>4.4771999999999999E-2</v>
      </c>
      <c r="Y14" s="510">
        <v>0.75231000000000003</v>
      </c>
      <c r="Z14" s="510">
        <v>1</v>
      </c>
    </row>
    <row r="15" spans="1:26" x14ac:dyDescent="0.25">
      <c r="A15" s="510" t="s">
        <v>197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5"/>
      <c r="N15" s="595"/>
      <c r="O15" s="510"/>
      <c r="P15" s="510">
        <v>0.65824000000000005</v>
      </c>
      <c r="Q15" s="510">
        <v>0.98907</v>
      </c>
      <c r="R15" s="510">
        <v>0.80747999999999998</v>
      </c>
      <c r="S15" s="510">
        <v>0.68998000000000004</v>
      </c>
      <c r="T15" s="587">
        <v>2.877E-2</v>
      </c>
      <c r="U15" s="510">
        <v>0.72606000000000004</v>
      </c>
      <c r="V15" s="510">
        <v>0.96270999999999995</v>
      </c>
      <c r="W15" s="587">
        <v>3.5441E-2</v>
      </c>
      <c r="X15" s="510">
        <v>0.89817000000000002</v>
      </c>
      <c r="Y15" s="510">
        <v>0.29921999999999999</v>
      </c>
      <c r="Z15" s="510">
        <v>1</v>
      </c>
    </row>
    <row r="16" spans="1:26" x14ac:dyDescent="0.25">
      <c r="A16" s="510" t="s">
        <v>198</v>
      </c>
      <c r="B16" s="595"/>
      <c r="C16" s="595"/>
      <c r="D16" s="595"/>
      <c r="E16" s="595"/>
      <c r="F16" s="595"/>
      <c r="G16" s="595"/>
      <c r="H16" s="595"/>
      <c r="I16" s="595"/>
      <c r="J16" s="595"/>
      <c r="K16" s="595"/>
      <c r="L16" s="595"/>
      <c r="M16" s="595"/>
      <c r="N16" s="595"/>
      <c r="O16" s="595"/>
      <c r="P16" s="510"/>
      <c r="Q16" s="510">
        <v>0.43276999999999999</v>
      </c>
      <c r="R16" s="510">
        <v>0.48818</v>
      </c>
      <c r="S16" s="510">
        <v>0.94784999999999997</v>
      </c>
      <c r="T16" s="510">
        <v>0.90058000000000005</v>
      </c>
      <c r="U16" s="510">
        <v>0.51422999999999996</v>
      </c>
      <c r="V16" s="510">
        <v>0.32455000000000001</v>
      </c>
      <c r="W16" s="510">
        <v>0.8639</v>
      </c>
      <c r="X16" s="510">
        <v>0.37916</v>
      </c>
      <c r="Y16" s="510">
        <v>0.34627000000000002</v>
      </c>
      <c r="Z16" s="510">
        <v>1</v>
      </c>
    </row>
    <row r="17" spans="1:26" x14ac:dyDescent="0.25">
      <c r="A17" s="510" t="s">
        <v>196</v>
      </c>
      <c r="B17" s="595"/>
      <c r="C17" s="595"/>
      <c r="D17" s="595"/>
      <c r="E17" s="595"/>
      <c r="F17" s="595"/>
      <c r="G17" s="595"/>
      <c r="H17" s="595"/>
      <c r="I17" s="595"/>
      <c r="J17" s="595"/>
      <c r="K17" s="595"/>
      <c r="L17" s="595"/>
      <c r="M17" s="595"/>
      <c r="N17" s="595"/>
      <c r="O17" s="595"/>
      <c r="P17" s="595"/>
      <c r="Q17" s="510"/>
      <c r="R17" s="510">
        <v>0.76566000000000001</v>
      </c>
      <c r="S17" s="510">
        <v>0.33728000000000002</v>
      </c>
      <c r="T17" s="510">
        <v>0.52063999999999999</v>
      </c>
      <c r="U17" s="587">
        <v>1.4194999999999999E-2</v>
      </c>
      <c r="V17" s="592">
        <v>3.1002E-3</v>
      </c>
      <c r="W17" s="510">
        <v>0.67545999999999995</v>
      </c>
      <c r="X17" s="592">
        <v>3.6779E-4</v>
      </c>
      <c r="Y17" s="510">
        <v>0.91695000000000004</v>
      </c>
      <c r="Z17" s="510">
        <v>1</v>
      </c>
    </row>
    <row r="18" spans="1:26" x14ac:dyDescent="0.25">
      <c r="A18" s="510" t="s">
        <v>220</v>
      </c>
      <c r="B18" s="595"/>
      <c r="C18" s="595"/>
      <c r="D18" s="595"/>
      <c r="E18" s="595"/>
      <c r="F18" s="595"/>
      <c r="G18" s="595"/>
      <c r="H18" s="595"/>
      <c r="I18" s="595"/>
      <c r="J18" s="595"/>
      <c r="K18" s="595"/>
      <c r="L18" s="595"/>
      <c r="M18" s="595"/>
      <c r="N18" s="595"/>
      <c r="O18" s="595"/>
      <c r="P18" s="595"/>
      <c r="Q18" s="595"/>
      <c r="R18" s="510"/>
      <c r="S18" s="587">
        <v>3.4671E-2</v>
      </c>
      <c r="T18" s="510">
        <v>0.96031</v>
      </c>
      <c r="U18" s="510">
        <v>0.94935000000000003</v>
      </c>
      <c r="V18" s="510">
        <v>0.75782000000000005</v>
      </c>
      <c r="W18" s="510">
        <v>0.41328999999999999</v>
      </c>
      <c r="X18" s="510">
        <v>0.75927</v>
      </c>
      <c r="Y18" s="510">
        <v>0.39284000000000002</v>
      </c>
      <c r="Z18" s="510">
        <v>1</v>
      </c>
    </row>
    <row r="19" spans="1:26" x14ac:dyDescent="0.25">
      <c r="A19" s="510" t="s">
        <v>204</v>
      </c>
      <c r="B19" s="595"/>
      <c r="C19" s="595"/>
      <c r="D19" s="595"/>
      <c r="E19" s="595"/>
      <c r="F19" s="595"/>
      <c r="G19" s="595"/>
      <c r="H19" s="595"/>
      <c r="I19" s="595"/>
      <c r="J19" s="595"/>
      <c r="K19" s="595"/>
      <c r="L19" s="595"/>
      <c r="M19" s="595"/>
      <c r="N19" s="595"/>
      <c r="O19" s="595"/>
      <c r="P19" s="595"/>
      <c r="Q19" s="595"/>
      <c r="R19" s="595"/>
      <c r="S19" s="510"/>
      <c r="T19" s="510">
        <v>0.90551999999999999</v>
      </c>
      <c r="U19" s="510">
        <v>0.62155000000000005</v>
      </c>
      <c r="V19" s="510">
        <v>0.31836999999999999</v>
      </c>
      <c r="W19" s="510">
        <v>0.29592000000000002</v>
      </c>
      <c r="X19" s="510">
        <v>0.31869999999999998</v>
      </c>
      <c r="Y19" s="510">
        <v>0.53925999999999996</v>
      </c>
      <c r="Z19" s="510">
        <v>1</v>
      </c>
    </row>
    <row r="20" spans="1:26" x14ac:dyDescent="0.25">
      <c r="A20" s="510" t="s">
        <v>203</v>
      </c>
      <c r="B20" s="595"/>
      <c r="C20" s="595"/>
      <c r="D20" s="595"/>
      <c r="E20" s="595"/>
      <c r="F20" s="595"/>
      <c r="G20" s="595"/>
      <c r="H20" s="595"/>
      <c r="I20" s="595"/>
      <c r="J20" s="595"/>
      <c r="K20" s="595"/>
      <c r="L20" s="595"/>
      <c r="M20" s="595"/>
      <c r="N20" s="595"/>
      <c r="O20" s="595"/>
      <c r="P20" s="595"/>
      <c r="Q20" s="595"/>
      <c r="R20" s="595"/>
      <c r="S20" s="595"/>
      <c r="T20" s="510"/>
      <c r="U20" s="510">
        <v>0.36375000000000002</v>
      </c>
      <c r="V20" s="510">
        <v>0.48681000000000002</v>
      </c>
      <c r="W20" s="510">
        <v>0.18045</v>
      </c>
      <c r="X20" s="510">
        <v>0.61695</v>
      </c>
      <c r="Y20" s="510">
        <v>0.31411</v>
      </c>
      <c r="Z20" s="510">
        <v>1</v>
      </c>
    </row>
    <row r="21" spans="1:26" x14ac:dyDescent="0.25">
      <c r="A21" s="510" t="s">
        <v>205</v>
      </c>
      <c r="B21" s="595"/>
      <c r="C21" s="595"/>
      <c r="D21" s="595"/>
      <c r="E21" s="595"/>
      <c r="F21" s="595"/>
      <c r="G21" s="595"/>
      <c r="H21" s="595"/>
      <c r="I21" s="595"/>
      <c r="J21" s="595"/>
      <c r="K21" s="595"/>
      <c r="L21" s="595"/>
      <c r="M21" s="595"/>
      <c r="N21" s="595"/>
      <c r="O21" s="595"/>
      <c r="P21" s="595"/>
      <c r="Q21" s="595"/>
      <c r="R21" s="595"/>
      <c r="S21" s="595"/>
      <c r="T21" s="595"/>
      <c r="U21" s="510"/>
      <c r="V21" s="587">
        <v>3.5693999999999997E-2</v>
      </c>
      <c r="W21" s="510">
        <v>0.97407999999999995</v>
      </c>
      <c r="X21" s="587">
        <v>2.6134999999999999E-2</v>
      </c>
      <c r="Y21" s="510">
        <v>0.79252999999999996</v>
      </c>
      <c r="Z21" s="510">
        <v>1</v>
      </c>
    </row>
    <row r="22" spans="1:26" x14ac:dyDescent="0.25">
      <c r="A22" s="510" t="s">
        <v>206</v>
      </c>
      <c r="B22" s="595"/>
      <c r="C22" s="595"/>
      <c r="D22" s="595"/>
      <c r="E22" s="595"/>
      <c r="F22" s="595"/>
      <c r="G22" s="595"/>
      <c r="H22" s="595"/>
      <c r="I22" s="595"/>
      <c r="J22" s="595"/>
      <c r="K22" s="595"/>
      <c r="L22" s="595"/>
      <c r="M22" s="595"/>
      <c r="N22" s="595"/>
      <c r="O22" s="595"/>
      <c r="P22" s="595"/>
      <c r="Q22" s="595"/>
      <c r="R22" s="595"/>
      <c r="S22" s="595"/>
      <c r="T22" s="595"/>
      <c r="U22" s="595"/>
      <c r="V22" s="510"/>
      <c r="W22" s="510">
        <v>0.73494000000000004</v>
      </c>
      <c r="X22" s="592">
        <v>3.0736000000000001E-3</v>
      </c>
      <c r="Y22" s="510">
        <v>0.74551999999999996</v>
      </c>
      <c r="Z22" s="510">
        <v>1</v>
      </c>
    </row>
    <row r="23" spans="1:26" x14ac:dyDescent="0.25">
      <c r="A23" s="510" t="s">
        <v>207</v>
      </c>
      <c r="B23" s="595"/>
      <c r="C23" s="595"/>
      <c r="D23" s="595"/>
      <c r="E23" s="595"/>
      <c r="F23" s="595"/>
      <c r="G23" s="595"/>
      <c r="H23" s="595"/>
      <c r="I23" s="595"/>
      <c r="J23" s="595"/>
      <c r="K23" s="595"/>
      <c r="L23" s="595"/>
      <c r="M23" s="595"/>
      <c r="N23" s="595"/>
      <c r="O23" s="595"/>
      <c r="P23" s="595"/>
      <c r="Q23" s="595"/>
      <c r="R23" s="595"/>
      <c r="S23" s="595"/>
      <c r="T23" s="595"/>
      <c r="U23" s="595"/>
      <c r="V23" s="595"/>
      <c r="W23" s="510"/>
      <c r="X23" s="510">
        <v>0.58823000000000003</v>
      </c>
      <c r="Y23" s="510">
        <v>0.14845</v>
      </c>
      <c r="Z23" s="510">
        <v>1</v>
      </c>
    </row>
    <row r="24" spans="1:26" x14ac:dyDescent="0.25">
      <c r="A24" s="510" t="s">
        <v>208</v>
      </c>
      <c r="B24" s="595"/>
      <c r="C24" s="595"/>
      <c r="D24" s="595"/>
      <c r="E24" s="595"/>
      <c r="F24" s="595"/>
      <c r="G24" s="595"/>
      <c r="H24" s="595"/>
      <c r="I24" s="595"/>
      <c r="J24" s="595"/>
      <c r="K24" s="595"/>
      <c r="L24" s="595"/>
      <c r="M24" s="595"/>
      <c r="N24" s="595"/>
      <c r="O24" s="595"/>
      <c r="P24" s="595"/>
      <c r="Q24" s="595"/>
      <c r="R24" s="595"/>
      <c r="S24" s="595"/>
      <c r="T24" s="595"/>
      <c r="U24" s="595"/>
      <c r="V24" s="595"/>
      <c r="W24" s="595"/>
      <c r="X24" s="510"/>
      <c r="Y24" s="510">
        <v>0.94943</v>
      </c>
      <c r="Z24" s="510">
        <v>1</v>
      </c>
    </row>
    <row r="25" spans="1:26" x14ac:dyDescent="0.25">
      <c r="A25" s="510" t="s">
        <v>209</v>
      </c>
      <c r="B25" s="595"/>
      <c r="C25" s="595"/>
      <c r="D25" s="595"/>
      <c r="E25" s="595"/>
      <c r="F25" s="595"/>
      <c r="G25" s="595"/>
      <c r="H25" s="595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95"/>
      <c r="T25" s="595"/>
      <c r="U25" s="595"/>
      <c r="V25" s="595"/>
      <c r="W25" s="595"/>
      <c r="X25" s="595"/>
      <c r="Y25" s="510"/>
      <c r="Z25" s="510">
        <v>1</v>
      </c>
    </row>
    <row r="26" spans="1:26" x14ac:dyDescent="0.25">
      <c r="A26" s="510" t="s">
        <v>210</v>
      </c>
      <c r="B26" s="595"/>
      <c r="C26" s="595"/>
      <c r="D26" s="595"/>
      <c r="E26" s="595"/>
      <c r="F26" s="595"/>
      <c r="G26" s="595"/>
      <c r="H26" s="595"/>
      <c r="I26" s="595"/>
      <c r="J26" s="595"/>
      <c r="K26" s="595"/>
      <c r="L26" s="595"/>
      <c r="M26" s="595"/>
      <c r="N26" s="595"/>
      <c r="O26" s="595"/>
      <c r="P26" s="595"/>
      <c r="Q26" s="595"/>
      <c r="R26" s="595"/>
      <c r="S26" s="595"/>
      <c r="T26" s="595"/>
      <c r="U26" s="595"/>
      <c r="V26" s="595"/>
      <c r="W26" s="595"/>
      <c r="X26" s="595"/>
      <c r="Y26" s="595"/>
      <c r="Z26" s="5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C98C3-801C-4533-ACC0-512FE9421E6B}">
  <dimension ref="A2:AK37"/>
  <sheetViews>
    <sheetView zoomScale="80" zoomScaleNormal="80" workbookViewId="0">
      <pane xSplit="1" topLeftCell="B1" activePane="topRight" state="frozen"/>
      <selection pane="topRight" activeCell="Y20" sqref="Y20"/>
    </sheetView>
  </sheetViews>
  <sheetFormatPr defaultRowHeight="15" x14ac:dyDescent="0.25"/>
  <cols>
    <col min="1" max="1" width="14.28515625" customWidth="1"/>
  </cols>
  <sheetData>
    <row r="2" spans="1:37" x14ac:dyDescent="0.25">
      <c r="C2" t="s">
        <v>146</v>
      </c>
      <c r="D2" t="s">
        <v>147</v>
      </c>
      <c r="E2" t="s">
        <v>148</v>
      </c>
      <c r="F2" t="s">
        <v>149</v>
      </c>
      <c r="G2" t="s">
        <v>209</v>
      </c>
      <c r="H2" t="s">
        <v>196</v>
      </c>
      <c r="I2" t="s">
        <v>197</v>
      </c>
      <c r="J2" t="s">
        <v>198</v>
      </c>
      <c r="K2" t="s">
        <v>203</v>
      </c>
      <c r="L2" t="s">
        <v>204</v>
      </c>
      <c r="M2" t="s">
        <v>205</v>
      </c>
      <c r="N2" t="s">
        <v>206</v>
      </c>
      <c r="O2" t="s">
        <v>207</v>
      </c>
      <c r="P2" t="s">
        <v>208</v>
      </c>
      <c r="Q2" t="s">
        <v>221</v>
      </c>
      <c r="R2" t="s">
        <v>250</v>
      </c>
      <c r="S2" t="s">
        <v>251</v>
      </c>
      <c r="T2" t="s">
        <v>213</v>
      </c>
      <c r="U2" t="s">
        <v>214</v>
      </c>
      <c r="V2" t="s">
        <v>215</v>
      </c>
      <c r="W2" t="s">
        <v>216</v>
      </c>
      <c r="X2" t="s">
        <v>217</v>
      </c>
      <c r="Y2" t="s">
        <v>252</v>
      </c>
      <c r="Z2" t="s">
        <v>263</v>
      </c>
      <c r="AA2" t="s">
        <v>253</v>
      </c>
      <c r="AB2" t="s">
        <v>254</v>
      </c>
      <c r="AC2" t="s">
        <v>255</v>
      </c>
      <c r="AD2" t="s">
        <v>256</v>
      </c>
      <c r="AE2" t="s">
        <v>257</v>
      </c>
      <c r="AF2" t="s">
        <v>258</v>
      </c>
      <c r="AG2" t="s">
        <v>259</v>
      </c>
      <c r="AH2" t="s">
        <v>260</v>
      </c>
      <c r="AI2" t="s">
        <v>261</v>
      </c>
      <c r="AJ2" t="s">
        <v>264</v>
      </c>
      <c r="AK2" t="s">
        <v>262</v>
      </c>
    </row>
    <row r="3" spans="1:37" x14ac:dyDescent="0.25">
      <c r="A3" s="651" t="s">
        <v>146</v>
      </c>
      <c r="B3" t="s">
        <v>146</v>
      </c>
      <c r="D3" s="589">
        <v>1.5807000000000001E-4</v>
      </c>
      <c r="E3">
        <v>0.96513000000000004</v>
      </c>
      <c r="F3" s="666">
        <v>7.2381000000000003E-23</v>
      </c>
      <c r="G3">
        <v>0.15970000000000001</v>
      </c>
      <c r="H3" s="589">
        <v>3.7068000000000001E-3</v>
      </c>
      <c r="I3" s="666">
        <v>1.9533000000000001E-5</v>
      </c>
      <c r="J3">
        <v>0.22244</v>
      </c>
      <c r="K3">
        <v>0.56594999999999995</v>
      </c>
      <c r="L3">
        <v>0.85768999999999995</v>
      </c>
      <c r="M3">
        <v>0.78225999999999996</v>
      </c>
      <c r="N3" s="666">
        <v>1.5947E-8</v>
      </c>
      <c r="O3">
        <v>0.42215000000000003</v>
      </c>
      <c r="P3">
        <v>0.96414</v>
      </c>
      <c r="Q3">
        <v>0.48265000000000002</v>
      </c>
      <c r="R3">
        <v>0.65456000000000003</v>
      </c>
      <c r="S3">
        <v>0.66669999999999996</v>
      </c>
      <c r="T3">
        <v>0.55581000000000003</v>
      </c>
      <c r="U3">
        <v>0.97182999999999997</v>
      </c>
      <c r="V3">
        <v>7.9328999999999997E-2</v>
      </c>
      <c r="W3">
        <v>2.5964000000000001E-2</v>
      </c>
      <c r="X3" s="589">
        <v>4.5950000000000001E-3</v>
      </c>
      <c r="Y3">
        <v>0.76288999999999996</v>
      </c>
      <c r="Z3">
        <v>0.75139999999999996</v>
      </c>
      <c r="AA3">
        <v>0.65913999999999995</v>
      </c>
      <c r="AB3">
        <v>0.72058</v>
      </c>
      <c r="AC3">
        <v>0.25816</v>
      </c>
      <c r="AD3">
        <v>0.74736000000000002</v>
      </c>
      <c r="AE3">
        <v>0.26390000000000002</v>
      </c>
      <c r="AF3">
        <v>7.9642000000000004E-2</v>
      </c>
      <c r="AG3">
        <v>6.5262000000000001E-2</v>
      </c>
      <c r="AH3">
        <v>4.9397000000000003E-2</v>
      </c>
      <c r="AI3">
        <v>2.2398999999999999E-2</v>
      </c>
      <c r="AJ3">
        <v>0.71923000000000004</v>
      </c>
      <c r="AK3">
        <v>0.84613000000000005</v>
      </c>
    </row>
    <row r="4" spans="1:37" x14ac:dyDescent="0.25">
      <c r="A4" s="651" t="s">
        <v>147</v>
      </c>
      <c r="B4" t="s">
        <v>147</v>
      </c>
      <c r="E4">
        <v>0.12105</v>
      </c>
      <c r="F4" s="589">
        <v>2.5051000000000001E-4</v>
      </c>
      <c r="G4">
        <v>0.17238000000000001</v>
      </c>
      <c r="H4" s="589">
        <v>1.6484E-3</v>
      </c>
      <c r="I4" s="589">
        <v>5.9493000000000002E-4</v>
      </c>
      <c r="J4">
        <v>0.38329000000000002</v>
      </c>
      <c r="K4">
        <v>0.78556999999999999</v>
      </c>
      <c r="L4">
        <v>0.92079999999999995</v>
      </c>
      <c r="M4">
        <v>0.83665</v>
      </c>
      <c r="N4">
        <v>8.9458999999999997E-2</v>
      </c>
      <c r="O4">
        <v>0.24922</v>
      </c>
      <c r="P4">
        <v>0.18281</v>
      </c>
      <c r="Q4">
        <v>0.1128</v>
      </c>
      <c r="R4">
        <v>0.76856000000000002</v>
      </c>
      <c r="S4">
        <v>0.75834000000000001</v>
      </c>
      <c r="T4">
        <v>0.50288999999999995</v>
      </c>
      <c r="U4">
        <v>0.66205999999999998</v>
      </c>
      <c r="V4">
        <v>0.17560999999999999</v>
      </c>
      <c r="W4">
        <v>0.61106000000000005</v>
      </c>
      <c r="X4">
        <v>0.29013</v>
      </c>
      <c r="Y4">
        <v>0.47238000000000002</v>
      </c>
      <c r="Z4">
        <v>0.54444000000000004</v>
      </c>
      <c r="AA4">
        <v>0.10478999999999999</v>
      </c>
      <c r="AB4">
        <v>0.49839</v>
      </c>
      <c r="AC4">
        <v>0.37867000000000001</v>
      </c>
      <c r="AD4">
        <v>0.54212000000000005</v>
      </c>
      <c r="AE4">
        <v>0.38270999999999999</v>
      </c>
      <c r="AF4">
        <v>0.24812000000000001</v>
      </c>
      <c r="AG4">
        <v>0.22259999999999999</v>
      </c>
      <c r="AH4">
        <v>0.20831</v>
      </c>
      <c r="AI4">
        <v>0.15820999999999999</v>
      </c>
      <c r="AJ4">
        <v>0.2132</v>
      </c>
      <c r="AK4">
        <v>0.71059000000000005</v>
      </c>
    </row>
    <row r="5" spans="1:37" x14ac:dyDescent="0.25">
      <c r="A5" s="651" t="s">
        <v>148</v>
      </c>
      <c r="B5" t="s">
        <v>148</v>
      </c>
      <c r="F5">
        <v>0.51854</v>
      </c>
      <c r="G5">
        <v>0.89349000000000001</v>
      </c>
      <c r="H5" s="666">
        <v>8.7867000000000004E-5</v>
      </c>
      <c r="I5">
        <v>6.3571000000000003E-2</v>
      </c>
      <c r="J5">
        <v>0.14521999999999999</v>
      </c>
      <c r="K5">
        <v>0.83860999999999997</v>
      </c>
      <c r="L5" s="589">
        <v>1.5365999999999999E-3</v>
      </c>
      <c r="M5" s="589">
        <v>9.5663999999999992E-3</v>
      </c>
      <c r="N5">
        <v>0.58567000000000002</v>
      </c>
      <c r="O5" s="589">
        <v>2.4697999999999999E-3</v>
      </c>
      <c r="P5" s="666">
        <v>1.3764000000000001E-6</v>
      </c>
      <c r="Q5">
        <v>0.66317000000000004</v>
      </c>
      <c r="R5">
        <v>8.9404999999999998E-2</v>
      </c>
      <c r="S5">
        <v>9.2119000000000006E-2</v>
      </c>
      <c r="T5">
        <v>0.28571999999999997</v>
      </c>
      <c r="U5">
        <v>0.13084000000000001</v>
      </c>
      <c r="V5">
        <v>0.86595</v>
      </c>
      <c r="W5" s="589">
        <v>7.2738000000000004E-3</v>
      </c>
      <c r="X5">
        <v>2.6089000000000001E-2</v>
      </c>
      <c r="Y5">
        <v>0.27645999999999998</v>
      </c>
      <c r="Z5">
        <v>0.23072000000000001</v>
      </c>
      <c r="AA5">
        <v>0.80947999999999998</v>
      </c>
      <c r="AB5">
        <v>0.25390000000000001</v>
      </c>
      <c r="AC5">
        <v>0.51332</v>
      </c>
      <c r="AD5">
        <v>0.23150000000000001</v>
      </c>
      <c r="AE5">
        <v>0.50651000000000002</v>
      </c>
      <c r="AF5">
        <v>0.96921999999999997</v>
      </c>
      <c r="AG5">
        <v>0.90063000000000004</v>
      </c>
      <c r="AH5">
        <v>0.80693999999999999</v>
      </c>
      <c r="AI5">
        <v>0.41889999999999999</v>
      </c>
      <c r="AJ5">
        <v>0.76729999999999998</v>
      </c>
      <c r="AK5">
        <v>0.16771</v>
      </c>
    </row>
    <row r="6" spans="1:37" x14ac:dyDescent="0.25">
      <c r="A6" s="651" t="s">
        <v>149</v>
      </c>
      <c r="B6" t="s">
        <v>149</v>
      </c>
      <c r="G6">
        <v>0.1119</v>
      </c>
      <c r="H6">
        <v>7.4378E-2</v>
      </c>
      <c r="I6" s="589">
        <v>8.3067000000000004E-4</v>
      </c>
      <c r="J6">
        <v>0.62204000000000004</v>
      </c>
      <c r="K6">
        <v>0.98326000000000002</v>
      </c>
      <c r="L6">
        <v>0.51046999999999998</v>
      </c>
      <c r="M6">
        <v>0.43974000000000002</v>
      </c>
      <c r="N6" s="666">
        <v>5.7553999999999998E-7</v>
      </c>
      <c r="O6">
        <v>0.96340000000000003</v>
      </c>
      <c r="P6">
        <v>0.81567000000000001</v>
      </c>
      <c r="Q6">
        <v>0.24293999999999999</v>
      </c>
      <c r="R6">
        <v>0.65549000000000002</v>
      </c>
      <c r="S6">
        <v>0.67079</v>
      </c>
      <c r="T6">
        <v>0.46867999999999999</v>
      </c>
      <c r="U6">
        <v>0.91678000000000004</v>
      </c>
      <c r="V6">
        <v>3.0858E-2</v>
      </c>
      <c r="W6">
        <v>1.4585000000000001E-2</v>
      </c>
      <c r="X6" s="589">
        <v>4.6340999999999998E-4</v>
      </c>
      <c r="Y6">
        <v>0.68486999999999998</v>
      </c>
      <c r="Z6">
        <v>0.71816000000000002</v>
      </c>
      <c r="AA6">
        <v>0.70909999999999995</v>
      </c>
      <c r="AB6">
        <v>0.66400000000000003</v>
      </c>
      <c r="AC6">
        <v>0.18089</v>
      </c>
      <c r="AD6">
        <v>0.71328999999999998</v>
      </c>
      <c r="AE6">
        <v>0.18676000000000001</v>
      </c>
      <c r="AF6">
        <v>2.8375999999999998E-2</v>
      </c>
      <c r="AG6">
        <v>2.1631999999999998E-2</v>
      </c>
      <c r="AH6">
        <v>1.4928E-2</v>
      </c>
      <c r="AI6" s="589">
        <v>3.5612999999999999E-3</v>
      </c>
      <c r="AJ6">
        <v>0.51090999999999998</v>
      </c>
      <c r="AK6">
        <v>0.88080000000000003</v>
      </c>
    </row>
    <row r="7" spans="1:37" x14ac:dyDescent="0.25">
      <c r="A7" s="651" t="s">
        <v>209</v>
      </c>
      <c r="B7" t="s">
        <v>209</v>
      </c>
      <c r="H7">
        <v>0.10544000000000001</v>
      </c>
      <c r="I7">
        <v>9.1571E-2</v>
      </c>
      <c r="J7" s="666">
        <v>7.7069E-8</v>
      </c>
      <c r="K7">
        <v>0.32625999999999999</v>
      </c>
      <c r="L7">
        <v>0.35703000000000001</v>
      </c>
      <c r="M7">
        <v>2.7496E-2</v>
      </c>
      <c r="N7">
        <v>0.35347000000000001</v>
      </c>
      <c r="O7">
        <v>0.67376999999999998</v>
      </c>
      <c r="P7">
        <v>1.4591E-2</v>
      </c>
      <c r="Q7">
        <v>0.31485000000000002</v>
      </c>
      <c r="R7" s="589">
        <v>7.0362999999999997E-3</v>
      </c>
      <c r="S7" s="589">
        <v>6.8497999999999996E-3</v>
      </c>
      <c r="T7" s="589">
        <v>7.0883999999999997E-4</v>
      </c>
      <c r="U7" s="589">
        <v>1.8373E-3</v>
      </c>
      <c r="V7" s="589">
        <v>3.0838000000000003E-4</v>
      </c>
      <c r="W7">
        <v>0.97740000000000005</v>
      </c>
      <c r="X7">
        <v>3.5957999999999997E-2</v>
      </c>
      <c r="Y7" s="589">
        <v>1.1649E-3</v>
      </c>
      <c r="Z7" s="589">
        <v>1.209E-3</v>
      </c>
      <c r="AA7">
        <v>0.43663999999999997</v>
      </c>
      <c r="AB7" s="589">
        <v>1.0120999999999999E-3</v>
      </c>
      <c r="AC7" s="589">
        <v>2.8446E-4</v>
      </c>
      <c r="AD7" s="589">
        <v>1.1907E-3</v>
      </c>
      <c r="AE7" s="589">
        <v>2.9273999999999999E-4</v>
      </c>
      <c r="AF7" s="589">
        <v>4.0811999999999999E-4</v>
      </c>
      <c r="AG7" s="589">
        <v>3.8058999999999999E-4</v>
      </c>
      <c r="AH7" s="589">
        <v>4.2635999999999998E-4</v>
      </c>
      <c r="AI7" s="589">
        <v>4.2348000000000004E-3</v>
      </c>
      <c r="AJ7">
        <v>3.6252E-2</v>
      </c>
      <c r="AK7" s="589">
        <v>2.3140000000000001E-3</v>
      </c>
    </row>
    <row r="8" spans="1:37" x14ac:dyDescent="0.25">
      <c r="A8" s="651" t="s">
        <v>196</v>
      </c>
      <c r="B8" t="s">
        <v>196</v>
      </c>
      <c r="I8" s="589">
        <v>5.7967000000000001E-4</v>
      </c>
      <c r="J8">
        <v>8.6230000000000001E-2</v>
      </c>
      <c r="K8">
        <v>3.2632000000000001E-2</v>
      </c>
      <c r="L8" s="666">
        <v>1.9522E-5</v>
      </c>
      <c r="M8" s="589">
        <v>1.0043999999999999E-4</v>
      </c>
      <c r="N8" s="589">
        <v>4.9927000000000001E-3</v>
      </c>
      <c r="O8" s="666">
        <v>1.8926999999999999E-6</v>
      </c>
      <c r="P8" s="589">
        <v>5.2565000000000001E-4</v>
      </c>
      <c r="Q8">
        <v>0.87387000000000004</v>
      </c>
      <c r="R8">
        <v>0.51027</v>
      </c>
      <c r="S8">
        <v>0.50919999999999999</v>
      </c>
      <c r="T8">
        <v>0.32029999999999997</v>
      </c>
      <c r="U8">
        <v>0.38428000000000001</v>
      </c>
      <c r="V8">
        <v>0.28548000000000001</v>
      </c>
      <c r="W8">
        <v>0.70677999999999996</v>
      </c>
      <c r="X8">
        <v>0.40276000000000001</v>
      </c>
      <c r="Y8">
        <v>0.32364999999999999</v>
      </c>
      <c r="Z8">
        <v>0.34708</v>
      </c>
      <c r="AA8">
        <v>0.66632000000000002</v>
      </c>
      <c r="AB8">
        <v>0.33124999999999999</v>
      </c>
      <c r="AC8">
        <v>0.26463999999999999</v>
      </c>
      <c r="AD8">
        <v>0.34645999999999999</v>
      </c>
      <c r="AE8">
        <v>0.26606000000000002</v>
      </c>
      <c r="AF8">
        <v>0.22525000000000001</v>
      </c>
      <c r="AG8">
        <v>0.21682999999999999</v>
      </c>
      <c r="AH8">
        <v>0.21204999999999999</v>
      </c>
      <c r="AI8">
        <v>0.25245000000000001</v>
      </c>
      <c r="AJ8">
        <v>0.41177999999999998</v>
      </c>
      <c r="AK8">
        <v>0.41125</v>
      </c>
    </row>
    <row r="9" spans="1:37" x14ac:dyDescent="0.25">
      <c r="A9" s="651" t="s">
        <v>197</v>
      </c>
      <c r="B9" t="s">
        <v>197</v>
      </c>
      <c r="J9" s="666">
        <v>1.1965E-8</v>
      </c>
      <c r="K9">
        <v>0.87856999999999996</v>
      </c>
      <c r="L9">
        <v>0.12479999999999999</v>
      </c>
      <c r="M9">
        <v>0.17122999999999999</v>
      </c>
      <c r="N9" s="589">
        <v>6.6038999999999996E-4</v>
      </c>
      <c r="O9">
        <v>6.1176000000000001E-2</v>
      </c>
      <c r="P9">
        <v>0.61673999999999995</v>
      </c>
      <c r="Q9">
        <v>7.2331000000000006E-2</v>
      </c>
      <c r="R9">
        <v>9.9057000000000006E-2</v>
      </c>
      <c r="S9">
        <v>9.6480999999999997E-2</v>
      </c>
      <c r="T9">
        <v>3.6049999999999999E-2</v>
      </c>
      <c r="U9">
        <v>6.4566999999999999E-2</v>
      </c>
      <c r="V9">
        <v>1.2227999999999999E-2</v>
      </c>
      <c r="W9">
        <v>0.98265999999999998</v>
      </c>
      <c r="X9">
        <v>0.12864</v>
      </c>
      <c r="Y9">
        <v>5.0976E-2</v>
      </c>
      <c r="Z9">
        <v>4.8408E-2</v>
      </c>
      <c r="AA9">
        <v>0.79430000000000001</v>
      </c>
      <c r="AB9">
        <v>4.5345000000000003E-2</v>
      </c>
      <c r="AC9">
        <v>2.2558000000000002E-2</v>
      </c>
      <c r="AD9">
        <v>4.7972000000000001E-2</v>
      </c>
      <c r="AE9">
        <v>2.2821000000000001E-2</v>
      </c>
      <c r="AF9">
        <v>2.2499999999999999E-2</v>
      </c>
      <c r="AG9">
        <v>2.2100000000000002E-2</v>
      </c>
      <c r="AH9">
        <v>2.1968999999999999E-2</v>
      </c>
      <c r="AI9">
        <v>4.7830999999999999E-2</v>
      </c>
      <c r="AJ9">
        <v>0.14735999999999999</v>
      </c>
      <c r="AK9">
        <v>6.3159999999999994E-2</v>
      </c>
    </row>
    <row r="10" spans="1:37" x14ac:dyDescent="0.25">
      <c r="A10" s="651" t="s">
        <v>198</v>
      </c>
      <c r="B10" t="s">
        <v>198</v>
      </c>
      <c r="K10">
        <v>0.77788999999999997</v>
      </c>
      <c r="L10">
        <v>2.0405E-2</v>
      </c>
      <c r="M10">
        <v>0.16120999999999999</v>
      </c>
      <c r="N10">
        <v>0.1842</v>
      </c>
      <c r="O10">
        <v>4.7716000000000001E-2</v>
      </c>
      <c r="P10">
        <v>0.10456</v>
      </c>
      <c r="Q10">
        <v>0.19328999999999999</v>
      </c>
      <c r="R10" s="589">
        <v>2.2131E-3</v>
      </c>
      <c r="S10" s="589">
        <v>2.1708999999999999E-3</v>
      </c>
      <c r="T10" s="589">
        <v>2.8501999999999998E-4</v>
      </c>
      <c r="U10" s="589">
        <v>6.4493999999999999E-4</v>
      </c>
      <c r="V10" s="589">
        <v>2.4959E-4</v>
      </c>
      <c r="W10">
        <v>0.48410999999999998</v>
      </c>
      <c r="X10">
        <v>0.10958</v>
      </c>
      <c r="Y10" s="589">
        <v>1.1191E-3</v>
      </c>
      <c r="Z10" s="589">
        <v>7.7757E-4</v>
      </c>
      <c r="AA10">
        <v>0.70038999999999996</v>
      </c>
      <c r="AB10" s="589">
        <v>7.6455000000000002E-4</v>
      </c>
      <c r="AC10" s="589">
        <v>1.9112E-4</v>
      </c>
      <c r="AD10" s="589">
        <v>7.6588999999999997E-4</v>
      </c>
      <c r="AE10" s="589">
        <v>1.929E-4</v>
      </c>
      <c r="AF10" s="589">
        <v>5.9763999999999998E-4</v>
      </c>
      <c r="AG10" s="589">
        <v>5.4394999999999997E-4</v>
      </c>
      <c r="AH10" s="589">
        <v>6.8506999999999997E-4</v>
      </c>
      <c r="AI10" s="589">
        <v>8.3399000000000008E-3</v>
      </c>
      <c r="AJ10">
        <v>5.2087000000000001E-2</v>
      </c>
      <c r="AK10" s="589">
        <v>9.2329E-4</v>
      </c>
    </row>
    <row r="11" spans="1:37" x14ac:dyDescent="0.25">
      <c r="A11" s="651" t="s">
        <v>203</v>
      </c>
      <c r="B11" t="s">
        <v>203</v>
      </c>
      <c r="L11">
        <v>1.6833000000000001E-2</v>
      </c>
      <c r="M11">
        <v>4.0998E-2</v>
      </c>
      <c r="N11">
        <v>0.87065999999999999</v>
      </c>
      <c r="O11">
        <v>8.5240999999999997E-2</v>
      </c>
      <c r="P11">
        <v>0.92027000000000003</v>
      </c>
      <c r="Q11">
        <v>0.44347999999999999</v>
      </c>
      <c r="R11">
        <v>0.96131</v>
      </c>
      <c r="S11">
        <v>0.97262000000000004</v>
      </c>
      <c r="T11">
        <v>0.61231999999999998</v>
      </c>
      <c r="U11">
        <v>0.78439000000000003</v>
      </c>
      <c r="V11">
        <v>0.16342000000000001</v>
      </c>
      <c r="W11">
        <v>0.46662999999999999</v>
      </c>
      <c r="X11">
        <v>0.12728999999999999</v>
      </c>
      <c r="Y11">
        <v>0.65934000000000004</v>
      </c>
      <c r="Z11">
        <v>0.72302999999999995</v>
      </c>
      <c r="AA11">
        <v>0.86977000000000004</v>
      </c>
      <c r="AB11">
        <v>0.66969999999999996</v>
      </c>
      <c r="AC11">
        <v>0.34523999999999999</v>
      </c>
      <c r="AD11">
        <v>0.71887999999999996</v>
      </c>
      <c r="AE11">
        <v>0.35109000000000001</v>
      </c>
      <c r="AF11">
        <v>0.14223</v>
      </c>
      <c r="AG11">
        <v>0.11473999999999999</v>
      </c>
      <c r="AH11">
        <v>0.10839</v>
      </c>
      <c r="AI11">
        <v>4.7449999999999999E-2</v>
      </c>
      <c r="AJ11">
        <v>0.31758999999999998</v>
      </c>
      <c r="AK11">
        <v>0.87100999999999995</v>
      </c>
    </row>
    <row r="12" spans="1:37" x14ac:dyDescent="0.25">
      <c r="A12" s="651" t="s">
        <v>204</v>
      </c>
      <c r="B12" t="s">
        <v>204</v>
      </c>
      <c r="M12" s="666">
        <v>3.5457999999999998E-5</v>
      </c>
      <c r="N12">
        <v>0.73407</v>
      </c>
      <c r="O12" s="666">
        <v>7.7040000000000007E-9</v>
      </c>
      <c r="P12">
        <v>6.8099999999999994E-2</v>
      </c>
      <c r="Q12">
        <v>1.1838E-2</v>
      </c>
      <c r="R12">
        <v>0.48462</v>
      </c>
      <c r="S12">
        <v>0.50738000000000005</v>
      </c>
      <c r="T12">
        <v>0.68374999999999997</v>
      </c>
      <c r="U12">
        <v>0.48505999999999999</v>
      </c>
      <c r="V12">
        <v>0.26635999999999999</v>
      </c>
      <c r="W12">
        <v>0.18637000000000001</v>
      </c>
      <c r="X12">
        <v>0.11106000000000001</v>
      </c>
      <c r="Y12">
        <v>0.54335999999999995</v>
      </c>
      <c r="Z12">
        <v>0.59889000000000003</v>
      </c>
      <c r="AA12">
        <v>0.13494</v>
      </c>
      <c r="AB12">
        <v>0.61865000000000003</v>
      </c>
      <c r="AC12">
        <v>0.76346999999999998</v>
      </c>
      <c r="AD12">
        <v>0.60331999999999997</v>
      </c>
      <c r="AE12">
        <v>0.77436000000000005</v>
      </c>
      <c r="AF12">
        <v>0.3397</v>
      </c>
      <c r="AG12">
        <v>0.31594</v>
      </c>
      <c r="AH12">
        <v>0.28852</v>
      </c>
      <c r="AI12">
        <v>9.3870999999999996E-2</v>
      </c>
      <c r="AJ12">
        <v>0.82349000000000006</v>
      </c>
      <c r="AK12">
        <v>0.56840000000000002</v>
      </c>
    </row>
    <row r="13" spans="1:37" x14ac:dyDescent="0.25">
      <c r="A13" s="651" t="s">
        <v>205</v>
      </c>
      <c r="B13" t="s">
        <v>205</v>
      </c>
      <c r="N13">
        <v>0.33478999999999998</v>
      </c>
      <c r="O13" s="666">
        <v>5.6406000000000002E-5</v>
      </c>
      <c r="P13" s="666">
        <v>2.9275000000000002E-7</v>
      </c>
      <c r="Q13">
        <v>1.1269E-2</v>
      </c>
      <c r="R13">
        <v>0.19778000000000001</v>
      </c>
      <c r="S13">
        <v>0.19112999999999999</v>
      </c>
      <c r="T13">
        <v>9.2766000000000001E-2</v>
      </c>
      <c r="U13">
        <v>0.15004000000000001</v>
      </c>
      <c r="V13">
        <v>1.6195999999999999E-2</v>
      </c>
      <c r="W13">
        <v>0.63512999999999997</v>
      </c>
      <c r="X13">
        <v>0.15565000000000001</v>
      </c>
      <c r="Y13">
        <v>0.19503999999999999</v>
      </c>
      <c r="Z13">
        <v>0.18734000000000001</v>
      </c>
      <c r="AA13">
        <v>0.40847</v>
      </c>
      <c r="AB13">
        <v>0.17430999999999999</v>
      </c>
      <c r="AC13">
        <v>6.479E-2</v>
      </c>
      <c r="AD13">
        <v>0.18547</v>
      </c>
      <c r="AE13">
        <v>6.6404000000000005E-2</v>
      </c>
      <c r="AF13">
        <v>3.3577000000000003E-2</v>
      </c>
      <c r="AG13">
        <v>3.1454000000000003E-2</v>
      </c>
      <c r="AH13">
        <v>3.2279000000000002E-2</v>
      </c>
      <c r="AI13">
        <v>2.9116E-2</v>
      </c>
      <c r="AJ13">
        <v>0.22151000000000001</v>
      </c>
      <c r="AK13">
        <v>0.21493999999999999</v>
      </c>
    </row>
    <row r="14" spans="1:37" x14ac:dyDescent="0.25">
      <c r="A14" s="651" t="s">
        <v>206</v>
      </c>
      <c r="B14" t="s">
        <v>206</v>
      </c>
      <c r="O14">
        <v>0.23512</v>
      </c>
      <c r="P14">
        <v>0.10671</v>
      </c>
      <c r="Q14">
        <v>0.35042000000000001</v>
      </c>
      <c r="R14">
        <v>0.71291000000000004</v>
      </c>
      <c r="S14">
        <v>0.72392999999999996</v>
      </c>
      <c r="T14">
        <v>0.48551</v>
      </c>
      <c r="U14">
        <v>0.85906000000000005</v>
      </c>
      <c r="V14">
        <v>2.8257000000000001E-2</v>
      </c>
      <c r="W14" s="589">
        <v>7.2439000000000002E-3</v>
      </c>
      <c r="X14" s="589">
        <v>1.0968E-3</v>
      </c>
      <c r="Y14">
        <v>0.79057999999999995</v>
      </c>
      <c r="Z14">
        <v>0.67593999999999999</v>
      </c>
      <c r="AA14">
        <v>0.12265</v>
      </c>
      <c r="AB14">
        <v>0.67747000000000002</v>
      </c>
      <c r="AC14">
        <v>0.13119</v>
      </c>
      <c r="AD14">
        <v>0.67132999999999998</v>
      </c>
      <c r="AE14">
        <v>0.13461999999999999</v>
      </c>
      <c r="AF14">
        <v>3.0529000000000001E-2</v>
      </c>
      <c r="AG14">
        <v>2.1208999999999999E-2</v>
      </c>
      <c r="AH14">
        <v>1.6410999999999999E-2</v>
      </c>
      <c r="AI14" s="589">
        <v>5.7000000000000002E-3</v>
      </c>
      <c r="AJ14">
        <v>0.79515000000000002</v>
      </c>
      <c r="AK14">
        <v>0.65073999999999999</v>
      </c>
    </row>
    <row r="15" spans="1:37" x14ac:dyDescent="0.25">
      <c r="A15" s="651" t="s">
        <v>207</v>
      </c>
      <c r="B15" t="s">
        <v>207</v>
      </c>
      <c r="P15">
        <v>3.7485999999999998E-2</v>
      </c>
      <c r="Q15">
        <v>9.2630000000000004E-2</v>
      </c>
      <c r="R15">
        <v>0.63734999999999997</v>
      </c>
      <c r="S15">
        <v>0.61721999999999999</v>
      </c>
      <c r="T15">
        <v>0.72957000000000005</v>
      </c>
      <c r="U15">
        <v>0.73587999999999998</v>
      </c>
      <c r="V15">
        <v>0.31235000000000002</v>
      </c>
      <c r="W15">
        <v>0.92000999999999999</v>
      </c>
      <c r="X15">
        <v>0.59896000000000005</v>
      </c>
      <c r="Y15">
        <v>0.79964999999999997</v>
      </c>
      <c r="Z15">
        <v>0.82718999999999998</v>
      </c>
      <c r="AA15">
        <v>0.26080999999999999</v>
      </c>
      <c r="AB15">
        <v>0.79352999999999996</v>
      </c>
      <c r="AC15">
        <v>0.62802999999999998</v>
      </c>
      <c r="AD15">
        <v>0.82432000000000005</v>
      </c>
      <c r="AE15">
        <v>0.63514999999999999</v>
      </c>
      <c r="AF15">
        <v>0.40926000000000001</v>
      </c>
      <c r="AG15">
        <v>0.45565</v>
      </c>
      <c r="AH15">
        <v>0.45978000000000002</v>
      </c>
      <c r="AI15">
        <v>0.34320000000000001</v>
      </c>
      <c r="AJ15">
        <v>0.50612999999999997</v>
      </c>
      <c r="AK15">
        <v>0.90212999999999999</v>
      </c>
    </row>
    <row r="16" spans="1:37" x14ac:dyDescent="0.25">
      <c r="A16" s="651" t="s">
        <v>208</v>
      </c>
      <c r="B16" t="s">
        <v>208</v>
      </c>
      <c r="Q16">
        <v>0.53613</v>
      </c>
      <c r="R16">
        <v>0.37032999999999999</v>
      </c>
      <c r="S16">
        <v>0.36952000000000002</v>
      </c>
      <c r="T16">
        <v>0.19888</v>
      </c>
      <c r="U16">
        <v>0.30479000000000001</v>
      </c>
      <c r="V16">
        <v>0.15842999999999999</v>
      </c>
      <c r="W16">
        <v>0.92262999999999995</v>
      </c>
      <c r="X16">
        <v>0.19511999999999999</v>
      </c>
      <c r="Y16">
        <v>0.25540000000000002</v>
      </c>
      <c r="Z16">
        <v>0.27807999999999999</v>
      </c>
      <c r="AA16">
        <v>0.50255000000000005</v>
      </c>
      <c r="AB16">
        <v>0.26505000000000001</v>
      </c>
      <c r="AC16">
        <v>0.23128000000000001</v>
      </c>
      <c r="AD16">
        <v>0.27778999999999998</v>
      </c>
      <c r="AE16">
        <v>0.23227999999999999</v>
      </c>
      <c r="AF16">
        <v>0.21844</v>
      </c>
      <c r="AG16">
        <v>0.20924000000000001</v>
      </c>
      <c r="AH16">
        <v>0.19932</v>
      </c>
      <c r="AI16">
        <v>0.27372999999999997</v>
      </c>
      <c r="AJ16">
        <v>0.28406999999999999</v>
      </c>
      <c r="AK16">
        <v>0.33123999999999998</v>
      </c>
    </row>
    <row r="17" spans="1:37" x14ac:dyDescent="0.25">
      <c r="A17" s="651" t="s">
        <v>221</v>
      </c>
      <c r="B17" t="s">
        <v>221</v>
      </c>
      <c r="R17">
        <v>0.31162000000000001</v>
      </c>
      <c r="S17">
        <v>0.29391</v>
      </c>
      <c r="T17">
        <v>0.20741000000000001</v>
      </c>
      <c r="U17">
        <v>0.33417999999999998</v>
      </c>
      <c r="V17" s="589">
        <v>8.7577E-4</v>
      </c>
      <c r="W17">
        <v>0.86758000000000002</v>
      </c>
      <c r="X17" s="589">
        <v>3.1508E-3</v>
      </c>
      <c r="Y17">
        <v>0.34165000000000001</v>
      </c>
      <c r="Z17">
        <v>0.31335000000000002</v>
      </c>
      <c r="AA17">
        <v>3.3334000000000003E-2</v>
      </c>
      <c r="AB17">
        <v>0.27929999999999999</v>
      </c>
      <c r="AC17">
        <v>3.4085999999999998E-2</v>
      </c>
      <c r="AD17">
        <v>0.30851000000000001</v>
      </c>
      <c r="AE17">
        <v>3.6153999999999999E-2</v>
      </c>
      <c r="AF17" s="589">
        <v>4.7846E-3</v>
      </c>
      <c r="AG17" s="589">
        <v>2.9735999999999999E-3</v>
      </c>
      <c r="AH17" s="589">
        <v>3.5585999999999999E-3</v>
      </c>
      <c r="AI17" s="589">
        <v>4.3144E-4</v>
      </c>
      <c r="AJ17">
        <v>0.48831999999999998</v>
      </c>
      <c r="AK17">
        <v>0.37324000000000002</v>
      </c>
    </row>
    <row r="18" spans="1:37" x14ac:dyDescent="0.25">
      <c r="A18" s="651" t="s">
        <v>250</v>
      </c>
      <c r="B18" t="s">
        <v>250</v>
      </c>
      <c r="S18" s="666">
        <v>1.7398E-71</v>
      </c>
      <c r="T18" s="666">
        <v>2.4114E-17</v>
      </c>
      <c r="U18" s="666">
        <v>6.5872999999999996E-25</v>
      </c>
      <c r="V18" s="666">
        <v>1.0448999999999999E-5</v>
      </c>
      <c r="W18" s="666">
        <v>8.5371E-6</v>
      </c>
      <c r="X18">
        <v>0.68630000000000002</v>
      </c>
      <c r="Y18" s="666">
        <v>4.2604999999999997E-15</v>
      </c>
      <c r="Z18" s="666">
        <v>4.8455000000000003E-17</v>
      </c>
      <c r="AA18">
        <v>0.23547000000000001</v>
      </c>
      <c r="AB18" s="665">
        <v>2.9589000000000001E-16</v>
      </c>
      <c r="AC18" s="666">
        <v>4.2364E-10</v>
      </c>
      <c r="AD18" s="666">
        <v>5.1438E-17</v>
      </c>
      <c r="AE18" s="666">
        <v>3.3328999999999999E-10</v>
      </c>
      <c r="AF18" s="666">
        <v>9.8015000000000003E-5</v>
      </c>
      <c r="AG18" s="589">
        <v>1.3650000000000001E-4</v>
      </c>
      <c r="AH18" s="589">
        <v>3.7607E-4</v>
      </c>
      <c r="AI18">
        <v>0.10037</v>
      </c>
      <c r="AJ18" s="589">
        <v>7.8397999999999999E-4</v>
      </c>
      <c r="AK18" s="666">
        <v>4.8666999999999997E-18</v>
      </c>
    </row>
    <row r="19" spans="1:37" x14ac:dyDescent="0.25">
      <c r="A19" s="651" t="s">
        <v>251</v>
      </c>
      <c r="B19" t="s">
        <v>251</v>
      </c>
      <c r="T19" s="666">
        <v>2.6799999999999999E-17</v>
      </c>
      <c r="U19" s="666">
        <v>1.4056000000000001E-24</v>
      </c>
      <c r="V19" s="666">
        <v>8.9263999999999998E-6</v>
      </c>
      <c r="W19" s="666">
        <v>9.6623000000000006E-6</v>
      </c>
      <c r="X19">
        <v>0.70965999999999996</v>
      </c>
      <c r="Y19" s="666">
        <v>5.5786999999999997E-15</v>
      </c>
      <c r="Z19" s="666">
        <v>6.5334000000000001E-17</v>
      </c>
      <c r="AA19">
        <v>0.24132000000000001</v>
      </c>
      <c r="AB19" s="666">
        <v>3.795E-16</v>
      </c>
      <c r="AC19" s="666">
        <v>3.6662000000000002E-10</v>
      </c>
      <c r="AD19" s="666">
        <v>6.8958999999999998E-17</v>
      </c>
      <c r="AE19" s="666">
        <v>2.8899E-10</v>
      </c>
      <c r="AF19" s="666">
        <v>8.5383999999999994E-5</v>
      </c>
      <c r="AG19" s="589">
        <v>1.194E-4</v>
      </c>
      <c r="AH19" s="589">
        <v>3.3188E-4</v>
      </c>
      <c r="AI19">
        <v>9.2743000000000006E-2</v>
      </c>
      <c r="AJ19" s="589">
        <v>7.9865000000000003E-4</v>
      </c>
      <c r="AK19" s="666">
        <v>6.8642999999999998E-18</v>
      </c>
    </row>
    <row r="20" spans="1:37" x14ac:dyDescent="0.25">
      <c r="A20" s="651" t="s">
        <v>213</v>
      </c>
      <c r="B20" t="s">
        <v>213</v>
      </c>
      <c r="U20" s="666">
        <v>4.0307000000000002E-29</v>
      </c>
      <c r="V20" s="666">
        <v>2.7554999999999999E-11</v>
      </c>
      <c r="W20">
        <v>1.4858E-2</v>
      </c>
      <c r="X20">
        <v>0.13728000000000001</v>
      </c>
      <c r="Y20" s="666">
        <v>1.8466E-17</v>
      </c>
      <c r="Z20" s="666">
        <v>2.9730000000000001E-21</v>
      </c>
      <c r="AA20">
        <v>0.24106</v>
      </c>
      <c r="AB20" s="666">
        <v>1.9634000000000001E-20</v>
      </c>
      <c r="AC20" s="666">
        <v>5.7383000000000002E-21</v>
      </c>
      <c r="AD20" s="666">
        <v>2.5392000000000001E-21</v>
      </c>
      <c r="AE20" s="666">
        <v>3.4626000000000002E-21</v>
      </c>
      <c r="AF20" s="666">
        <v>1.1829999999999999E-9</v>
      </c>
      <c r="AG20" s="666">
        <v>6.9141999999999998E-10</v>
      </c>
      <c r="AH20" s="666">
        <v>3.9313000000000003E-9</v>
      </c>
      <c r="AI20" s="589">
        <v>3.4842E-4</v>
      </c>
      <c r="AJ20" s="589">
        <v>9.2519E-4</v>
      </c>
      <c r="AK20" s="666">
        <v>6.1721999999999998E-22</v>
      </c>
    </row>
    <row r="21" spans="1:37" x14ac:dyDescent="0.25">
      <c r="A21" s="651" t="s">
        <v>214</v>
      </c>
      <c r="B21" t="s">
        <v>214</v>
      </c>
      <c r="V21" s="666">
        <v>3.3815000000000002E-8</v>
      </c>
      <c r="W21" s="589">
        <v>7.5213999999999999E-4</v>
      </c>
      <c r="X21">
        <v>0.60963000000000001</v>
      </c>
      <c r="Y21" s="666">
        <v>2.3077000000000002E-19</v>
      </c>
      <c r="Z21" s="666">
        <v>3.1095000000000001E-23</v>
      </c>
      <c r="AA21">
        <v>0.23272000000000001</v>
      </c>
      <c r="AB21" s="666">
        <v>4.6376000000000003E-22</v>
      </c>
      <c r="AC21" s="666">
        <v>5.4632000000000001E-15</v>
      </c>
      <c r="AD21" s="666">
        <v>2.9876999999999999E-23</v>
      </c>
      <c r="AE21" s="666">
        <v>3.8045000000000002E-15</v>
      </c>
      <c r="AF21" s="666">
        <v>4.6909999999999999E-7</v>
      </c>
      <c r="AG21" s="666">
        <v>5.8545000000000004E-7</v>
      </c>
      <c r="AH21" s="666">
        <v>2.3221000000000002E-6</v>
      </c>
      <c r="AI21" s="589">
        <v>8.9110000000000005E-3</v>
      </c>
      <c r="AJ21" s="589">
        <v>3.8612999999999999E-4</v>
      </c>
      <c r="AK21" s="666">
        <v>1.1237E-23</v>
      </c>
    </row>
    <row r="22" spans="1:37" x14ac:dyDescent="0.25">
      <c r="A22" s="651" t="s">
        <v>215</v>
      </c>
      <c r="B22" t="s">
        <v>215</v>
      </c>
      <c r="W22">
        <v>0.79032999999999998</v>
      </c>
      <c r="X22" s="666">
        <v>1.0052E-5</v>
      </c>
      <c r="Y22" s="666">
        <v>5.3582999999999997E-8</v>
      </c>
      <c r="Z22" s="666">
        <v>1.6032999999999999E-8</v>
      </c>
      <c r="AA22">
        <v>0.98816000000000004</v>
      </c>
      <c r="AB22" s="666">
        <v>8.7819E-9</v>
      </c>
      <c r="AC22" s="666">
        <v>2.4377000000000001E-18</v>
      </c>
      <c r="AD22" s="666">
        <v>1.4352E-8</v>
      </c>
      <c r="AE22" s="666">
        <v>4.7958000000000003E-18</v>
      </c>
      <c r="AF22" s="666">
        <v>4.3728000000000003E-23</v>
      </c>
      <c r="AG22" s="666">
        <v>9.3719000000000002E-27</v>
      </c>
      <c r="AH22" s="666">
        <v>7.1591999999999996E-25</v>
      </c>
      <c r="AI22" s="666">
        <v>3.7376000000000001E-13</v>
      </c>
      <c r="AJ22" s="589">
        <v>2.4228000000000001E-3</v>
      </c>
      <c r="AK22" s="666">
        <v>9.0498999999999995E-8</v>
      </c>
    </row>
    <row r="23" spans="1:37" x14ac:dyDescent="0.25">
      <c r="A23" s="651" t="s">
        <v>216</v>
      </c>
      <c r="B23" t="s">
        <v>216</v>
      </c>
      <c r="X23" s="666">
        <v>2.7978999999999999E-6</v>
      </c>
      <c r="Y23">
        <v>2.6051000000000001E-2</v>
      </c>
      <c r="Z23">
        <v>1.5021E-2</v>
      </c>
      <c r="AA23">
        <v>0.64431000000000005</v>
      </c>
      <c r="AB23">
        <v>2.1746000000000001E-2</v>
      </c>
      <c r="AC23">
        <v>0.29931000000000002</v>
      </c>
      <c r="AD23">
        <v>1.5337999999999999E-2</v>
      </c>
      <c r="AE23">
        <v>0.28750999999999999</v>
      </c>
      <c r="AF23">
        <v>0.49923000000000001</v>
      </c>
      <c r="AG23">
        <v>0.4965</v>
      </c>
      <c r="AH23">
        <v>0.34161000000000002</v>
      </c>
      <c r="AI23">
        <v>2.3792000000000001E-2</v>
      </c>
      <c r="AJ23">
        <v>0.54349999999999998</v>
      </c>
      <c r="AK23" s="589">
        <v>3.7881E-3</v>
      </c>
    </row>
    <row r="24" spans="1:37" x14ac:dyDescent="0.25">
      <c r="A24" s="651" t="s">
        <v>217</v>
      </c>
      <c r="B24" t="s">
        <v>217</v>
      </c>
      <c r="Y24">
        <v>0.29579</v>
      </c>
      <c r="Z24">
        <v>0.29043999999999998</v>
      </c>
      <c r="AA24">
        <v>0.78227999999999998</v>
      </c>
      <c r="AB24">
        <v>0.25158000000000003</v>
      </c>
      <c r="AC24" s="589">
        <v>4.9271999999999996E-3</v>
      </c>
      <c r="AD24">
        <v>0.28577000000000002</v>
      </c>
      <c r="AE24" s="589">
        <v>5.3787000000000001E-3</v>
      </c>
      <c r="AF24" s="666">
        <v>1.3757000000000001E-5</v>
      </c>
      <c r="AG24" s="666">
        <v>4.1138000000000003E-6</v>
      </c>
      <c r="AH24" s="666">
        <v>1.049E-6</v>
      </c>
      <c r="AI24" s="666">
        <v>5.5560000000000003E-9</v>
      </c>
      <c r="AJ24">
        <v>0.55069000000000001</v>
      </c>
      <c r="AK24">
        <v>0.4279</v>
      </c>
    </row>
    <row r="25" spans="1:37" x14ac:dyDescent="0.25">
      <c r="A25" s="651" t="s">
        <v>252</v>
      </c>
      <c r="B25" t="s">
        <v>252</v>
      </c>
      <c r="Z25" s="666">
        <v>5.4929000000000003E-31</v>
      </c>
      <c r="AA25">
        <v>0.14338000000000001</v>
      </c>
      <c r="AB25" s="666">
        <v>3.8472999999999997E-37</v>
      </c>
      <c r="AC25" s="666">
        <v>2.1558999999999999E-13</v>
      </c>
      <c r="AD25" s="666">
        <v>5.9957000000000001E-31</v>
      </c>
      <c r="AE25" s="666">
        <v>1.6721999999999999E-13</v>
      </c>
      <c r="AF25" s="666">
        <v>2.0331000000000001E-6</v>
      </c>
      <c r="AG25" s="666">
        <v>1.5548999999999999E-6</v>
      </c>
      <c r="AH25" s="666">
        <v>3.9249000000000003E-6</v>
      </c>
      <c r="AI25">
        <v>1.1134E-2</v>
      </c>
      <c r="AJ25" s="666">
        <v>2.4956999999999998E-7</v>
      </c>
      <c r="AK25" s="666">
        <v>8.8717999999999993E-18</v>
      </c>
    </row>
    <row r="26" spans="1:37" x14ac:dyDescent="0.25">
      <c r="A26" s="651" t="s">
        <v>263</v>
      </c>
      <c r="B26" t="s">
        <v>263</v>
      </c>
      <c r="AA26">
        <v>0.18812999999999999</v>
      </c>
      <c r="AB26" s="666">
        <v>1.4730000000000001E-46</v>
      </c>
      <c r="AC26" s="666">
        <v>4.8872999999999996E-16</v>
      </c>
      <c r="AD26" s="666">
        <v>2.2453999999999999E-94</v>
      </c>
      <c r="AE26" s="666">
        <v>3.2012000000000001E-16</v>
      </c>
      <c r="AF26" s="666">
        <v>6.3351999999999997E-7</v>
      </c>
      <c r="AG26" s="666">
        <v>4.9312999999999997E-7</v>
      </c>
      <c r="AH26" s="666">
        <v>1.5015999999999999E-6</v>
      </c>
      <c r="AI26" s="589">
        <v>9.3182999999999998E-3</v>
      </c>
      <c r="AJ26" s="666">
        <v>3.6103999999999999E-5</v>
      </c>
      <c r="AK26" s="666">
        <v>7.6772000000000004E-26</v>
      </c>
    </row>
    <row r="27" spans="1:37" x14ac:dyDescent="0.25">
      <c r="A27" s="651" t="s">
        <v>253</v>
      </c>
      <c r="B27" t="s">
        <v>253</v>
      </c>
      <c r="AB27">
        <v>0.18553</v>
      </c>
      <c r="AC27">
        <v>0.49420999999999998</v>
      </c>
      <c r="AD27">
        <v>0.18973000000000001</v>
      </c>
      <c r="AE27">
        <v>0.48579</v>
      </c>
      <c r="AF27">
        <v>0.68966000000000005</v>
      </c>
      <c r="AG27">
        <v>0.85585999999999995</v>
      </c>
      <c r="AH27">
        <v>0.84409000000000001</v>
      </c>
      <c r="AI27">
        <v>0.64320999999999995</v>
      </c>
      <c r="AJ27">
        <v>0.23505000000000001</v>
      </c>
      <c r="AK27">
        <v>0.22078999999999999</v>
      </c>
    </row>
    <row r="28" spans="1:37" x14ac:dyDescent="0.25">
      <c r="A28" s="651" t="s">
        <v>254</v>
      </c>
      <c r="B28" t="s">
        <v>254</v>
      </c>
      <c r="AC28" s="666">
        <v>8.7675E-16</v>
      </c>
      <c r="AD28" s="666">
        <v>1.0375000000000001E-46</v>
      </c>
      <c r="AE28" s="666">
        <v>6.0915000000000005E-16</v>
      </c>
      <c r="AF28" s="666">
        <v>4.4886000000000001E-7</v>
      </c>
      <c r="AG28" s="666">
        <v>3.3409E-7</v>
      </c>
      <c r="AH28" s="666">
        <v>9.9919000000000004E-7</v>
      </c>
      <c r="AI28" s="589">
        <v>6.7971000000000004E-3</v>
      </c>
      <c r="AJ28" s="666">
        <v>6.9589000000000004E-6</v>
      </c>
      <c r="AK28" s="666">
        <v>2.4001999999999999E-22</v>
      </c>
    </row>
    <row r="29" spans="1:37" x14ac:dyDescent="0.25">
      <c r="A29" s="651" t="s">
        <v>255</v>
      </c>
      <c r="B29" t="s">
        <v>255</v>
      </c>
      <c r="AD29" s="666">
        <v>4.0353000000000002E-16</v>
      </c>
      <c r="AE29" s="666">
        <v>3.0439E-79</v>
      </c>
      <c r="AF29" s="666">
        <v>2.0342999999999999E-15</v>
      </c>
      <c r="AG29" s="666">
        <v>2.0155999999999999E-16</v>
      </c>
      <c r="AH29" s="666">
        <v>3.3956999999999999E-15</v>
      </c>
      <c r="AI29" s="666">
        <v>4.1923999999999999E-7</v>
      </c>
      <c r="AJ29" s="589">
        <v>2.9074000000000001E-3</v>
      </c>
      <c r="AK29" s="666">
        <v>5.0601999999999999E-16</v>
      </c>
    </row>
    <row r="30" spans="1:37" x14ac:dyDescent="0.25">
      <c r="A30" s="651" t="s">
        <v>256</v>
      </c>
      <c r="B30" t="s">
        <v>256</v>
      </c>
      <c r="AE30" s="666">
        <v>2.6390000000000001E-16</v>
      </c>
      <c r="AF30" s="666">
        <v>5.7980000000000004E-7</v>
      </c>
      <c r="AG30" s="666">
        <v>4.5144999999999998E-7</v>
      </c>
      <c r="AH30" s="666">
        <v>1.3829999999999999E-6</v>
      </c>
      <c r="AI30" s="589">
        <v>8.9263999999999993E-3</v>
      </c>
      <c r="AJ30" s="666">
        <v>3.6103000000000003E-5</v>
      </c>
      <c r="AK30" s="666">
        <v>7.7623999999999996E-26</v>
      </c>
    </row>
    <row r="31" spans="1:37" x14ac:dyDescent="0.25">
      <c r="A31" s="651" t="s">
        <v>257</v>
      </c>
      <c r="B31" t="s">
        <v>257</v>
      </c>
      <c r="AF31" s="666">
        <v>3.1917000000000002E-15</v>
      </c>
      <c r="AG31" s="666">
        <v>3.3963999999999998E-16</v>
      </c>
      <c r="AH31" s="666">
        <v>5.4352999999999998E-15</v>
      </c>
      <c r="AI31" s="666">
        <v>5.2862000000000003E-7</v>
      </c>
      <c r="AJ31" s="589">
        <v>2.9394E-3</v>
      </c>
      <c r="AK31" s="666">
        <v>2.9955999999999998E-16</v>
      </c>
    </row>
    <row r="32" spans="1:37" x14ac:dyDescent="0.25">
      <c r="A32" s="651" t="s">
        <v>258</v>
      </c>
      <c r="B32" t="s">
        <v>258</v>
      </c>
      <c r="AG32" s="666">
        <v>1.0024999999999999E-27</v>
      </c>
      <c r="AH32" s="666">
        <v>5.8682000000000002E-27</v>
      </c>
      <c r="AI32" s="666">
        <v>4.0616000000000004E-15</v>
      </c>
      <c r="AJ32">
        <v>1.2331E-2</v>
      </c>
      <c r="AK32" s="666">
        <v>1.3383E-6</v>
      </c>
    </row>
    <row r="33" spans="1:37" x14ac:dyDescent="0.25">
      <c r="A33" s="651" t="s">
        <v>259</v>
      </c>
      <c r="B33" t="s">
        <v>259</v>
      </c>
      <c r="AH33" s="666">
        <v>1.2893E-48</v>
      </c>
      <c r="AI33" s="666">
        <v>3.1584999999999999E-17</v>
      </c>
      <c r="AJ33" s="589">
        <v>9.8858999999999995E-3</v>
      </c>
      <c r="AK33" s="666">
        <v>1.3057000000000001E-6</v>
      </c>
    </row>
    <row r="34" spans="1:37" x14ac:dyDescent="0.25">
      <c r="A34" s="651" t="s">
        <v>260</v>
      </c>
      <c r="B34" t="s">
        <v>260</v>
      </c>
      <c r="AI34" s="666">
        <v>1.7188000000000001E-18</v>
      </c>
      <c r="AJ34">
        <v>1.0824E-2</v>
      </c>
      <c r="AK34" s="666">
        <v>4.3147000000000004E-6</v>
      </c>
    </row>
    <row r="35" spans="1:37" x14ac:dyDescent="0.25">
      <c r="A35" s="651" t="s">
        <v>261</v>
      </c>
      <c r="B35" t="s">
        <v>261</v>
      </c>
      <c r="AJ35">
        <v>6.9103999999999999E-2</v>
      </c>
      <c r="AK35">
        <v>1.7698999999999999E-2</v>
      </c>
    </row>
    <row r="36" spans="1:37" x14ac:dyDescent="0.25">
      <c r="A36" s="651" t="s">
        <v>264</v>
      </c>
      <c r="B36" t="s">
        <v>264</v>
      </c>
      <c r="AK36" s="589">
        <v>5.2443999999999998E-3</v>
      </c>
    </row>
    <row r="37" spans="1:37" x14ac:dyDescent="0.25">
      <c r="A37" s="651" t="s">
        <v>262</v>
      </c>
      <c r="B37" t="s">
        <v>262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2A8A3-C736-4CD3-8B1B-0109B9726082}">
  <dimension ref="A4:AJ39"/>
  <sheetViews>
    <sheetView topLeftCell="A4" workbookViewId="0">
      <selection activeCell="L19" sqref="L19"/>
    </sheetView>
  </sheetViews>
  <sheetFormatPr defaultRowHeight="15" x14ac:dyDescent="0.25"/>
  <sheetData>
    <row r="4" spans="1:36" x14ac:dyDescent="0.25">
      <c r="B4" t="s">
        <v>146</v>
      </c>
      <c r="C4" t="s">
        <v>147</v>
      </c>
      <c r="D4" t="s">
        <v>148</v>
      </c>
      <c r="E4" t="s">
        <v>149</v>
      </c>
      <c r="F4" t="s">
        <v>209</v>
      </c>
      <c r="G4" t="s">
        <v>196</v>
      </c>
      <c r="H4" t="s">
        <v>197</v>
      </c>
      <c r="I4" t="s">
        <v>198</v>
      </c>
      <c r="J4" t="s">
        <v>203</v>
      </c>
      <c r="K4" t="s">
        <v>204</v>
      </c>
      <c r="L4" t="s">
        <v>205</v>
      </c>
      <c r="M4" t="s">
        <v>206</v>
      </c>
      <c r="N4" t="s">
        <v>207</v>
      </c>
      <c r="O4" t="s">
        <v>208</v>
      </c>
      <c r="P4" t="s">
        <v>221</v>
      </c>
      <c r="Q4" t="s">
        <v>250</v>
      </c>
      <c r="R4" t="s">
        <v>251</v>
      </c>
      <c r="S4" t="s">
        <v>213</v>
      </c>
      <c r="T4" t="s">
        <v>214</v>
      </c>
      <c r="U4" t="s">
        <v>215</v>
      </c>
      <c r="V4" t="s">
        <v>216</v>
      </c>
      <c r="W4" t="s">
        <v>217</v>
      </c>
      <c r="X4" t="s">
        <v>252</v>
      </c>
      <c r="Y4" t="s">
        <v>263</v>
      </c>
      <c r="Z4" t="s">
        <v>253</v>
      </c>
      <c r="AA4" t="s">
        <v>254</v>
      </c>
      <c r="AB4" t="s">
        <v>255</v>
      </c>
      <c r="AC4" t="s">
        <v>256</v>
      </c>
      <c r="AD4" t="s">
        <v>257</v>
      </c>
      <c r="AE4" t="s">
        <v>258</v>
      </c>
      <c r="AF4" t="s">
        <v>259</v>
      </c>
      <c r="AG4" t="s">
        <v>260</v>
      </c>
      <c r="AH4" t="s">
        <v>261</v>
      </c>
      <c r="AI4" t="s">
        <v>264</v>
      </c>
      <c r="AJ4" t="s">
        <v>262</v>
      </c>
    </row>
    <row r="5" spans="1:36" x14ac:dyDescent="0.25">
      <c r="A5" t="s">
        <v>146</v>
      </c>
      <c r="C5">
        <v>0.11192000000000001</v>
      </c>
      <c r="D5">
        <v>3.1310999999999999E-2</v>
      </c>
      <c r="E5" s="665">
        <v>8.7860000000000001E-13</v>
      </c>
      <c r="F5">
        <v>1.9143000000000001E-3</v>
      </c>
      <c r="G5" s="665">
        <v>4.3077000000000001E-5</v>
      </c>
      <c r="H5">
        <v>1.2413000000000001E-3</v>
      </c>
      <c r="I5">
        <v>5.1921000000000002E-2</v>
      </c>
      <c r="J5">
        <v>0.79508999999999996</v>
      </c>
      <c r="K5">
        <v>1.0737E-2</v>
      </c>
      <c r="L5">
        <v>7.1580000000000003E-3</v>
      </c>
      <c r="M5">
        <v>1.0311000000000001E-3</v>
      </c>
      <c r="N5">
        <v>6.6239999999999993E-2</v>
      </c>
      <c r="O5">
        <v>6.9616999999999998E-2</v>
      </c>
      <c r="P5">
        <v>0.29824000000000001</v>
      </c>
      <c r="Q5">
        <v>0.63404000000000005</v>
      </c>
      <c r="R5">
        <v>0.64897000000000005</v>
      </c>
      <c r="S5">
        <v>0.47697000000000001</v>
      </c>
      <c r="T5">
        <v>0.94889000000000001</v>
      </c>
      <c r="U5">
        <v>2.5184999999999999E-2</v>
      </c>
      <c r="V5">
        <v>6.9902999999999996E-3</v>
      </c>
      <c r="W5">
        <v>1.1545E-4</v>
      </c>
      <c r="X5">
        <v>0.72946999999999995</v>
      </c>
      <c r="Y5">
        <v>0.71170999999999995</v>
      </c>
      <c r="Z5">
        <v>0.54156000000000004</v>
      </c>
      <c r="AA5">
        <v>0.67698000000000003</v>
      </c>
      <c r="AB5">
        <v>0.17591999999999999</v>
      </c>
      <c r="AC5">
        <v>0.70709</v>
      </c>
      <c r="AD5">
        <v>0.18153</v>
      </c>
      <c r="AE5">
        <v>3.0351E-2</v>
      </c>
      <c r="AF5">
        <v>2.1869E-2</v>
      </c>
      <c r="AG5">
        <v>1.4156999999999999E-2</v>
      </c>
      <c r="AH5">
        <v>3.0182E-3</v>
      </c>
      <c r="AI5">
        <v>0.69721999999999995</v>
      </c>
      <c r="AJ5">
        <v>0.81437999999999999</v>
      </c>
    </row>
    <row r="6" spans="1:36" x14ac:dyDescent="0.25">
      <c r="A6" t="s">
        <v>147</v>
      </c>
      <c r="B6">
        <v>0.37667</v>
      </c>
      <c r="D6">
        <v>0.67132999999999998</v>
      </c>
      <c r="E6">
        <v>6.3753000000000004E-2</v>
      </c>
      <c r="F6">
        <v>4.8328000000000003E-2</v>
      </c>
      <c r="G6">
        <v>0.17691999999999999</v>
      </c>
      <c r="H6">
        <v>3.0644999999999999E-2</v>
      </c>
      <c r="I6">
        <v>2.3574999999999999E-2</v>
      </c>
      <c r="J6">
        <v>0.25691999999999998</v>
      </c>
      <c r="K6">
        <v>1.3167999999999999E-2</v>
      </c>
      <c r="L6">
        <v>4.6824999999999999E-2</v>
      </c>
      <c r="M6">
        <v>0.93150999999999995</v>
      </c>
      <c r="N6">
        <v>0.21584</v>
      </c>
      <c r="O6">
        <v>0.76934000000000002</v>
      </c>
      <c r="P6">
        <v>2.1176E-2</v>
      </c>
      <c r="Q6">
        <v>0.58933000000000002</v>
      </c>
      <c r="R6">
        <v>0.57709999999999995</v>
      </c>
      <c r="S6">
        <v>0.31285000000000002</v>
      </c>
      <c r="T6">
        <v>0.47660999999999998</v>
      </c>
      <c r="U6">
        <v>5.0512000000000001E-2</v>
      </c>
      <c r="V6">
        <v>0.60165000000000002</v>
      </c>
      <c r="W6">
        <v>0.15928999999999999</v>
      </c>
      <c r="X6">
        <v>0.31380999999999998</v>
      </c>
      <c r="Y6">
        <v>0.37384000000000001</v>
      </c>
      <c r="Z6">
        <v>7.0280999999999996E-2</v>
      </c>
      <c r="AA6">
        <v>0.33055000000000001</v>
      </c>
      <c r="AB6">
        <v>0.19880999999999999</v>
      </c>
      <c r="AC6">
        <v>0.37141000000000002</v>
      </c>
      <c r="AD6">
        <v>0.20243</v>
      </c>
      <c r="AE6">
        <v>0.10052999999999999</v>
      </c>
      <c r="AF6">
        <v>8.3505999999999997E-2</v>
      </c>
      <c r="AG6">
        <v>7.6594999999999996E-2</v>
      </c>
      <c r="AH6">
        <v>4.9699E-2</v>
      </c>
      <c r="AI6">
        <v>0.12701999999999999</v>
      </c>
      <c r="AJ6">
        <v>0.53491</v>
      </c>
    </row>
    <row r="7" spans="1:36" x14ac:dyDescent="0.25">
      <c r="A7" t="s">
        <v>148</v>
      </c>
      <c r="B7">
        <v>-0.49467</v>
      </c>
      <c r="C7">
        <v>-0.10415000000000001</v>
      </c>
      <c r="E7">
        <v>3.9328000000000002E-2</v>
      </c>
      <c r="F7">
        <v>7.6086000000000001E-2</v>
      </c>
      <c r="G7">
        <v>0.12531</v>
      </c>
      <c r="H7">
        <v>0.26050000000000001</v>
      </c>
      <c r="I7">
        <v>0.89841000000000004</v>
      </c>
      <c r="J7">
        <v>0.39023999999999998</v>
      </c>
      <c r="K7">
        <v>0.43385000000000001</v>
      </c>
      <c r="L7">
        <v>0.29598000000000002</v>
      </c>
      <c r="M7">
        <v>0.14938000000000001</v>
      </c>
      <c r="N7">
        <v>0.51298999999999995</v>
      </c>
      <c r="O7" s="665">
        <v>9.7413999999999999E-5</v>
      </c>
      <c r="P7">
        <v>0.96194999999999997</v>
      </c>
      <c r="Q7">
        <v>2.6190999999999999E-2</v>
      </c>
      <c r="R7">
        <v>2.6859999999999998E-2</v>
      </c>
      <c r="S7">
        <v>0.16800000000000001</v>
      </c>
      <c r="T7">
        <v>5.6529999999999997E-2</v>
      </c>
      <c r="U7">
        <v>0.96414</v>
      </c>
      <c r="V7">
        <v>5.3808999999999997E-4</v>
      </c>
      <c r="W7">
        <v>1.9598999999999998E-2</v>
      </c>
      <c r="X7">
        <v>0.14860999999999999</v>
      </c>
      <c r="Y7">
        <v>0.11402</v>
      </c>
      <c r="Z7">
        <v>0.57186000000000003</v>
      </c>
      <c r="AA7">
        <v>0.12963</v>
      </c>
      <c r="AB7">
        <v>0.32930999999999999</v>
      </c>
      <c r="AC7">
        <v>0.1145</v>
      </c>
      <c r="AD7">
        <v>0.32355</v>
      </c>
      <c r="AE7">
        <v>0.871</v>
      </c>
      <c r="AF7">
        <v>0.92064000000000001</v>
      </c>
      <c r="AG7">
        <v>0.96838999999999997</v>
      </c>
      <c r="AH7">
        <v>0.49514999999999998</v>
      </c>
      <c r="AI7">
        <v>0.65059999999999996</v>
      </c>
      <c r="AJ7">
        <v>7.5094999999999995E-2</v>
      </c>
    </row>
    <row r="8" spans="1:36" x14ac:dyDescent="0.25">
      <c r="A8" t="s">
        <v>149</v>
      </c>
      <c r="B8" s="668">
        <v>0.97660000000000002</v>
      </c>
      <c r="C8">
        <v>0.43343999999999999</v>
      </c>
      <c r="D8">
        <v>-0.47613</v>
      </c>
      <c r="F8">
        <v>2.8211999999999998E-3</v>
      </c>
      <c r="G8" s="665">
        <v>3.4866000000000002E-6</v>
      </c>
      <c r="H8">
        <v>1.6558E-3</v>
      </c>
      <c r="I8">
        <v>2.8847000000000001E-2</v>
      </c>
      <c r="J8">
        <v>0.61604999999999999</v>
      </c>
      <c r="K8">
        <v>1.188E-2</v>
      </c>
      <c r="L8">
        <v>8.5617000000000002E-3</v>
      </c>
      <c r="M8">
        <v>1.6883E-3</v>
      </c>
      <c r="N8">
        <v>5.9649000000000001E-2</v>
      </c>
      <c r="O8">
        <v>0.10952000000000001</v>
      </c>
      <c r="P8">
        <v>0.14688000000000001</v>
      </c>
      <c r="Q8">
        <v>0.77498999999999996</v>
      </c>
      <c r="R8">
        <v>0.79298999999999997</v>
      </c>
      <c r="S8">
        <v>0.33007999999999998</v>
      </c>
      <c r="T8">
        <v>0.76354999999999995</v>
      </c>
      <c r="U8">
        <v>7.0584000000000003E-3</v>
      </c>
      <c r="V8">
        <v>8.0236999999999999E-3</v>
      </c>
      <c r="W8" s="665">
        <v>3.8303999999999998E-6</v>
      </c>
      <c r="X8">
        <v>0.55164000000000002</v>
      </c>
      <c r="Y8">
        <v>0.57443</v>
      </c>
      <c r="Z8">
        <v>0.66627999999999998</v>
      </c>
      <c r="AA8">
        <v>0.52390000000000003</v>
      </c>
      <c r="AB8">
        <v>9.8588999999999996E-2</v>
      </c>
      <c r="AC8">
        <v>0.56954000000000005</v>
      </c>
      <c r="AD8">
        <v>0.10281</v>
      </c>
      <c r="AE8">
        <v>7.8490000000000001E-3</v>
      </c>
      <c r="AF8">
        <v>5.0670000000000003E-3</v>
      </c>
      <c r="AG8">
        <v>2.8687999999999999E-3</v>
      </c>
      <c r="AH8">
        <v>2.7105E-4</v>
      </c>
      <c r="AI8">
        <v>0.44324999999999998</v>
      </c>
      <c r="AJ8">
        <v>0.72943000000000002</v>
      </c>
    </row>
    <row r="9" spans="1:36" x14ac:dyDescent="0.25">
      <c r="A9" t="s">
        <v>209</v>
      </c>
      <c r="B9" s="668">
        <v>0.66446000000000005</v>
      </c>
      <c r="C9">
        <v>0.45851999999999998</v>
      </c>
      <c r="D9">
        <v>-0.41649999999999998</v>
      </c>
      <c r="E9" s="668">
        <v>0.63153000000000004</v>
      </c>
      <c r="G9">
        <v>5.5777E-2</v>
      </c>
      <c r="H9">
        <v>8.1831999999999998E-4</v>
      </c>
      <c r="I9">
        <v>0.24388000000000001</v>
      </c>
      <c r="J9">
        <v>0.69169999999999998</v>
      </c>
      <c r="K9" s="665">
        <v>8.0103000000000002E-5</v>
      </c>
      <c r="L9">
        <v>4.3373999999999999E-3</v>
      </c>
      <c r="M9">
        <v>1.5834999999999998E-2</v>
      </c>
      <c r="N9">
        <v>3.0251E-2</v>
      </c>
      <c r="O9">
        <v>0.15326999999999999</v>
      </c>
      <c r="P9">
        <v>1.9411999999999999E-2</v>
      </c>
      <c r="Q9">
        <v>0.79500999999999999</v>
      </c>
      <c r="R9">
        <v>0.82499999999999996</v>
      </c>
      <c r="S9">
        <v>0.78303999999999996</v>
      </c>
      <c r="T9">
        <v>0.81091999999999997</v>
      </c>
      <c r="U9">
        <v>7.2411000000000003E-2</v>
      </c>
      <c r="V9">
        <v>8.8340000000000002E-2</v>
      </c>
      <c r="W9">
        <v>7.5554000000000003E-3</v>
      </c>
      <c r="X9">
        <v>0.80223</v>
      </c>
      <c r="Y9">
        <v>0.93015999999999999</v>
      </c>
      <c r="Z9">
        <v>0.36586999999999997</v>
      </c>
      <c r="AA9">
        <v>0.92864000000000002</v>
      </c>
      <c r="AB9">
        <v>0.32617000000000002</v>
      </c>
      <c r="AC9">
        <v>0.93520999999999999</v>
      </c>
      <c r="AD9">
        <v>0.33332000000000001</v>
      </c>
      <c r="AE9">
        <v>9.1080999999999995E-2</v>
      </c>
      <c r="AF9">
        <v>7.1953000000000003E-2</v>
      </c>
      <c r="AG9">
        <v>5.6651E-2</v>
      </c>
      <c r="AH9">
        <v>1.4448000000000001E-2</v>
      </c>
      <c r="AI9">
        <v>0.65473999999999999</v>
      </c>
      <c r="AJ9">
        <v>0.97238999999999998</v>
      </c>
    </row>
    <row r="10" spans="1:36" x14ac:dyDescent="0.25">
      <c r="A10" t="s">
        <v>196</v>
      </c>
      <c r="B10" s="668">
        <v>0.79757999999999996</v>
      </c>
      <c r="C10">
        <v>0.32333000000000001</v>
      </c>
      <c r="D10">
        <v>-0.36419000000000001</v>
      </c>
      <c r="E10" s="668">
        <v>0.85290999999999995</v>
      </c>
      <c r="F10">
        <v>0.44574999999999998</v>
      </c>
      <c r="H10">
        <v>7.6827000000000006E-2</v>
      </c>
      <c r="I10">
        <v>0.14665</v>
      </c>
      <c r="J10">
        <v>0.40079999999999999</v>
      </c>
      <c r="K10">
        <v>3.7426000000000001E-2</v>
      </c>
      <c r="L10">
        <v>0.25503999999999999</v>
      </c>
      <c r="M10" s="665">
        <v>6.2322000000000004E-5</v>
      </c>
      <c r="N10">
        <v>9.6864000000000006E-2</v>
      </c>
      <c r="O10">
        <v>0.66520000000000001</v>
      </c>
      <c r="P10">
        <v>0.12572</v>
      </c>
      <c r="Q10">
        <v>0.45744000000000001</v>
      </c>
      <c r="R10">
        <v>0.44799</v>
      </c>
      <c r="S10">
        <v>3.3914E-2</v>
      </c>
      <c r="T10">
        <v>0.14402999999999999</v>
      </c>
      <c r="U10" s="665">
        <v>3.1418999999999999E-5</v>
      </c>
      <c r="V10">
        <v>3.0627999999999999E-2</v>
      </c>
      <c r="W10" s="665">
        <v>1.9307999999999998E-6</v>
      </c>
      <c r="X10">
        <v>0.10531</v>
      </c>
      <c r="Y10">
        <v>0.10397000000000001</v>
      </c>
      <c r="Z10">
        <v>0.70174999999999998</v>
      </c>
      <c r="AA10">
        <v>9.0043999999999999E-2</v>
      </c>
      <c r="AB10">
        <v>3.5766999999999999E-3</v>
      </c>
      <c r="AC10">
        <v>0.10224999999999999</v>
      </c>
      <c r="AD10">
        <v>3.8563999999999998E-3</v>
      </c>
      <c r="AE10" s="665">
        <v>5.0358999999999997E-5</v>
      </c>
      <c r="AF10" s="665">
        <v>1.5911999999999999E-5</v>
      </c>
      <c r="AG10" s="665">
        <v>7.0810999999999998E-6</v>
      </c>
      <c r="AH10" s="665">
        <v>7.3241999999999999E-7</v>
      </c>
      <c r="AI10">
        <v>0.23538000000000001</v>
      </c>
      <c r="AJ10">
        <v>0.1542</v>
      </c>
    </row>
    <row r="11" spans="1:36" x14ac:dyDescent="0.25">
      <c r="A11" t="s">
        <v>197</v>
      </c>
      <c r="B11" s="668">
        <v>-0.68394999999999995</v>
      </c>
      <c r="C11">
        <v>-0.49636000000000002</v>
      </c>
      <c r="D11">
        <v>0.27168999999999999</v>
      </c>
      <c r="E11" s="669">
        <v>-0.67113999999999996</v>
      </c>
      <c r="F11" s="669">
        <v>-0.70143</v>
      </c>
      <c r="G11">
        <v>-0.41554999999999997</v>
      </c>
      <c r="I11">
        <v>0.37947999999999998</v>
      </c>
      <c r="J11">
        <v>0.10668</v>
      </c>
      <c r="K11" s="665">
        <v>1.3956E-6</v>
      </c>
      <c r="L11" s="665">
        <v>1.8823E-9</v>
      </c>
      <c r="M11">
        <v>6.3754000000000005E-2</v>
      </c>
      <c r="N11">
        <v>1.5096999999999999E-2</v>
      </c>
      <c r="O11">
        <v>0.16037999999999999</v>
      </c>
      <c r="P11">
        <v>6.2437999999999999E-3</v>
      </c>
      <c r="Q11">
        <v>0.19420000000000001</v>
      </c>
      <c r="R11">
        <v>0.20421</v>
      </c>
      <c r="S11">
        <v>0.45637</v>
      </c>
      <c r="T11">
        <v>0.25608999999999998</v>
      </c>
      <c r="U11">
        <v>0.35685</v>
      </c>
      <c r="V11">
        <v>8.3848000000000006E-2</v>
      </c>
      <c r="W11">
        <v>4.1928E-2</v>
      </c>
      <c r="X11">
        <v>0.33307999999999999</v>
      </c>
      <c r="Y11">
        <v>0.33182</v>
      </c>
      <c r="Z11">
        <v>6.2552999999999997E-2</v>
      </c>
      <c r="AA11">
        <v>0.36176000000000003</v>
      </c>
      <c r="AB11">
        <v>0.87802999999999998</v>
      </c>
      <c r="AC11">
        <v>0.33528999999999998</v>
      </c>
      <c r="AD11">
        <v>0.86512999999999995</v>
      </c>
      <c r="AE11">
        <v>0.50834000000000001</v>
      </c>
      <c r="AF11">
        <v>0.48715999999999998</v>
      </c>
      <c r="AG11">
        <v>0.42875000000000002</v>
      </c>
      <c r="AH11">
        <v>0.11516</v>
      </c>
      <c r="AI11">
        <v>0.91876000000000002</v>
      </c>
      <c r="AJ11">
        <v>0.26462999999999998</v>
      </c>
    </row>
    <row r="12" spans="1:36" x14ac:dyDescent="0.25">
      <c r="A12" t="s">
        <v>198</v>
      </c>
      <c r="B12">
        <v>0.45218999999999998</v>
      </c>
      <c r="C12">
        <v>0.51646999999999998</v>
      </c>
      <c r="D12">
        <v>3.1414999999999998E-2</v>
      </c>
      <c r="E12">
        <v>0.50109999999999999</v>
      </c>
      <c r="F12">
        <v>0.28100000000000003</v>
      </c>
      <c r="G12">
        <v>0.34610000000000002</v>
      </c>
      <c r="H12">
        <v>-0.21379000000000001</v>
      </c>
      <c r="J12">
        <v>0.51815999999999995</v>
      </c>
      <c r="K12">
        <v>0.51351999999999998</v>
      </c>
      <c r="L12">
        <v>0.51744999999999997</v>
      </c>
      <c r="M12">
        <v>0.33712999999999999</v>
      </c>
      <c r="N12">
        <v>0.45180999999999999</v>
      </c>
      <c r="O12">
        <v>0.39273000000000002</v>
      </c>
      <c r="P12">
        <v>0.41665000000000002</v>
      </c>
      <c r="Q12">
        <v>0.99014999999999997</v>
      </c>
      <c r="R12">
        <v>0.99878</v>
      </c>
      <c r="S12">
        <v>0.35498000000000002</v>
      </c>
      <c r="T12">
        <v>0.60672999999999999</v>
      </c>
      <c r="U12">
        <v>8.8266999999999998E-2</v>
      </c>
      <c r="V12">
        <v>0.22131999999999999</v>
      </c>
      <c r="W12">
        <v>7.7712000000000003E-2</v>
      </c>
      <c r="X12">
        <v>0.58964000000000005</v>
      </c>
      <c r="Y12">
        <v>0.62429000000000001</v>
      </c>
      <c r="Z12">
        <v>0.56016999999999995</v>
      </c>
      <c r="AA12">
        <v>0.58364000000000005</v>
      </c>
      <c r="AB12">
        <v>0.23174</v>
      </c>
      <c r="AC12">
        <v>0.62100999999999995</v>
      </c>
      <c r="AD12">
        <v>0.23718</v>
      </c>
      <c r="AE12">
        <v>7.3789999999999994E-2</v>
      </c>
      <c r="AF12">
        <v>5.4826E-2</v>
      </c>
      <c r="AG12">
        <v>4.5505999999999998E-2</v>
      </c>
      <c r="AH12">
        <v>1.8422000000000001E-2</v>
      </c>
      <c r="AI12">
        <v>0.53527000000000002</v>
      </c>
      <c r="AJ12">
        <v>0.72887999999999997</v>
      </c>
    </row>
    <row r="13" spans="1:36" x14ac:dyDescent="0.25">
      <c r="A13" t="s">
        <v>203</v>
      </c>
      <c r="B13">
        <v>6.3854999999999995E-2</v>
      </c>
      <c r="C13">
        <v>0.27366000000000001</v>
      </c>
      <c r="D13">
        <v>0.20910999999999999</v>
      </c>
      <c r="E13">
        <v>0.12295</v>
      </c>
      <c r="F13">
        <v>9.7366999999999995E-2</v>
      </c>
      <c r="G13">
        <v>0.20458999999999999</v>
      </c>
      <c r="H13">
        <v>-0.38185000000000002</v>
      </c>
      <c r="I13">
        <v>-0.15804000000000001</v>
      </c>
      <c r="K13">
        <v>7.9690999999999998E-2</v>
      </c>
      <c r="L13">
        <v>6.2537999999999996E-2</v>
      </c>
      <c r="M13">
        <v>0.47005999999999998</v>
      </c>
      <c r="N13">
        <v>0.22670000000000001</v>
      </c>
      <c r="O13">
        <v>0.38875999999999999</v>
      </c>
      <c r="P13">
        <v>0.15966</v>
      </c>
      <c r="Q13">
        <v>0.44373000000000001</v>
      </c>
      <c r="R13">
        <v>0.43480999999999997</v>
      </c>
      <c r="S13">
        <v>0.47876000000000002</v>
      </c>
      <c r="T13">
        <v>0.43947000000000003</v>
      </c>
      <c r="U13">
        <v>0.22972000000000001</v>
      </c>
      <c r="V13">
        <v>0.21948000000000001</v>
      </c>
      <c r="W13">
        <v>0.97953000000000001</v>
      </c>
      <c r="X13">
        <v>0.58936999999999995</v>
      </c>
      <c r="Y13">
        <v>0.54725999999999997</v>
      </c>
      <c r="Z13">
        <v>0.35679</v>
      </c>
      <c r="AA13">
        <v>0.53785000000000005</v>
      </c>
      <c r="AB13">
        <v>0.33395999999999998</v>
      </c>
      <c r="AC13">
        <v>0.54376999999999998</v>
      </c>
      <c r="AD13">
        <v>0.33704000000000001</v>
      </c>
      <c r="AE13">
        <v>0.29804999999999998</v>
      </c>
      <c r="AF13">
        <v>0.25541999999999998</v>
      </c>
      <c r="AG13">
        <v>0.29232000000000002</v>
      </c>
      <c r="AH13">
        <v>0.22516</v>
      </c>
      <c r="AI13">
        <v>0.54115000000000002</v>
      </c>
      <c r="AJ13">
        <v>0.52495999999999998</v>
      </c>
    </row>
    <row r="14" spans="1:36" x14ac:dyDescent="0.25">
      <c r="A14" t="s">
        <v>204</v>
      </c>
      <c r="B14">
        <v>-0.57057999999999998</v>
      </c>
      <c r="C14">
        <v>-0.55735000000000001</v>
      </c>
      <c r="D14">
        <v>0.19084000000000001</v>
      </c>
      <c r="E14">
        <v>-0.56408999999999998</v>
      </c>
      <c r="F14" s="669">
        <v>-0.78066000000000002</v>
      </c>
      <c r="G14">
        <v>-0.48024</v>
      </c>
      <c r="H14" s="668">
        <v>0.86880999999999997</v>
      </c>
      <c r="I14">
        <v>-0.15977</v>
      </c>
      <c r="J14">
        <v>-0.41193999999999997</v>
      </c>
      <c r="L14">
        <v>3.0532999999999998E-4</v>
      </c>
      <c r="M14">
        <v>2.1558000000000001E-2</v>
      </c>
      <c r="N14">
        <v>2.5718E-3</v>
      </c>
      <c r="O14">
        <v>0.68423</v>
      </c>
      <c r="P14">
        <v>1.4189000000000001E-3</v>
      </c>
      <c r="Q14">
        <v>0.78619000000000006</v>
      </c>
      <c r="R14">
        <v>0.81625000000000003</v>
      </c>
      <c r="S14">
        <v>0.92032000000000003</v>
      </c>
      <c r="T14">
        <v>0.80337000000000003</v>
      </c>
      <c r="U14">
        <v>6.5720000000000001E-2</v>
      </c>
      <c r="V14">
        <v>0.13242999999999999</v>
      </c>
      <c r="W14">
        <v>2.9198999999999999E-2</v>
      </c>
      <c r="X14">
        <v>0.90608999999999995</v>
      </c>
      <c r="Y14">
        <v>0.95842000000000005</v>
      </c>
      <c r="Z14">
        <v>0.12817000000000001</v>
      </c>
      <c r="AA14">
        <v>0.99133000000000004</v>
      </c>
      <c r="AB14">
        <v>0.39097999999999999</v>
      </c>
      <c r="AC14">
        <v>0.96431</v>
      </c>
      <c r="AD14">
        <v>0.39978000000000002</v>
      </c>
      <c r="AE14">
        <v>0.11432</v>
      </c>
      <c r="AF14">
        <v>9.7730999999999998E-2</v>
      </c>
      <c r="AG14">
        <v>8.3493999999999999E-2</v>
      </c>
      <c r="AH14">
        <v>1.6241999999999999E-2</v>
      </c>
      <c r="AI14">
        <v>0.79812000000000005</v>
      </c>
      <c r="AJ14">
        <v>0.87353000000000003</v>
      </c>
    </row>
    <row r="15" spans="1:36" x14ac:dyDescent="0.25">
      <c r="A15" t="s">
        <v>205</v>
      </c>
      <c r="B15" s="669">
        <v>-0.59536999999999995</v>
      </c>
      <c r="C15">
        <v>-0.46128000000000002</v>
      </c>
      <c r="D15">
        <v>0.25301000000000001</v>
      </c>
      <c r="E15" s="669">
        <v>-0.58465999999999996</v>
      </c>
      <c r="F15" s="669">
        <v>-0.62353000000000003</v>
      </c>
      <c r="G15">
        <v>-0.2747</v>
      </c>
      <c r="H15" s="668">
        <v>0.94147999999999998</v>
      </c>
      <c r="I15">
        <v>-0.1583</v>
      </c>
      <c r="J15">
        <v>-0.43524000000000002</v>
      </c>
      <c r="K15" s="668">
        <v>0.73848000000000003</v>
      </c>
      <c r="M15">
        <v>0.28134999999999999</v>
      </c>
      <c r="N15">
        <v>1.6337000000000001E-2</v>
      </c>
      <c r="O15">
        <v>6.6101999999999994E-2</v>
      </c>
      <c r="P15">
        <v>8.6835000000000002E-3</v>
      </c>
      <c r="Q15">
        <v>0.22481999999999999</v>
      </c>
      <c r="R15">
        <v>0.23444000000000001</v>
      </c>
      <c r="S15">
        <v>0.38632</v>
      </c>
      <c r="T15">
        <v>0.23830999999999999</v>
      </c>
      <c r="U15">
        <v>0.64227000000000001</v>
      </c>
      <c r="V15">
        <v>0.39040999999999998</v>
      </c>
      <c r="W15">
        <v>0.20143</v>
      </c>
      <c r="X15">
        <v>0.19894999999999999</v>
      </c>
      <c r="Y15">
        <v>0.19871</v>
      </c>
      <c r="Z15">
        <v>7.7189999999999995E-2</v>
      </c>
      <c r="AA15">
        <v>0.21535000000000001</v>
      </c>
      <c r="AB15">
        <v>0.54727000000000003</v>
      </c>
      <c r="AC15">
        <v>0.20086000000000001</v>
      </c>
      <c r="AD15">
        <v>0.53761999999999999</v>
      </c>
      <c r="AE15">
        <v>0.90981999999999996</v>
      </c>
      <c r="AF15">
        <v>0.89114000000000004</v>
      </c>
      <c r="AG15">
        <v>0.83797999999999995</v>
      </c>
      <c r="AH15">
        <v>0.35249000000000003</v>
      </c>
      <c r="AI15">
        <v>0.73077000000000003</v>
      </c>
      <c r="AJ15">
        <v>0.17923</v>
      </c>
    </row>
    <row r="16" spans="1:36" x14ac:dyDescent="0.25">
      <c r="A16" t="s">
        <v>206</v>
      </c>
      <c r="B16" s="668">
        <v>0.69188000000000005</v>
      </c>
      <c r="C16">
        <v>-2.1151E-2</v>
      </c>
      <c r="D16">
        <v>-0.34390999999999999</v>
      </c>
      <c r="E16" s="668">
        <v>0.67025999999999997</v>
      </c>
      <c r="F16">
        <v>0.54493000000000003</v>
      </c>
      <c r="G16" s="668">
        <v>0.78769</v>
      </c>
      <c r="H16">
        <v>-0.43343999999999999</v>
      </c>
      <c r="I16">
        <v>0.23297000000000001</v>
      </c>
      <c r="J16">
        <v>0.17638999999999999</v>
      </c>
      <c r="K16">
        <v>-0.52307999999999999</v>
      </c>
      <c r="L16">
        <v>-0.26053999999999999</v>
      </c>
      <c r="N16">
        <v>0.12156</v>
      </c>
      <c r="O16">
        <v>0.97038999999999997</v>
      </c>
      <c r="P16">
        <v>0.30568000000000001</v>
      </c>
      <c r="Q16">
        <v>0.86953000000000003</v>
      </c>
      <c r="R16">
        <v>0.88344</v>
      </c>
      <c r="S16">
        <v>0.33373999999999998</v>
      </c>
      <c r="T16">
        <v>0.67478000000000005</v>
      </c>
      <c r="U16">
        <v>7.1964000000000004E-3</v>
      </c>
      <c r="V16">
        <v>1.4571000000000001E-2</v>
      </c>
      <c r="W16">
        <v>4.5436000000000001E-4</v>
      </c>
      <c r="X16">
        <v>0.69159999999999999</v>
      </c>
      <c r="Y16">
        <v>0.55847999999999998</v>
      </c>
      <c r="Z16">
        <v>1.0109999999999999E-2</v>
      </c>
      <c r="AA16">
        <v>0.56230999999999998</v>
      </c>
      <c r="AB16">
        <v>6.4450999999999994E-2</v>
      </c>
      <c r="AC16">
        <v>0.55357999999999996</v>
      </c>
      <c r="AD16">
        <v>6.6972000000000004E-2</v>
      </c>
      <c r="AE16">
        <v>8.1545000000000003E-3</v>
      </c>
      <c r="AF16">
        <v>4.5687000000000002E-3</v>
      </c>
      <c r="AG16">
        <v>3.3801999999999999E-3</v>
      </c>
      <c r="AH16">
        <v>5.4609999999999999E-4</v>
      </c>
      <c r="AI16">
        <v>0.79764000000000002</v>
      </c>
      <c r="AJ16">
        <v>0.51558999999999999</v>
      </c>
    </row>
    <row r="17" spans="1:36" x14ac:dyDescent="0.25">
      <c r="A17" t="s">
        <v>207</v>
      </c>
      <c r="B17">
        <v>-0.42984</v>
      </c>
      <c r="C17">
        <v>-0.29765999999999998</v>
      </c>
      <c r="D17">
        <v>0.15997</v>
      </c>
      <c r="E17">
        <v>-0.43962000000000001</v>
      </c>
      <c r="F17">
        <v>-0.49737999999999999</v>
      </c>
      <c r="G17">
        <v>-0.39207999999999998</v>
      </c>
      <c r="H17">
        <v>0.54818999999999996</v>
      </c>
      <c r="I17">
        <v>-0.18360000000000001</v>
      </c>
      <c r="J17">
        <v>-0.29104999999999998</v>
      </c>
      <c r="K17" s="668">
        <v>0.65034999999999998</v>
      </c>
      <c r="L17">
        <v>0.54278000000000004</v>
      </c>
      <c r="M17">
        <v>-0.36758000000000002</v>
      </c>
      <c r="O17">
        <v>0.94357000000000002</v>
      </c>
      <c r="P17">
        <v>1.8879E-2</v>
      </c>
      <c r="Q17">
        <v>0.69781000000000004</v>
      </c>
      <c r="R17">
        <v>0.66837999999999997</v>
      </c>
      <c r="S17">
        <v>0.67196</v>
      </c>
      <c r="T17">
        <v>0.76507000000000003</v>
      </c>
      <c r="U17">
        <v>9.8621E-2</v>
      </c>
      <c r="V17">
        <v>0.48748999999999998</v>
      </c>
      <c r="W17">
        <v>0.1704</v>
      </c>
      <c r="X17">
        <v>0.74480999999999997</v>
      </c>
      <c r="Y17">
        <v>0.77766999999999997</v>
      </c>
      <c r="Z17">
        <v>0.26315</v>
      </c>
      <c r="AA17">
        <v>0.73150000000000004</v>
      </c>
      <c r="AB17">
        <v>0.43922</v>
      </c>
      <c r="AC17">
        <v>0.77339000000000002</v>
      </c>
      <c r="AD17">
        <v>0.44785999999999998</v>
      </c>
      <c r="AE17">
        <v>0.16983999999999999</v>
      </c>
      <c r="AF17">
        <v>0.20834</v>
      </c>
      <c r="AG17">
        <v>0.19957</v>
      </c>
      <c r="AH17">
        <v>0.10455</v>
      </c>
      <c r="AI17">
        <v>0.4022</v>
      </c>
      <c r="AJ17">
        <v>0.89661000000000002</v>
      </c>
    </row>
    <row r="18" spans="1:36" x14ac:dyDescent="0.25">
      <c r="A18" t="s">
        <v>208</v>
      </c>
      <c r="B18">
        <v>-0.42510999999999999</v>
      </c>
      <c r="C18">
        <v>-7.2078000000000003E-2</v>
      </c>
      <c r="D18" s="668">
        <v>0.77500000000000002</v>
      </c>
      <c r="E18">
        <v>-0.37902999999999998</v>
      </c>
      <c r="F18">
        <v>-0.34084999999999999</v>
      </c>
      <c r="G18">
        <v>-0.10621</v>
      </c>
      <c r="H18">
        <v>0.33539999999999998</v>
      </c>
      <c r="I18">
        <v>0.20804</v>
      </c>
      <c r="J18">
        <v>0.20974999999999999</v>
      </c>
      <c r="K18">
        <v>9.9847000000000005E-2</v>
      </c>
      <c r="L18">
        <v>0.43003999999999998</v>
      </c>
      <c r="M18">
        <v>-9.1354000000000001E-3</v>
      </c>
      <c r="N18">
        <v>1.7419E-2</v>
      </c>
      <c r="P18">
        <v>0.90903999999999996</v>
      </c>
      <c r="Q18">
        <v>0.10755000000000001</v>
      </c>
      <c r="R18">
        <v>0.10685</v>
      </c>
      <c r="S18">
        <v>0.20494999999999999</v>
      </c>
      <c r="T18">
        <v>0.10872999999999999</v>
      </c>
      <c r="U18">
        <v>0.42986999999999997</v>
      </c>
      <c r="V18">
        <v>0.12801999999999999</v>
      </c>
      <c r="W18">
        <v>0.30861</v>
      </c>
      <c r="X18">
        <v>0.18526999999999999</v>
      </c>
      <c r="Y18">
        <v>0.14984</v>
      </c>
      <c r="Z18">
        <v>0.46267000000000003</v>
      </c>
      <c r="AA18">
        <v>0.15751000000000001</v>
      </c>
      <c r="AB18">
        <v>0.15662999999999999</v>
      </c>
      <c r="AC18">
        <v>0.14928</v>
      </c>
      <c r="AD18">
        <v>0.15611</v>
      </c>
      <c r="AE18">
        <v>0.27703</v>
      </c>
      <c r="AF18">
        <v>0.28954999999999997</v>
      </c>
      <c r="AG18">
        <v>0.34738999999999998</v>
      </c>
      <c r="AH18">
        <v>0.53363000000000005</v>
      </c>
      <c r="AI18">
        <v>0.62829999999999997</v>
      </c>
      <c r="AJ18">
        <v>0.12207999999999999</v>
      </c>
    </row>
    <row r="19" spans="1:36" x14ac:dyDescent="0.25">
      <c r="A19" t="s">
        <v>221</v>
      </c>
      <c r="B19">
        <v>0.25186999999999998</v>
      </c>
      <c r="C19">
        <v>0.52437999999999996</v>
      </c>
      <c r="D19">
        <v>-1.174E-2</v>
      </c>
      <c r="E19">
        <v>0.33649000000000001</v>
      </c>
      <c r="F19">
        <v>0.51761999999999997</v>
      </c>
      <c r="G19">
        <v>0.36381000000000002</v>
      </c>
      <c r="H19" s="669">
        <v>-0.60331000000000001</v>
      </c>
      <c r="I19">
        <v>0.19792000000000001</v>
      </c>
      <c r="J19">
        <v>0.33595000000000003</v>
      </c>
      <c r="K19" s="669">
        <v>-0.67808000000000002</v>
      </c>
      <c r="L19" s="669">
        <v>-0.58379000000000003</v>
      </c>
      <c r="M19">
        <v>0.24814</v>
      </c>
      <c r="N19">
        <v>-0.53264</v>
      </c>
      <c r="O19">
        <v>2.8114E-2</v>
      </c>
      <c r="Q19">
        <v>0.48936000000000002</v>
      </c>
      <c r="R19">
        <v>0.4733</v>
      </c>
      <c r="S19">
        <v>0.38901999999999998</v>
      </c>
      <c r="T19">
        <v>0.50936000000000003</v>
      </c>
      <c r="U19">
        <v>2.2964999999999999E-2</v>
      </c>
      <c r="V19">
        <v>0.9093</v>
      </c>
      <c r="W19">
        <v>4.3628E-2</v>
      </c>
      <c r="X19">
        <v>0.51671</v>
      </c>
      <c r="Y19">
        <v>0.49176999999999998</v>
      </c>
      <c r="Z19">
        <v>0.14865999999999999</v>
      </c>
      <c r="AA19">
        <v>0.46067000000000002</v>
      </c>
      <c r="AB19">
        <v>0.14843999999999999</v>
      </c>
      <c r="AC19">
        <v>0.48742999999999997</v>
      </c>
      <c r="AD19">
        <v>0.15307000000000001</v>
      </c>
      <c r="AE19">
        <v>5.4355000000000001E-2</v>
      </c>
      <c r="AF19">
        <v>4.2783000000000002E-2</v>
      </c>
      <c r="AG19">
        <v>4.6823999999999998E-2</v>
      </c>
      <c r="AH19">
        <v>1.6358999999999999E-2</v>
      </c>
      <c r="AI19">
        <v>0.63654999999999995</v>
      </c>
      <c r="AJ19">
        <v>0.54374</v>
      </c>
    </row>
    <row r="20" spans="1:36" x14ac:dyDescent="0.25">
      <c r="A20" t="s">
        <v>250</v>
      </c>
      <c r="B20">
        <v>0.11677</v>
      </c>
      <c r="C20">
        <v>-0.13227</v>
      </c>
      <c r="D20">
        <v>-0.50853999999999999</v>
      </c>
      <c r="E20">
        <v>6.8237999999999993E-2</v>
      </c>
      <c r="F20">
        <v>6.2032999999999998E-2</v>
      </c>
      <c r="G20">
        <v>-0.18135999999999999</v>
      </c>
      <c r="H20">
        <v>-0.31151000000000001</v>
      </c>
      <c r="I20">
        <v>3.0381000000000002E-3</v>
      </c>
      <c r="J20">
        <v>-0.18684000000000001</v>
      </c>
      <c r="K20">
        <v>-6.6689999999999999E-2</v>
      </c>
      <c r="L20">
        <v>-0.29216999999999999</v>
      </c>
      <c r="M20">
        <v>4.0410000000000001E-2</v>
      </c>
      <c r="N20">
        <v>9.5346E-2</v>
      </c>
      <c r="O20">
        <v>-0.38097999999999999</v>
      </c>
      <c r="P20">
        <v>-0.1641</v>
      </c>
      <c r="R20" s="665">
        <v>1.4879999999999999E-34</v>
      </c>
      <c r="S20" s="665">
        <v>6.8262000000000003E-9</v>
      </c>
      <c r="T20" s="665">
        <v>1.7454E-12</v>
      </c>
      <c r="U20">
        <v>2.5912999999999999E-3</v>
      </c>
      <c r="V20">
        <v>2.3479E-3</v>
      </c>
      <c r="W20">
        <v>0.78259000000000001</v>
      </c>
      <c r="X20" s="665">
        <v>8.4746999999999998E-8</v>
      </c>
      <c r="Y20" s="665">
        <v>1.0131999999999999E-8</v>
      </c>
      <c r="Z20">
        <v>0.42074</v>
      </c>
      <c r="AA20" s="665">
        <v>2.3899000000000001E-8</v>
      </c>
      <c r="AB20" s="665">
        <v>2.031E-5</v>
      </c>
      <c r="AC20" s="665">
        <v>1.0423E-8</v>
      </c>
      <c r="AD20" s="665">
        <v>1.8110000000000001E-5</v>
      </c>
      <c r="AE20">
        <v>7.8843999999999997E-3</v>
      </c>
      <c r="AF20">
        <v>9.2768E-3</v>
      </c>
      <c r="AG20">
        <v>1.5285E-2</v>
      </c>
      <c r="AH20">
        <v>0.26252999999999999</v>
      </c>
      <c r="AI20">
        <v>2.1992999999999999E-2</v>
      </c>
      <c r="AJ20" s="665">
        <v>3.4083999999999999E-9</v>
      </c>
    </row>
    <row r="21" spans="1:36" x14ac:dyDescent="0.25">
      <c r="A21" t="s">
        <v>251</v>
      </c>
      <c r="B21">
        <v>0.11168</v>
      </c>
      <c r="C21">
        <v>-0.1366</v>
      </c>
      <c r="D21">
        <v>-0.50661</v>
      </c>
      <c r="E21">
        <v>6.2658000000000005E-2</v>
      </c>
      <c r="F21">
        <v>5.2808000000000001E-2</v>
      </c>
      <c r="G21">
        <v>-0.18512999999999999</v>
      </c>
      <c r="H21">
        <v>-0.30497999999999997</v>
      </c>
      <c r="I21">
        <v>3.7550000000000002E-4</v>
      </c>
      <c r="J21">
        <v>-0.19045000000000001</v>
      </c>
      <c r="K21">
        <v>-5.7145000000000001E-2</v>
      </c>
      <c r="L21">
        <v>-0.28645999999999999</v>
      </c>
      <c r="M21">
        <v>3.6073000000000001E-2</v>
      </c>
      <c r="N21">
        <v>0.10514</v>
      </c>
      <c r="O21">
        <v>-0.38168999999999997</v>
      </c>
      <c r="P21">
        <v>-0.17013</v>
      </c>
      <c r="Q21">
        <v>0.99988999999999995</v>
      </c>
      <c r="S21" s="665">
        <v>7.1779000000000002E-9</v>
      </c>
      <c r="T21" s="665">
        <v>2.5007E-12</v>
      </c>
      <c r="U21">
        <v>2.3996E-3</v>
      </c>
      <c r="V21">
        <v>2.4941999999999998E-3</v>
      </c>
      <c r="W21">
        <v>0.79920000000000002</v>
      </c>
      <c r="X21" s="665">
        <v>9.6319000000000004E-8</v>
      </c>
      <c r="Y21" s="665">
        <v>1.1675E-8</v>
      </c>
      <c r="Z21">
        <v>0.42652000000000001</v>
      </c>
      <c r="AA21" s="665">
        <v>2.6893999999999999E-8</v>
      </c>
      <c r="AB21" s="665">
        <v>1.8953999999999998E-5</v>
      </c>
      <c r="AC21" s="665">
        <v>1.1977E-8</v>
      </c>
      <c r="AD21" s="665">
        <v>1.6917000000000001E-5</v>
      </c>
      <c r="AE21">
        <v>7.3686000000000003E-3</v>
      </c>
      <c r="AF21">
        <v>8.6864000000000004E-3</v>
      </c>
      <c r="AG21">
        <v>1.4370000000000001E-2</v>
      </c>
      <c r="AH21">
        <v>0.25163999999999997</v>
      </c>
      <c r="AI21">
        <v>2.2196E-2</v>
      </c>
      <c r="AJ21" s="665">
        <v>4.0117999999999997E-9</v>
      </c>
    </row>
    <row r="22" spans="1:36" x14ac:dyDescent="0.25">
      <c r="A22" t="s">
        <v>213</v>
      </c>
      <c r="B22">
        <v>-0.17369999999999999</v>
      </c>
      <c r="C22">
        <v>-0.24460000000000001</v>
      </c>
      <c r="D22">
        <v>-0.32974999999999999</v>
      </c>
      <c r="E22">
        <v>-0.22964000000000001</v>
      </c>
      <c r="F22">
        <v>-6.5739000000000006E-2</v>
      </c>
      <c r="G22">
        <v>-0.48827999999999999</v>
      </c>
      <c r="H22">
        <v>-0.18179000000000001</v>
      </c>
      <c r="I22">
        <v>-0.22473000000000001</v>
      </c>
      <c r="J22">
        <v>-0.17301</v>
      </c>
      <c r="K22">
        <v>2.4618000000000001E-2</v>
      </c>
      <c r="L22">
        <v>-0.21081</v>
      </c>
      <c r="M22">
        <v>-0.23457</v>
      </c>
      <c r="N22">
        <v>0.10394</v>
      </c>
      <c r="O22">
        <v>-0.30451</v>
      </c>
      <c r="P22">
        <v>-0.20369999999999999</v>
      </c>
      <c r="Q22">
        <v>0.92298999999999998</v>
      </c>
      <c r="R22">
        <v>0.92254000000000003</v>
      </c>
      <c r="T22" s="665">
        <v>1.7526E-14</v>
      </c>
      <c r="U22" s="665">
        <v>5.2866000000000003E-6</v>
      </c>
      <c r="V22">
        <v>9.6031000000000005E-2</v>
      </c>
      <c r="W22">
        <v>0.30995</v>
      </c>
      <c r="X22" s="665">
        <v>6.4128999999999996E-9</v>
      </c>
      <c r="Y22" s="665">
        <v>1.0244E-10</v>
      </c>
      <c r="Z22">
        <v>0.42625999999999997</v>
      </c>
      <c r="AA22" s="665">
        <v>2.5033E-10</v>
      </c>
      <c r="AB22" s="665">
        <v>1.3984000000000001E-10</v>
      </c>
      <c r="AC22" s="665">
        <v>9.5067000000000001E-11</v>
      </c>
      <c r="AD22" s="665">
        <v>1.101E-10</v>
      </c>
      <c r="AE22" s="665">
        <v>3.3189999999999999E-5</v>
      </c>
      <c r="AF22" s="665">
        <v>2.567E-5</v>
      </c>
      <c r="AG22" s="665">
        <v>5.8981999999999999E-5</v>
      </c>
      <c r="AH22">
        <v>1.4718999999999999E-2</v>
      </c>
      <c r="AI22">
        <v>2.3879000000000001E-2</v>
      </c>
      <c r="AJ22" s="665">
        <v>4.8678000000000002E-11</v>
      </c>
    </row>
    <row r="23" spans="1:36" x14ac:dyDescent="0.25">
      <c r="A23" t="s">
        <v>214</v>
      </c>
      <c r="B23">
        <v>1.5775000000000001E-2</v>
      </c>
      <c r="C23">
        <v>0.17383999999999999</v>
      </c>
      <c r="D23">
        <v>0.44453999999999999</v>
      </c>
      <c r="E23">
        <v>7.1801000000000004E-2</v>
      </c>
      <c r="F23">
        <v>-5.7132000000000002E-2</v>
      </c>
      <c r="G23">
        <v>0.34821000000000002</v>
      </c>
      <c r="H23">
        <v>0.27411999999999997</v>
      </c>
      <c r="I23">
        <v>0.12617999999999999</v>
      </c>
      <c r="J23">
        <v>0.18856000000000001</v>
      </c>
      <c r="K23">
        <v>6.1226000000000003E-2</v>
      </c>
      <c r="L23">
        <v>0.28420000000000001</v>
      </c>
      <c r="M23">
        <v>0.10299999999999999</v>
      </c>
      <c r="N23">
        <v>-7.3450000000000001E-2</v>
      </c>
      <c r="O23">
        <v>0.37980999999999998</v>
      </c>
      <c r="P23">
        <v>0.15672</v>
      </c>
      <c r="Q23">
        <v>-0.96986000000000006</v>
      </c>
      <c r="R23">
        <v>-0.96862000000000004</v>
      </c>
      <c r="S23">
        <v>-0.98201000000000005</v>
      </c>
      <c r="U23">
        <v>1.6085000000000001E-4</v>
      </c>
      <c r="V23">
        <v>2.1288000000000001E-2</v>
      </c>
      <c r="W23">
        <v>0.72719</v>
      </c>
      <c r="X23" s="665">
        <v>8.0401999999999998E-10</v>
      </c>
      <c r="Y23" s="665">
        <v>1.184E-11</v>
      </c>
      <c r="Z23">
        <v>0.41800999999999999</v>
      </c>
      <c r="AA23" s="665">
        <v>4.2519999999999999E-11</v>
      </c>
      <c r="AB23" s="665">
        <v>9.5365999999999995E-8</v>
      </c>
      <c r="AC23" s="665">
        <v>1.1618E-11</v>
      </c>
      <c r="AD23" s="665">
        <v>8.0311999999999998E-8</v>
      </c>
      <c r="AE23">
        <v>5.8755000000000005E-4</v>
      </c>
      <c r="AF23">
        <v>6.5388000000000002E-4</v>
      </c>
      <c r="AG23">
        <v>1.2731999999999999E-3</v>
      </c>
      <c r="AH23">
        <v>7.4482000000000007E-2</v>
      </c>
      <c r="AI23">
        <v>1.5485000000000001E-2</v>
      </c>
      <c r="AJ23" s="665">
        <v>7.3156E-12</v>
      </c>
    </row>
    <row r="24" spans="1:36" x14ac:dyDescent="0.25">
      <c r="A24" t="s">
        <v>215</v>
      </c>
      <c r="B24">
        <v>-0.51151000000000002</v>
      </c>
      <c r="C24">
        <v>-0.45462999999999998</v>
      </c>
      <c r="D24">
        <v>-1.1063999999999999E-2</v>
      </c>
      <c r="E24" s="669">
        <v>-0.58233000000000001</v>
      </c>
      <c r="F24">
        <v>-0.41022999999999998</v>
      </c>
      <c r="G24" s="669">
        <v>-0.80562999999999996</v>
      </c>
      <c r="H24">
        <v>0.22388</v>
      </c>
      <c r="I24">
        <v>-0.40167000000000003</v>
      </c>
      <c r="J24">
        <v>-0.28924</v>
      </c>
      <c r="K24">
        <v>0.43058000000000002</v>
      </c>
      <c r="L24">
        <v>0.11396000000000001</v>
      </c>
      <c r="M24">
        <v>-0.59504999999999997</v>
      </c>
      <c r="N24">
        <v>0.39018999999999998</v>
      </c>
      <c r="O24">
        <v>-0.19247</v>
      </c>
      <c r="P24">
        <v>-0.50556000000000001</v>
      </c>
      <c r="Q24">
        <v>0.63571</v>
      </c>
      <c r="R24">
        <v>0.63944000000000001</v>
      </c>
      <c r="S24">
        <v>0.83245999999999998</v>
      </c>
      <c r="T24">
        <v>-0.74563999999999997</v>
      </c>
      <c r="V24">
        <v>0.85585</v>
      </c>
      <c r="W24">
        <v>2.5428E-3</v>
      </c>
      <c r="X24">
        <v>2.0662E-4</v>
      </c>
      <c r="Y24">
        <v>1.1573E-4</v>
      </c>
      <c r="Z24">
        <v>0.99195999999999995</v>
      </c>
      <c r="AA24" s="665">
        <v>8.6704000000000002E-5</v>
      </c>
      <c r="AB24" s="665">
        <v>2.4561999999999999E-9</v>
      </c>
      <c r="AC24">
        <v>1.0974E-4</v>
      </c>
      <c r="AD24" s="665">
        <v>3.3848000000000001E-9</v>
      </c>
      <c r="AE24" s="665">
        <v>1.3912E-11</v>
      </c>
      <c r="AF24" s="665">
        <v>2.5609000000000002E-13</v>
      </c>
      <c r="AG24" s="665">
        <v>1.9894E-12</v>
      </c>
      <c r="AH24" s="665">
        <v>7.1050000000000002E-7</v>
      </c>
      <c r="AI24">
        <v>3.8605E-2</v>
      </c>
      <c r="AJ24">
        <v>2.6586999999999997E-4</v>
      </c>
    </row>
    <row r="25" spans="1:36" x14ac:dyDescent="0.25">
      <c r="A25" t="s">
        <v>216</v>
      </c>
      <c r="B25" s="668">
        <v>-0.59675999999999996</v>
      </c>
      <c r="C25">
        <v>-0.12795000000000001</v>
      </c>
      <c r="D25" s="668">
        <v>0.71787999999999996</v>
      </c>
      <c r="E25" s="669">
        <v>-0.57479999999999998</v>
      </c>
      <c r="F25">
        <v>-0.39090999999999998</v>
      </c>
      <c r="G25">
        <v>-0.49641000000000002</v>
      </c>
      <c r="H25">
        <v>0.40686</v>
      </c>
      <c r="I25">
        <v>-0.29430000000000001</v>
      </c>
      <c r="J25">
        <v>0.29542000000000002</v>
      </c>
      <c r="K25">
        <v>0.35792000000000002</v>
      </c>
      <c r="L25">
        <v>0.20904</v>
      </c>
      <c r="M25" s="669">
        <v>-0.55059000000000002</v>
      </c>
      <c r="N25">
        <v>0.16964000000000001</v>
      </c>
      <c r="O25">
        <v>0.36176999999999998</v>
      </c>
      <c r="P25">
        <v>2.7222E-2</v>
      </c>
      <c r="Q25">
        <v>-0.64049</v>
      </c>
      <c r="R25">
        <v>-0.63756999999999997</v>
      </c>
      <c r="S25">
        <v>-0.38249</v>
      </c>
      <c r="T25">
        <v>0.51105</v>
      </c>
      <c r="U25">
        <v>4.3395999999999997E-2</v>
      </c>
      <c r="W25">
        <v>1.3636E-3</v>
      </c>
      <c r="X25">
        <v>0.12911</v>
      </c>
      <c r="Y25">
        <v>9.7233E-2</v>
      </c>
      <c r="Z25">
        <v>0.75405</v>
      </c>
      <c r="AA25">
        <v>0.1176</v>
      </c>
      <c r="AB25">
        <v>0.47910999999999998</v>
      </c>
      <c r="AC25">
        <v>9.8280000000000006E-2</v>
      </c>
      <c r="AD25">
        <v>0.46828999999999998</v>
      </c>
      <c r="AE25">
        <v>0.64498</v>
      </c>
      <c r="AF25">
        <v>0.64288000000000001</v>
      </c>
      <c r="AG25">
        <v>0.51668000000000003</v>
      </c>
      <c r="AH25">
        <v>0.12318999999999999</v>
      </c>
      <c r="AI25">
        <v>0.67867999999999995</v>
      </c>
      <c r="AJ25">
        <v>4.8320000000000002E-2</v>
      </c>
    </row>
    <row r="26" spans="1:36" x14ac:dyDescent="0.25">
      <c r="A26" t="s">
        <v>217</v>
      </c>
      <c r="B26" s="668">
        <v>0.76995000000000002</v>
      </c>
      <c r="C26">
        <v>0.33622999999999997</v>
      </c>
      <c r="D26">
        <v>-0.52997000000000005</v>
      </c>
      <c r="E26" s="668">
        <v>0.83879000000000004</v>
      </c>
      <c r="F26" s="668">
        <v>0.57835999999999999</v>
      </c>
      <c r="G26" s="668">
        <v>0.86338999999999999</v>
      </c>
      <c r="H26">
        <v>-0.47075</v>
      </c>
      <c r="I26">
        <v>0.41442000000000001</v>
      </c>
      <c r="J26">
        <v>6.3137000000000002E-3</v>
      </c>
      <c r="K26">
        <v>-0.50016000000000005</v>
      </c>
      <c r="L26">
        <v>-0.30676999999999999</v>
      </c>
      <c r="M26" s="668">
        <v>0.72421999999999997</v>
      </c>
      <c r="N26">
        <v>-0.32799</v>
      </c>
      <c r="O26">
        <v>-0.24668999999999999</v>
      </c>
      <c r="P26">
        <v>0.45538000000000001</v>
      </c>
      <c r="Q26">
        <v>6.5878000000000006E-2</v>
      </c>
      <c r="R26">
        <v>6.0739000000000001E-2</v>
      </c>
      <c r="S26">
        <v>-0.23912</v>
      </c>
      <c r="T26">
        <v>8.3232E-2</v>
      </c>
      <c r="U26">
        <v>-0.63663000000000003</v>
      </c>
      <c r="V26">
        <v>-0.66547000000000001</v>
      </c>
      <c r="X26">
        <v>0.47589999999999999</v>
      </c>
      <c r="Y26">
        <v>0.47099000000000002</v>
      </c>
      <c r="Z26">
        <v>0.85124</v>
      </c>
      <c r="AA26">
        <v>0.43432999999999999</v>
      </c>
      <c r="AB26">
        <v>5.5167000000000001E-2</v>
      </c>
      <c r="AC26">
        <v>0.46668999999999999</v>
      </c>
      <c r="AD26">
        <v>5.7665000000000001E-2</v>
      </c>
      <c r="AE26">
        <v>3.0203999999999999E-3</v>
      </c>
      <c r="AF26">
        <v>1.6799E-3</v>
      </c>
      <c r="AG26">
        <v>8.6671000000000003E-4</v>
      </c>
      <c r="AH26" s="665">
        <v>6.9616000000000006E-5</v>
      </c>
      <c r="AI26">
        <v>0.68408000000000002</v>
      </c>
      <c r="AJ26">
        <v>0.58879000000000004</v>
      </c>
    </row>
    <row r="27" spans="1:36" x14ac:dyDescent="0.25">
      <c r="A27" t="s">
        <v>252</v>
      </c>
      <c r="B27">
        <v>8.7647000000000003E-2</v>
      </c>
      <c r="C27">
        <v>0.25163000000000002</v>
      </c>
      <c r="D27">
        <v>0.35474</v>
      </c>
      <c r="E27">
        <v>0.14573</v>
      </c>
      <c r="F27">
        <v>-6.1586000000000002E-2</v>
      </c>
      <c r="G27">
        <v>0.39439999999999997</v>
      </c>
      <c r="H27">
        <v>0.24210999999999999</v>
      </c>
      <c r="I27">
        <v>0.13632</v>
      </c>
      <c r="J27">
        <v>0.13641</v>
      </c>
      <c r="K27">
        <v>2.9950000000000001E-2</v>
      </c>
      <c r="L27">
        <v>0.31766</v>
      </c>
      <c r="M27">
        <v>0.10048</v>
      </c>
      <c r="N27">
        <v>-8.2512000000000002E-2</v>
      </c>
      <c r="O27">
        <v>0.32705000000000001</v>
      </c>
      <c r="P27">
        <v>0.15858</v>
      </c>
      <c r="Q27">
        <v>-0.90712999999999999</v>
      </c>
      <c r="R27">
        <v>-0.90566000000000002</v>
      </c>
      <c r="S27">
        <v>-0.93215000000000003</v>
      </c>
      <c r="T27">
        <v>0.94718000000000002</v>
      </c>
      <c r="U27">
        <v>-0.75166999999999995</v>
      </c>
      <c r="V27">
        <v>0.36081000000000002</v>
      </c>
      <c r="W27">
        <v>0.17412</v>
      </c>
      <c r="Y27" s="665">
        <v>2.5602000000000001E-15</v>
      </c>
      <c r="Z27">
        <v>0.32067000000000001</v>
      </c>
      <c r="AA27" s="665">
        <v>3.1670999999999999E-18</v>
      </c>
      <c r="AB27" s="665">
        <v>5.4689000000000005E-7</v>
      </c>
      <c r="AC27" s="665">
        <v>2.6684000000000001E-15</v>
      </c>
      <c r="AD27" s="665">
        <v>4.8464999999999999E-7</v>
      </c>
      <c r="AE27">
        <v>1.1938000000000001E-3</v>
      </c>
      <c r="AF27">
        <v>1.0485E-3</v>
      </c>
      <c r="AG27">
        <v>1.642E-3</v>
      </c>
      <c r="AH27">
        <v>8.3430000000000004E-2</v>
      </c>
      <c r="AI27">
        <v>4.3334999999999999E-4</v>
      </c>
      <c r="AJ27" s="665">
        <v>4.5304999999999996E-9</v>
      </c>
    </row>
    <row r="28" spans="1:36" x14ac:dyDescent="0.25">
      <c r="A28" t="s">
        <v>263</v>
      </c>
      <c r="B28">
        <v>9.3634999999999996E-2</v>
      </c>
      <c r="C28">
        <v>0.22295999999999999</v>
      </c>
      <c r="D28">
        <v>0.3856</v>
      </c>
      <c r="E28">
        <v>0.13755000000000001</v>
      </c>
      <c r="F28">
        <v>-2.1569999999999999E-2</v>
      </c>
      <c r="G28">
        <v>0.39579999999999999</v>
      </c>
      <c r="H28">
        <v>0.24271999999999999</v>
      </c>
      <c r="I28">
        <v>0.12389</v>
      </c>
      <c r="J28">
        <v>0.15193999999999999</v>
      </c>
      <c r="K28">
        <v>1.3237000000000001E-2</v>
      </c>
      <c r="L28">
        <v>0.31781999999999999</v>
      </c>
      <c r="M28">
        <v>0.14776</v>
      </c>
      <c r="N28">
        <v>-7.1609000000000006E-2</v>
      </c>
      <c r="O28">
        <v>0.35374</v>
      </c>
      <c r="P28">
        <v>0.16800000000000001</v>
      </c>
      <c r="Q28">
        <v>-0.92827999999999999</v>
      </c>
      <c r="R28">
        <v>-0.92703999999999998</v>
      </c>
      <c r="S28">
        <v>-0.95874000000000004</v>
      </c>
      <c r="T28">
        <v>0.96811000000000003</v>
      </c>
      <c r="U28">
        <v>-0.76988000000000001</v>
      </c>
      <c r="V28">
        <v>0.39167999999999997</v>
      </c>
      <c r="W28">
        <v>0.17602999999999999</v>
      </c>
      <c r="X28">
        <v>0.98828000000000005</v>
      </c>
      <c r="Z28">
        <v>0.37175000000000002</v>
      </c>
      <c r="AA28" s="665">
        <v>1.1299000000000001E-22</v>
      </c>
      <c r="AB28" s="665">
        <v>3.0323E-8</v>
      </c>
      <c r="AC28" s="665">
        <v>2.9684000000000002E-45</v>
      </c>
      <c r="AD28" s="665">
        <v>2.4808E-8</v>
      </c>
      <c r="AE28">
        <v>6.7927000000000005E-4</v>
      </c>
      <c r="AF28">
        <v>6.0187999999999995E-4</v>
      </c>
      <c r="AG28">
        <v>1.0309E-3</v>
      </c>
      <c r="AH28">
        <v>7.6193999999999998E-2</v>
      </c>
      <c r="AI28">
        <v>4.8352999999999998E-3</v>
      </c>
      <c r="AJ28" s="665">
        <v>6.9216999999999997E-13</v>
      </c>
    </row>
    <row r="29" spans="1:36" x14ac:dyDescent="0.25">
      <c r="A29" t="s">
        <v>253</v>
      </c>
      <c r="B29">
        <v>-0.16494</v>
      </c>
      <c r="C29">
        <v>0.46392</v>
      </c>
      <c r="D29">
        <v>-0.15289</v>
      </c>
      <c r="E29">
        <v>-0.11286</v>
      </c>
      <c r="F29">
        <v>-0.23407</v>
      </c>
      <c r="G29">
        <v>-0.10391</v>
      </c>
      <c r="H29">
        <v>0.47567999999999999</v>
      </c>
      <c r="I29">
        <v>0.15751000000000001</v>
      </c>
      <c r="J29">
        <v>-0.24679999999999999</v>
      </c>
      <c r="K29">
        <v>0.39671000000000001</v>
      </c>
      <c r="L29">
        <v>0.45417999999999997</v>
      </c>
      <c r="M29">
        <v>-0.62187999999999999</v>
      </c>
      <c r="N29">
        <v>0.29748000000000002</v>
      </c>
      <c r="O29">
        <v>-0.19783999999999999</v>
      </c>
      <c r="P29">
        <v>-0.36587999999999998</v>
      </c>
      <c r="Q29">
        <v>-0.20902000000000001</v>
      </c>
      <c r="R29">
        <v>-0.20649000000000001</v>
      </c>
      <c r="S29">
        <v>-0.20660000000000001</v>
      </c>
      <c r="T29">
        <v>0.21023</v>
      </c>
      <c r="U29">
        <v>-2.6443E-3</v>
      </c>
      <c r="V29">
        <v>8.2114000000000006E-2</v>
      </c>
      <c r="W29">
        <v>-4.9204999999999999E-2</v>
      </c>
      <c r="X29">
        <v>0.25633</v>
      </c>
      <c r="Y29">
        <v>0.23129</v>
      </c>
      <c r="AA29">
        <v>0.36892999999999998</v>
      </c>
      <c r="AB29">
        <v>0.64270000000000005</v>
      </c>
      <c r="AC29">
        <v>0.37348999999999999</v>
      </c>
      <c r="AD29">
        <v>0.63619999999999999</v>
      </c>
      <c r="AE29">
        <v>0.78639999999999999</v>
      </c>
      <c r="AF29">
        <v>0.90190000000000003</v>
      </c>
      <c r="AG29">
        <v>0.89383000000000001</v>
      </c>
      <c r="AH29">
        <v>0.75324999999999998</v>
      </c>
      <c r="AI29">
        <v>0.42032000000000003</v>
      </c>
      <c r="AJ29">
        <v>0.40600000000000003</v>
      </c>
    </row>
    <row r="30" spans="1:36" x14ac:dyDescent="0.25">
      <c r="A30" t="s">
        <v>254</v>
      </c>
      <c r="B30">
        <v>0.10549</v>
      </c>
      <c r="C30">
        <v>0.24334</v>
      </c>
      <c r="D30">
        <v>0.37096000000000001</v>
      </c>
      <c r="E30">
        <v>0.15590000000000001</v>
      </c>
      <c r="F30">
        <v>-2.2040000000000001E-2</v>
      </c>
      <c r="G30">
        <v>0.41117999999999999</v>
      </c>
      <c r="H30">
        <v>0.22850000000000001</v>
      </c>
      <c r="I30">
        <v>0.13850000000000001</v>
      </c>
      <c r="J30">
        <v>0.15548000000000001</v>
      </c>
      <c r="K30">
        <v>2.7588999999999999E-3</v>
      </c>
      <c r="L30">
        <v>0.30695</v>
      </c>
      <c r="M30">
        <v>0.14634</v>
      </c>
      <c r="N30">
        <v>-8.6968000000000004E-2</v>
      </c>
      <c r="O30">
        <v>0.34761999999999998</v>
      </c>
      <c r="P30">
        <v>0.18007999999999999</v>
      </c>
      <c r="Q30">
        <v>-0.92040999999999995</v>
      </c>
      <c r="R30">
        <v>-0.91925999999999997</v>
      </c>
      <c r="S30">
        <v>-0.95408000000000004</v>
      </c>
      <c r="T30">
        <v>0.96286000000000005</v>
      </c>
      <c r="U30">
        <v>-0.77839000000000003</v>
      </c>
      <c r="V30">
        <v>0.37125000000000002</v>
      </c>
      <c r="W30">
        <v>0.19064999999999999</v>
      </c>
      <c r="X30">
        <v>0.99468000000000001</v>
      </c>
      <c r="Y30">
        <v>0.99841000000000002</v>
      </c>
      <c r="Z30">
        <v>0.23261999999999999</v>
      </c>
      <c r="AB30" s="665">
        <v>4.0013999999999997E-8</v>
      </c>
      <c r="AC30" s="665">
        <v>9.5752000000000001E-23</v>
      </c>
      <c r="AD30" s="665">
        <v>3.3664000000000003E-8</v>
      </c>
      <c r="AE30">
        <v>5.7516999999999996E-4</v>
      </c>
      <c r="AF30">
        <v>4.9879000000000004E-4</v>
      </c>
      <c r="AG30">
        <v>8.4656E-4</v>
      </c>
      <c r="AH30">
        <v>6.4915E-2</v>
      </c>
      <c r="AI30">
        <v>2.1683000000000002E-3</v>
      </c>
      <c r="AJ30" s="665">
        <v>3.1134000000000002E-11</v>
      </c>
    </row>
    <row r="31" spans="1:36" x14ac:dyDescent="0.25">
      <c r="A31" t="s">
        <v>255</v>
      </c>
      <c r="B31">
        <v>0.33373000000000003</v>
      </c>
      <c r="C31">
        <v>0.31775999999999999</v>
      </c>
      <c r="D31">
        <v>0.24393999999999999</v>
      </c>
      <c r="E31">
        <v>0.39023000000000002</v>
      </c>
      <c r="F31">
        <v>0.23816000000000001</v>
      </c>
      <c r="G31" s="668">
        <v>0.64885000000000004</v>
      </c>
      <c r="H31">
        <v>3.8956999999999999E-2</v>
      </c>
      <c r="I31">
        <v>0.29677999999999999</v>
      </c>
      <c r="J31">
        <v>0.24168000000000001</v>
      </c>
      <c r="K31">
        <v>-0.21526000000000001</v>
      </c>
      <c r="L31">
        <v>0.15193999999999999</v>
      </c>
      <c r="M31">
        <v>0.44468999999999997</v>
      </c>
      <c r="N31">
        <v>-0.19453000000000001</v>
      </c>
      <c r="O31">
        <v>0.34831000000000001</v>
      </c>
      <c r="P31">
        <v>0.34466000000000002</v>
      </c>
      <c r="Q31">
        <v>-0.81618999999999997</v>
      </c>
      <c r="R31">
        <v>-0.81779999999999997</v>
      </c>
      <c r="S31">
        <v>-0.95716999999999997</v>
      </c>
      <c r="T31">
        <v>0.90578000000000003</v>
      </c>
      <c r="U31">
        <v>-0.93957000000000002</v>
      </c>
      <c r="V31">
        <v>0.17287</v>
      </c>
      <c r="W31">
        <v>0.44674999999999998</v>
      </c>
      <c r="X31">
        <v>0.88319999999999999</v>
      </c>
      <c r="Y31">
        <v>0.91807000000000005</v>
      </c>
      <c r="Z31">
        <v>0.12135</v>
      </c>
      <c r="AA31">
        <v>0.91525999999999996</v>
      </c>
      <c r="AC31" s="665">
        <v>2.7689000000000001E-8</v>
      </c>
      <c r="AD31" s="665">
        <v>4.1519999999999999E-38</v>
      </c>
      <c r="AE31" s="665">
        <v>5.9662999999999996E-8</v>
      </c>
      <c r="AF31" s="665">
        <v>1.9919999999999999E-8</v>
      </c>
      <c r="AG31" s="665">
        <v>7.6092000000000004E-8</v>
      </c>
      <c r="AH31">
        <v>5.5652999999999996E-4</v>
      </c>
      <c r="AI31">
        <v>4.2301999999999999E-2</v>
      </c>
      <c r="AJ31" s="665">
        <v>3.0828000000000003E-8</v>
      </c>
    </row>
    <row r="32" spans="1:36" x14ac:dyDescent="0.25">
      <c r="A32" t="s">
        <v>256</v>
      </c>
      <c r="B32">
        <v>9.5201999999999995E-2</v>
      </c>
      <c r="C32">
        <v>0.22406999999999999</v>
      </c>
      <c r="D32">
        <v>0.38513999999999998</v>
      </c>
      <c r="E32">
        <v>0.13929</v>
      </c>
      <c r="F32">
        <v>-2.0007E-2</v>
      </c>
      <c r="G32">
        <v>0.39761999999999997</v>
      </c>
      <c r="H32">
        <v>0.24102999999999999</v>
      </c>
      <c r="I32">
        <v>0.12506</v>
      </c>
      <c r="J32">
        <v>0.15325</v>
      </c>
      <c r="K32">
        <v>1.1361E-2</v>
      </c>
      <c r="L32">
        <v>0.31637999999999999</v>
      </c>
      <c r="M32">
        <v>0.14957999999999999</v>
      </c>
      <c r="N32">
        <v>-7.3020000000000002E-2</v>
      </c>
      <c r="O32">
        <v>0.35420000000000001</v>
      </c>
      <c r="P32">
        <v>0.16966999999999999</v>
      </c>
      <c r="Q32">
        <v>-0.92803999999999998</v>
      </c>
      <c r="R32">
        <v>-0.92681999999999998</v>
      </c>
      <c r="S32">
        <v>-0.95911000000000002</v>
      </c>
      <c r="T32">
        <v>0.96818000000000004</v>
      </c>
      <c r="U32">
        <v>-0.77146999999999999</v>
      </c>
      <c r="V32">
        <v>0.39056000000000002</v>
      </c>
      <c r="W32">
        <v>0.17771999999999999</v>
      </c>
      <c r="X32">
        <v>0.98821999999999999</v>
      </c>
      <c r="Y32">
        <v>1</v>
      </c>
      <c r="Z32">
        <v>0.23047999999999999</v>
      </c>
      <c r="AA32">
        <v>0.99843999999999999</v>
      </c>
      <c r="AB32">
        <v>0.91896999999999995</v>
      </c>
      <c r="AD32" s="665">
        <v>2.2635999999999998E-8</v>
      </c>
      <c r="AE32">
        <v>6.5081999999999998E-4</v>
      </c>
      <c r="AF32">
        <v>5.7677E-4</v>
      </c>
      <c r="AG32">
        <v>9.9068000000000008E-4</v>
      </c>
      <c r="AH32">
        <v>7.4547000000000002E-2</v>
      </c>
      <c r="AI32">
        <v>4.8352999999999998E-3</v>
      </c>
      <c r="AJ32" s="665">
        <v>6.9580000000000002E-13</v>
      </c>
    </row>
    <row r="33" spans="1:36" x14ac:dyDescent="0.25">
      <c r="A33" t="s">
        <v>257</v>
      </c>
      <c r="B33">
        <v>0.32968999999999998</v>
      </c>
      <c r="C33">
        <v>0.31535000000000002</v>
      </c>
      <c r="D33">
        <v>0.24678</v>
      </c>
      <c r="E33">
        <v>0.38579999999999998</v>
      </c>
      <c r="F33">
        <v>0.23476</v>
      </c>
      <c r="G33" s="668">
        <v>0.64490000000000003</v>
      </c>
      <c r="H33">
        <v>4.3110999999999997E-2</v>
      </c>
      <c r="I33">
        <v>0.29348999999999997</v>
      </c>
      <c r="J33">
        <v>0.24018999999999999</v>
      </c>
      <c r="K33">
        <v>-0.21138000000000001</v>
      </c>
      <c r="L33">
        <v>0.15557000000000001</v>
      </c>
      <c r="M33">
        <v>0.44098999999999999</v>
      </c>
      <c r="N33">
        <v>-0.19095000000000001</v>
      </c>
      <c r="O33">
        <v>0.34871999999999997</v>
      </c>
      <c r="P33">
        <v>0.34100999999999998</v>
      </c>
      <c r="Q33">
        <v>-0.81886000000000003</v>
      </c>
      <c r="R33">
        <v>-0.82042000000000004</v>
      </c>
      <c r="S33">
        <v>-0.95838000000000001</v>
      </c>
      <c r="T33">
        <v>0.90773999999999999</v>
      </c>
      <c r="U33">
        <v>-0.93718999999999997</v>
      </c>
      <c r="V33">
        <v>0.17709</v>
      </c>
      <c r="W33">
        <v>0.44272</v>
      </c>
      <c r="X33">
        <v>0.88492999999999999</v>
      </c>
      <c r="Y33">
        <v>0.92005000000000003</v>
      </c>
      <c r="Z33">
        <v>0.1237</v>
      </c>
      <c r="AA33">
        <v>0.91701999999999995</v>
      </c>
      <c r="AB33">
        <v>0.99997999999999998</v>
      </c>
      <c r="AC33">
        <v>0.92093999999999998</v>
      </c>
      <c r="AE33" s="665">
        <v>7.3886000000000004E-8</v>
      </c>
      <c r="AF33" s="665">
        <v>2.5515000000000001E-8</v>
      </c>
      <c r="AG33" s="665">
        <v>9.5134999999999998E-8</v>
      </c>
      <c r="AH33">
        <v>6.2242000000000005E-4</v>
      </c>
      <c r="AI33">
        <v>4.2535000000000003E-2</v>
      </c>
      <c r="AJ33" s="665">
        <v>2.4039000000000001E-8</v>
      </c>
    </row>
    <row r="34" spans="1:36" x14ac:dyDescent="0.25">
      <c r="A34" t="s">
        <v>258</v>
      </c>
      <c r="B34">
        <v>0.51065000000000005</v>
      </c>
      <c r="C34">
        <v>0.39945000000000003</v>
      </c>
      <c r="D34">
        <v>4.1218999999999999E-2</v>
      </c>
      <c r="E34" s="668">
        <v>0.58989999999999998</v>
      </c>
      <c r="F34">
        <v>0.39845000000000003</v>
      </c>
      <c r="G34" s="668">
        <v>0.80772999999999995</v>
      </c>
      <c r="H34">
        <v>-0.16677</v>
      </c>
      <c r="I34">
        <v>0.43147999999999997</v>
      </c>
      <c r="J34">
        <v>0.25968000000000002</v>
      </c>
      <c r="K34">
        <v>-0.38530999999999999</v>
      </c>
      <c r="L34">
        <v>-2.8757000000000001E-2</v>
      </c>
      <c r="M34" s="668">
        <v>0.60238999999999998</v>
      </c>
      <c r="N34">
        <v>-0.3382</v>
      </c>
      <c r="O34">
        <v>0.27083000000000002</v>
      </c>
      <c r="P34">
        <v>0.44808999999999999</v>
      </c>
      <c r="Q34">
        <v>-0.58962999999999999</v>
      </c>
      <c r="R34">
        <v>-0.59365999999999997</v>
      </c>
      <c r="S34">
        <v>-0.80425999999999997</v>
      </c>
      <c r="T34">
        <v>0.71452000000000004</v>
      </c>
      <c r="U34">
        <v>-0.96748999999999996</v>
      </c>
      <c r="V34">
        <v>-0.11304</v>
      </c>
      <c r="W34">
        <v>0.64234999999999998</v>
      </c>
      <c r="X34">
        <v>0.68564000000000003</v>
      </c>
      <c r="Y34">
        <v>0.70887</v>
      </c>
      <c r="Z34">
        <v>7.1053000000000005E-2</v>
      </c>
      <c r="AA34">
        <v>0.71533999999999998</v>
      </c>
      <c r="AB34">
        <v>0.91103000000000001</v>
      </c>
      <c r="AC34">
        <v>0.71055000000000001</v>
      </c>
      <c r="AD34">
        <v>0.90866999999999998</v>
      </c>
      <c r="AF34" s="665">
        <v>8.9026999999999998E-14</v>
      </c>
      <c r="AG34" s="665">
        <v>2.0525000000000001E-13</v>
      </c>
      <c r="AH34" s="665">
        <v>8.2843999999999997E-8</v>
      </c>
      <c r="AI34">
        <v>8.7894E-2</v>
      </c>
      <c r="AJ34">
        <v>9.7504000000000004E-4</v>
      </c>
    </row>
    <row r="35" spans="1:36" x14ac:dyDescent="0.25">
      <c r="A35" t="s">
        <v>259</v>
      </c>
      <c r="B35">
        <v>0.53595999999999999</v>
      </c>
      <c r="C35">
        <v>0.41898999999999997</v>
      </c>
      <c r="D35">
        <v>2.5295000000000002E-2</v>
      </c>
      <c r="E35" s="668">
        <v>0.61506000000000005</v>
      </c>
      <c r="F35">
        <v>0.42193000000000003</v>
      </c>
      <c r="G35" s="668">
        <v>0.83543999999999996</v>
      </c>
      <c r="H35">
        <v>-0.17507</v>
      </c>
      <c r="I35">
        <v>0.45989000000000002</v>
      </c>
      <c r="J35">
        <v>0.28283999999999998</v>
      </c>
      <c r="K35">
        <v>-0.40250000000000002</v>
      </c>
      <c r="L35">
        <v>-3.4742000000000002E-2</v>
      </c>
      <c r="M35" s="668">
        <v>0.63578999999999997</v>
      </c>
      <c r="N35">
        <v>-0.31146000000000001</v>
      </c>
      <c r="O35">
        <v>0.26412999999999998</v>
      </c>
      <c r="P35">
        <v>0.46904000000000001</v>
      </c>
      <c r="Q35">
        <v>-0.57974000000000003</v>
      </c>
      <c r="R35">
        <v>-0.58377000000000001</v>
      </c>
      <c r="S35">
        <v>-0.81059999999999999</v>
      </c>
      <c r="T35">
        <v>0.71036999999999995</v>
      </c>
      <c r="U35">
        <v>-0.97977999999999998</v>
      </c>
      <c r="V35">
        <v>-0.11375</v>
      </c>
      <c r="W35">
        <v>0.67047999999999996</v>
      </c>
      <c r="X35">
        <v>0.69116999999999995</v>
      </c>
      <c r="Y35">
        <v>0.71358999999999995</v>
      </c>
      <c r="Z35">
        <v>3.2354000000000001E-2</v>
      </c>
      <c r="AA35">
        <v>0.72075</v>
      </c>
      <c r="AB35">
        <v>0.92215000000000003</v>
      </c>
      <c r="AC35">
        <v>0.71523000000000003</v>
      </c>
      <c r="AD35">
        <v>0.91978000000000004</v>
      </c>
      <c r="AE35">
        <v>0.98216000000000003</v>
      </c>
      <c r="AG35" s="665">
        <v>1.2056E-23</v>
      </c>
      <c r="AH35" s="665">
        <v>8.2711999999999993E-9</v>
      </c>
      <c r="AI35">
        <v>7.8522999999999996E-2</v>
      </c>
      <c r="AJ35">
        <v>9.6351E-4</v>
      </c>
    </row>
    <row r="36" spans="1:36" x14ac:dyDescent="0.25">
      <c r="A36" t="s">
        <v>260</v>
      </c>
      <c r="B36">
        <v>0.56689999999999996</v>
      </c>
      <c r="C36">
        <v>0.42775999999999997</v>
      </c>
      <c r="D36">
        <v>-1.0062E-2</v>
      </c>
      <c r="E36" s="668">
        <v>0.64493999999999996</v>
      </c>
      <c r="F36">
        <v>0.44434000000000001</v>
      </c>
      <c r="G36" s="668">
        <v>0.85231999999999997</v>
      </c>
      <c r="H36">
        <v>-0.19892000000000001</v>
      </c>
      <c r="I36">
        <v>0.47665999999999997</v>
      </c>
      <c r="J36">
        <v>0.26267000000000001</v>
      </c>
      <c r="K36">
        <v>-0.41900999999999999</v>
      </c>
      <c r="L36">
        <v>-5.1889999999999999E-2</v>
      </c>
      <c r="M36" s="668">
        <v>0.65178999999999998</v>
      </c>
      <c r="N36">
        <v>-0.31724000000000002</v>
      </c>
      <c r="O36">
        <v>0.23524</v>
      </c>
      <c r="P36">
        <v>0.46128000000000002</v>
      </c>
      <c r="Q36">
        <v>-0.54734000000000005</v>
      </c>
      <c r="R36">
        <v>-0.55152999999999996</v>
      </c>
      <c r="S36">
        <v>-0.78920000000000001</v>
      </c>
      <c r="T36">
        <v>0.68284</v>
      </c>
      <c r="U36">
        <v>-0.97421000000000002</v>
      </c>
      <c r="V36">
        <v>-0.15859000000000001</v>
      </c>
      <c r="W36">
        <v>0.69908999999999999</v>
      </c>
      <c r="X36">
        <v>0.67152000000000001</v>
      </c>
      <c r="Y36">
        <v>0.69188000000000005</v>
      </c>
      <c r="Z36">
        <v>3.5027000000000003E-2</v>
      </c>
      <c r="AA36">
        <v>0.70004999999999995</v>
      </c>
      <c r="AB36">
        <v>0.90834000000000004</v>
      </c>
      <c r="AC36">
        <v>0.69355999999999995</v>
      </c>
      <c r="AD36">
        <v>0.90580000000000005</v>
      </c>
      <c r="AE36">
        <v>0.98031000000000001</v>
      </c>
      <c r="AF36">
        <v>0.99878</v>
      </c>
      <c r="AH36" s="665">
        <v>2.0814999999999999E-9</v>
      </c>
      <c r="AI36">
        <v>8.2235000000000003E-2</v>
      </c>
      <c r="AJ36">
        <v>1.7191999999999999E-3</v>
      </c>
    </row>
    <row r="37" spans="1:36" x14ac:dyDescent="0.25">
      <c r="A37" t="s">
        <v>261</v>
      </c>
      <c r="B37" s="668">
        <v>0.65758000000000005</v>
      </c>
      <c r="C37">
        <v>0.46882000000000001</v>
      </c>
      <c r="D37">
        <v>-0.17191999999999999</v>
      </c>
      <c r="E37" s="668">
        <v>0.74258000000000002</v>
      </c>
      <c r="F37">
        <v>0.55115999999999998</v>
      </c>
      <c r="G37" s="668">
        <v>0.89051999999999998</v>
      </c>
      <c r="H37">
        <v>-0.38449</v>
      </c>
      <c r="I37">
        <v>0.54849999999999999</v>
      </c>
      <c r="J37">
        <v>0.30080000000000001</v>
      </c>
      <c r="K37">
        <v>-0.55742999999999998</v>
      </c>
      <c r="L37">
        <v>-0.23283000000000001</v>
      </c>
      <c r="M37" s="668">
        <v>0.73250000000000004</v>
      </c>
      <c r="N37">
        <v>-0.39518999999999999</v>
      </c>
      <c r="O37">
        <v>0.15708</v>
      </c>
      <c r="P37">
        <v>0.54269000000000001</v>
      </c>
      <c r="Q37">
        <v>-0.27057999999999999</v>
      </c>
      <c r="R37">
        <v>-0.27660000000000001</v>
      </c>
      <c r="S37">
        <v>-0.54990000000000006</v>
      </c>
      <c r="T37">
        <v>0.41858000000000001</v>
      </c>
      <c r="U37">
        <v>-0.87936000000000003</v>
      </c>
      <c r="V37">
        <v>-0.36609000000000003</v>
      </c>
      <c r="W37">
        <v>0.78461999999999998</v>
      </c>
      <c r="X37">
        <v>0.40736</v>
      </c>
      <c r="Y37">
        <v>0.41636000000000001</v>
      </c>
      <c r="Z37">
        <v>-8.2388000000000003E-2</v>
      </c>
      <c r="AA37">
        <v>0.43174000000000001</v>
      </c>
      <c r="AB37">
        <v>0.71660000000000001</v>
      </c>
      <c r="AC37">
        <v>0.41849999999999998</v>
      </c>
      <c r="AD37">
        <v>0.71228999999999998</v>
      </c>
      <c r="AE37">
        <v>0.90739000000000003</v>
      </c>
      <c r="AF37">
        <v>0.93003000000000002</v>
      </c>
      <c r="AG37">
        <v>0.94077</v>
      </c>
      <c r="AI37">
        <v>0.21514</v>
      </c>
      <c r="AJ37">
        <v>0.10577</v>
      </c>
    </row>
    <row r="38" spans="1:36" x14ac:dyDescent="0.25">
      <c r="A38" t="s">
        <v>264</v>
      </c>
      <c r="B38">
        <v>9.8558000000000007E-2</v>
      </c>
      <c r="C38">
        <v>0.37333</v>
      </c>
      <c r="D38">
        <v>0.11463</v>
      </c>
      <c r="E38">
        <v>0.18704000000000001</v>
      </c>
      <c r="F38">
        <v>-0.10972999999999999</v>
      </c>
      <c r="G38">
        <v>0.29458000000000001</v>
      </c>
      <c r="H38">
        <v>2.5895999999999999E-2</v>
      </c>
      <c r="I38">
        <v>0.15645999999999999</v>
      </c>
      <c r="J38">
        <v>0.15423999999999999</v>
      </c>
      <c r="K38">
        <v>-6.4882999999999996E-2</v>
      </c>
      <c r="L38">
        <v>8.7211999999999998E-2</v>
      </c>
      <c r="M38">
        <v>-6.5039E-2</v>
      </c>
      <c r="N38">
        <v>-0.21032999999999999</v>
      </c>
      <c r="O38">
        <v>0.12247</v>
      </c>
      <c r="P38">
        <v>0.11591</v>
      </c>
      <c r="Q38">
        <v>-0.52161000000000002</v>
      </c>
      <c r="R38">
        <v>-0.52093999999999996</v>
      </c>
      <c r="S38">
        <v>-0.51551999999999998</v>
      </c>
      <c r="T38">
        <v>0.54644999999999999</v>
      </c>
      <c r="U38">
        <v>-0.47766999999999998</v>
      </c>
      <c r="V38">
        <v>0.1017</v>
      </c>
      <c r="W38">
        <v>9.9897E-2</v>
      </c>
      <c r="X38">
        <v>0.72597</v>
      </c>
      <c r="Y38">
        <v>0.61763000000000001</v>
      </c>
      <c r="Z38">
        <v>0.20921000000000001</v>
      </c>
      <c r="AA38">
        <v>0.65859000000000001</v>
      </c>
      <c r="AB38">
        <v>0.47</v>
      </c>
      <c r="AC38">
        <v>0.61763999999999997</v>
      </c>
      <c r="AD38">
        <v>0.46953</v>
      </c>
      <c r="AE38">
        <v>0.40210000000000001</v>
      </c>
      <c r="AF38">
        <v>0.41339999999999999</v>
      </c>
      <c r="AG38">
        <v>0.40881000000000001</v>
      </c>
      <c r="AH38">
        <v>0.29809000000000002</v>
      </c>
      <c r="AJ38">
        <v>5.6932999999999997E-2</v>
      </c>
    </row>
    <row r="39" spans="1:36" x14ac:dyDescent="0.25">
      <c r="A39" t="s">
        <v>262</v>
      </c>
      <c r="B39">
        <v>5.9563999999999999E-2</v>
      </c>
      <c r="C39">
        <v>0.15659000000000001</v>
      </c>
      <c r="D39">
        <v>0.42974000000000001</v>
      </c>
      <c r="E39">
        <v>8.4976999999999997E-2</v>
      </c>
      <c r="F39">
        <v>-8.5199000000000004E-3</v>
      </c>
      <c r="G39">
        <v>0.35022999999999999</v>
      </c>
      <c r="H39">
        <v>0.27765000000000001</v>
      </c>
      <c r="I39">
        <v>8.7847999999999996E-2</v>
      </c>
      <c r="J39">
        <v>0.16037999999999999</v>
      </c>
      <c r="K39">
        <v>4.0404000000000002E-2</v>
      </c>
      <c r="L39">
        <v>0.33134000000000002</v>
      </c>
      <c r="M39">
        <v>0.16397</v>
      </c>
      <c r="N39">
        <v>-3.2988999999999997E-2</v>
      </c>
      <c r="O39">
        <v>0.37787999999999999</v>
      </c>
      <c r="P39">
        <v>0.14860000000000001</v>
      </c>
      <c r="Q39">
        <v>-0.93713999999999997</v>
      </c>
      <c r="R39">
        <v>-0.93589</v>
      </c>
      <c r="S39">
        <v>-0.96225000000000005</v>
      </c>
      <c r="T39">
        <v>0.96989000000000003</v>
      </c>
      <c r="U39">
        <v>-0.74324000000000001</v>
      </c>
      <c r="V39">
        <v>0.45852999999999999</v>
      </c>
      <c r="W39">
        <v>0.13245999999999999</v>
      </c>
      <c r="X39">
        <v>0.93493999999999999</v>
      </c>
      <c r="Y39">
        <v>0.97724999999999995</v>
      </c>
      <c r="Z39">
        <v>0.21557000000000001</v>
      </c>
      <c r="AA39">
        <v>0.96421000000000001</v>
      </c>
      <c r="AB39">
        <v>0.91791</v>
      </c>
      <c r="AC39">
        <v>0.97724</v>
      </c>
      <c r="AD39">
        <v>0.92035999999999996</v>
      </c>
      <c r="AE39">
        <v>0.69421999999999995</v>
      </c>
      <c r="AF39">
        <v>0.69472</v>
      </c>
      <c r="AG39">
        <v>0.66942999999999997</v>
      </c>
      <c r="AH39">
        <v>0.38277</v>
      </c>
      <c r="AI39">
        <v>0.44389000000000001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E3BE9-7F1C-4B6E-9B8A-4C17158BF119}">
  <dimension ref="A1:AJ35"/>
  <sheetViews>
    <sheetView zoomScale="80" zoomScaleNormal="80" workbookViewId="0">
      <pane xSplit="1" topLeftCell="G1" activePane="topRight" state="frozen"/>
      <selection pane="topRight" activeCell="J34" sqref="J34"/>
    </sheetView>
  </sheetViews>
  <sheetFormatPr defaultRowHeight="15" x14ac:dyDescent="0.25"/>
  <sheetData>
    <row r="1" spans="1:36" x14ac:dyDescent="0.25">
      <c r="B1" t="s">
        <v>146</v>
      </c>
      <c r="C1" t="s">
        <v>147</v>
      </c>
      <c r="D1" t="s">
        <v>148</v>
      </c>
      <c r="E1" t="s">
        <v>149</v>
      </c>
      <c r="F1" t="s">
        <v>209</v>
      </c>
      <c r="G1" t="s">
        <v>196</v>
      </c>
      <c r="H1" t="s">
        <v>197</v>
      </c>
      <c r="I1" t="s">
        <v>198</v>
      </c>
      <c r="J1" t="s">
        <v>203</v>
      </c>
      <c r="K1" t="s">
        <v>204</v>
      </c>
      <c r="L1" t="s">
        <v>205</v>
      </c>
      <c r="M1" t="s">
        <v>206</v>
      </c>
      <c r="N1" t="s">
        <v>207</v>
      </c>
      <c r="O1" t="s">
        <v>208</v>
      </c>
      <c r="P1" t="s">
        <v>221</v>
      </c>
      <c r="Q1" t="s">
        <v>250</v>
      </c>
      <c r="R1" t="s">
        <v>251</v>
      </c>
      <c r="S1" t="s">
        <v>213</v>
      </c>
      <c r="T1" t="s">
        <v>214</v>
      </c>
      <c r="U1" t="s">
        <v>215</v>
      </c>
      <c r="V1" t="s">
        <v>216</v>
      </c>
      <c r="W1" t="s">
        <v>217</v>
      </c>
      <c r="X1" t="s">
        <v>252</v>
      </c>
      <c r="Y1" t="s">
        <v>263</v>
      </c>
      <c r="Z1" t="s">
        <v>253</v>
      </c>
      <c r="AA1" t="s">
        <v>254</v>
      </c>
      <c r="AB1" t="s">
        <v>255</v>
      </c>
      <c r="AC1" t="s">
        <v>256</v>
      </c>
      <c r="AD1" t="s">
        <v>257</v>
      </c>
      <c r="AE1" t="s">
        <v>258</v>
      </c>
      <c r="AF1" t="s">
        <v>259</v>
      </c>
      <c r="AG1" t="s">
        <v>260</v>
      </c>
      <c r="AH1" t="s">
        <v>261</v>
      </c>
      <c r="AI1" t="s">
        <v>264</v>
      </c>
      <c r="AJ1" t="s">
        <v>262</v>
      </c>
    </row>
    <row r="2" spans="1:36" x14ac:dyDescent="0.25">
      <c r="A2" t="s">
        <v>146</v>
      </c>
      <c r="C2">
        <v>0.11192000000000001</v>
      </c>
      <c r="D2">
        <v>3.1310999999999999E-2</v>
      </c>
      <c r="E2" s="666">
        <v>8.7860000000000001E-13</v>
      </c>
      <c r="F2" s="589">
        <v>1.9143000000000001E-3</v>
      </c>
      <c r="G2" s="666">
        <v>4.3077000000000001E-5</v>
      </c>
      <c r="H2" s="589">
        <v>1.2413000000000001E-3</v>
      </c>
      <c r="I2">
        <v>5.1921000000000002E-2</v>
      </c>
      <c r="J2">
        <v>0.79508999999999996</v>
      </c>
      <c r="K2">
        <v>1.0737E-2</v>
      </c>
      <c r="L2" s="589">
        <v>7.1580000000000003E-3</v>
      </c>
      <c r="M2" s="589">
        <v>1.0311000000000001E-3</v>
      </c>
      <c r="N2">
        <v>6.6239999999999993E-2</v>
      </c>
      <c r="O2">
        <v>6.9616999999999998E-2</v>
      </c>
      <c r="P2">
        <v>0.29824000000000001</v>
      </c>
      <c r="Q2">
        <v>0.63404000000000005</v>
      </c>
      <c r="R2">
        <v>0.64897000000000005</v>
      </c>
      <c r="S2">
        <v>0.47697000000000001</v>
      </c>
      <c r="T2">
        <v>0.94889000000000001</v>
      </c>
      <c r="U2">
        <v>2.5184999999999999E-2</v>
      </c>
      <c r="V2" s="589">
        <v>6.9902999999999996E-3</v>
      </c>
      <c r="W2" s="589">
        <v>1.1545E-4</v>
      </c>
      <c r="X2">
        <v>0.72946999999999995</v>
      </c>
      <c r="Y2">
        <v>0.71170999999999995</v>
      </c>
      <c r="Z2">
        <v>0.54156000000000004</v>
      </c>
      <c r="AA2">
        <v>0.67698000000000003</v>
      </c>
      <c r="AB2">
        <v>0.17591999999999999</v>
      </c>
      <c r="AC2">
        <v>0.70709</v>
      </c>
      <c r="AD2">
        <v>0.18153</v>
      </c>
      <c r="AE2">
        <v>3.0351E-2</v>
      </c>
      <c r="AF2">
        <v>2.1869E-2</v>
      </c>
      <c r="AG2">
        <v>1.4156999999999999E-2</v>
      </c>
      <c r="AH2" s="589">
        <v>3.0182E-3</v>
      </c>
      <c r="AI2">
        <v>0.69721999999999995</v>
      </c>
      <c r="AJ2">
        <v>0.81437999999999999</v>
      </c>
    </row>
    <row r="3" spans="1:36" x14ac:dyDescent="0.25">
      <c r="A3" t="s">
        <v>147</v>
      </c>
      <c r="D3">
        <v>0.67132999999999998</v>
      </c>
      <c r="E3">
        <v>6.3753000000000004E-2</v>
      </c>
      <c r="F3">
        <v>4.8328000000000003E-2</v>
      </c>
      <c r="G3">
        <v>0.17691999999999999</v>
      </c>
      <c r="H3">
        <v>3.0644999999999999E-2</v>
      </c>
      <c r="I3">
        <v>2.3574999999999999E-2</v>
      </c>
      <c r="J3">
        <v>0.25691999999999998</v>
      </c>
      <c r="K3">
        <v>1.3167999999999999E-2</v>
      </c>
      <c r="L3">
        <v>4.6824999999999999E-2</v>
      </c>
      <c r="M3">
        <v>0.93150999999999995</v>
      </c>
      <c r="N3">
        <v>0.21584</v>
      </c>
      <c r="O3">
        <v>0.76934000000000002</v>
      </c>
      <c r="P3">
        <v>2.1176E-2</v>
      </c>
      <c r="Q3">
        <v>0.58933000000000002</v>
      </c>
      <c r="R3">
        <v>0.57709999999999995</v>
      </c>
      <c r="S3">
        <v>0.31285000000000002</v>
      </c>
      <c r="T3">
        <v>0.47660999999999998</v>
      </c>
      <c r="U3">
        <v>5.0512000000000001E-2</v>
      </c>
      <c r="V3">
        <v>0.60165000000000002</v>
      </c>
      <c r="W3">
        <v>0.15928999999999999</v>
      </c>
      <c r="X3">
        <v>0.31380999999999998</v>
      </c>
      <c r="Y3">
        <v>0.37384000000000001</v>
      </c>
      <c r="Z3">
        <v>7.0280999999999996E-2</v>
      </c>
      <c r="AA3">
        <v>0.33055000000000001</v>
      </c>
      <c r="AB3">
        <v>0.19880999999999999</v>
      </c>
      <c r="AC3">
        <v>0.37141000000000002</v>
      </c>
      <c r="AD3">
        <v>0.20243</v>
      </c>
      <c r="AE3">
        <v>0.10052999999999999</v>
      </c>
      <c r="AF3">
        <v>8.3505999999999997E-2</v>
      </c>
      <c r="AG3">
        <v>7.6594999999999996E-2</v>
      </c>
      <c r="AH3">
        <v>4.9699E-2</v>
      </c>
      <c r="AI3">
        <v>0.12701999999999999</v>
      </c>
      <c r="AJ3">
        <v>0.53491</v>
      </c>
    </row>
    <row r="4" spans="1:36" x14ac:dyDescent="0.25">
      <c r="A4" t="s">
        <v>148</v>
      </c>
      <c r="E4">
        <v>3.9328000000000002E-2</v>
      </c>
      <c r="F4">
        <v>7.6086000000000001E-2</v>
      </c>
      <c r="G4">
        <v>0.12531</v>
      </c>
      <c r="H4">
        <v>0.26050000000000001</v>
      </c>
      <c r="I4">
        <v>0.89841000000000004</v>
      </c>
      <c r="J4">
        <v>0.39023999999999998</v>
      </c>
      <c r="K4">
        <v>0.43385000000000001</v>
      </c>
      <c r="L4">
        <v>0.29598000000000002</v>
      </c>
      <c r="M4">
        <v>0.14938000000000001</v>
      </c>
      <c r="N4">
        <v>0.51298999999999995</v>
      </c>
      <c r="O4" s="666">
        <v>9.7413999999999999E-5</v>
      </c>
      <c r="P4">
        <v>0.96194999999999997</v>
      </c>
      <c r="Q4">
        <v>2.6190999999999999E-2</v>
      </c>
      <c r="R4">
        <v>2.6859999999999998E-2</v>
      </c>
      <c r="S4">
        <v>0.16800000000000001</v>
      </c>
      <c r="T4">
        <v>5.6529999999999997E-2</v>
      </c>
      <c r="U4">
        <v>0.96414</v>
      </c>
      <c r="V4" s="589">
        <v>5.3808999999999997E-4</v>
      </c>
      <c r="W4">
        <v>1.9598999999999998E-2</v>
      </c>
      <c r="X4">
        <v>0.14860999999999999</v>
      </c>
      <c r="Y4">
        <v>0.11402</v>
      </c>
      <c r="Z4">
        <v>0.57186000000000003</v>
      </c>
      <c r="AA4">
        <v>0.12963</v>
      </c>
      <c r="AB4">
        <v>0.32930999999999999</v>
      </c>
      <c r="AC4">
        <v>0.1145</v>
      </c>
      <c r="AD4">
        <v>0.32355</v>
      </c>
      <c r="AE4">
        <v>0.871</v>
      </c>
      <c r="AF4">
        <v>0.92064000000000001</v>
      </c>
      <c r="AG4">
        <v>0.96838999999999997</v>
      </c>
      <c r="AH4">
        <v>0.49514999999999998</v>
      </c>
      <c r="AI4">
        <v>0.65059999999999996</v>
      </c>
      <c r="AJ4">
        <v>7.5094999999999995E-2</v>
      </c>
    </row>
    <row r="5" spans="1:36" x14ac:dyDescent="0.25">
      <c r="A5" t="s">
        <v>149</v>
      </c>
      <c r="F5" s="589">
        <v>2.8211999999999998E-3</v>
      </c>
      <c r="G5" s="666">
        <v>3.4866000000000002E-6</v>
      </c>
      <c r="H5" s="589">
        <v>1.6558E-3</v>
      </c>
      <c r="I5">
        <v>2.8847000000000001E-2</v>
      </c>
      <c r="J5">
        <v>0.61604999999999999</v>
      </c>
      <c r="K5">
        <v>1.188E-2</v>
      </c>
      <c r="L5" s="589">
        <v>8.5617000000000002E-3</v>
      </c>
      <c r="M5" s="589">
        <v>1.6883E-3</v>
      </c>
      <c r="N5">
        <v>5.9649000000000001E-2</v>
      </c>
      <c r="O5">
        <v>0.10952000000000001</v>
      </c>
      <c r="P5">
        <v>0.14688000000000001</v>
      </c>
      <c r="Q5">
        <v>0.77498999999999996</v>
      </c>
      <c r="R5">
        <v>0.79298999999999997</v>
      </c>
      <c r="S5">
        <v>0.33007999999999998</v>
      </c>
      <c r="T5">
        <v>0.76354999999999995</v>
      </c>
      <c r="U5" s="589">
        <v>7.0584000000000003E-3</v>
      </c>
      <c r="V5" s="589">
        <v>8.0236999999999999E-3</v>
      </c>
      <c r="W5" s="666">
        <v>3.8303999999999998E-6</v>
      </c>
      <c r="X5">
        <v>0.55164000000000002</v>
      </c>
      <c r="Y5">
        <v>0.57443</v>
      </c>
      <c r="Z5">
        <v>0.66627999999999998</v>
      </c>
      <c r="AA5">
        <v>0.52390000000000003</v>
      </c>
      <c r="AB5">
        <v>9.8588999999999996E-2</v>
      </c>
      <c r="AC5">
        <v>0.56954000000000005</v>
      </c>
      <c r="AD5">
        <v>0.10281</v>
      </c>
      <c r="AE5" s="589">
        <v>7.8490000000000001E-3</v>
      </c>
      <c r="AF5" s="589">
        <v>5.0670000000000003E-3</v>
      </c>
      <c r="AG5" s="589">
        <v>2.8687999999999999E-3</v>
      </c>
      <c r="AH5" s="589">
        <v>2.7105E-4</v>
      </c>
      <c r="AI5">
        <v>0.44324999999999998</v>
      </c>
      <c r="AJ5">
        <v>0.72943000000000002</v>
      </c>
    </row>
    <row r="6" spans="1:36" x14ac:dyDescent="0.25">
      <c r="A6" t="s">
        <v>209</v>
      </c>
      <c r="G6">
        <v>5.5777E-2</v>
      </c>
      <c r="H6" s="589">
        <v>8.1831999999999998E-4</v>
      </c>
      <c r="I6">
        <v>0.24388000000000001</v>
      </c>
      <c r="J6">
        <v>0.69169999999999998</v>
      </c>
      <c r="K6" s="666">
        <v>8.0103000000000002E-5</v>
      </c>
      <c r="L6" s="589">
        <v>4.3373999999999999E-3</v>
      </c>
      <c r="M6">
        <v>1.5834999999999998E-2</v>
      </c>
      <c r="N6">
        <v>3.0251E-2</v>
      </c>
      <c r="O6">
        <v>0.15326999999999999</v>
      </c>
      <c r="P6">
        <v>1.9411999999999999E-2</v>
      </c>
      <c r="Q6">
        <v>0.79500999999999999</v>
      </c>
      <c r="R6">
        <v>0.82499999999999996</v>
      </c>
      <c r="S6">
        <v>0.78303999999999996</v>
      </c>
      <c r="T6">
        <v>0.81091999999999997</v>
      </c>
      <c r="U6">
        <v>7.2411000000000003E-2</v>
      </c>
      <c r="V6">
        <v>8.8340000000000002E-2</v>
      </c>
      <c r="W6" s="589">
        <v>7.5554000000000003E-3</v>
      </c>
      <c r="X6">
        <v>0.80223</v>
      </c>
      <c r="Y6">
        <v>0.93015999999999999</v>
      </c>
      <c r="Z6">
        <v>0.36586999999999997</v>
      </c>
      <c r="AA6">
        <v>0.92864000000000002</v>
      </c>
      <c r="AB6">
        <v>0.32617000000000002</v>
      </c>
      <c r="AC6">
        <v>0.93520999999999999</v>
      </c>
      <c r="AD6">
        <v>0.33332000000000001</v>
      </c>
      <c r="AE6">
        <v>9.1080999999999995E-2</v>
      </c>
      <c r="AF6">
        <v>7.1953000000000003E-2</v>
      </c>
      <c r="AG6">
        <v>5.6651E-2</v>
      </c>
      <c r="AH6">
        <v>1.4448000000000001E-2</v>
      </c>
      <c r="AI6">
        <v>0.65473999999999999</v>
      </c>
      <c r="AJ6">
        <v>0.97238999999999998</v>
      </c>
    </row>
    <row r="7" spans="1:36" x14ac:dyDescent="0.25">
      <c r="A7" t="s">
        <v>196</v>
      </c>
      <c r="H7">
        <v>7.6827000000000006E-2</v>
      </c>
      <c r="I7">
        <v>0.14665</v>
      </c>
      <c r="J7">
        <v>0.40079999999999999</v>
      </c>
      <c r="K7">
        <v>3.7426000000000001E-2</v>
      </c>
      <c r="L7">
        <v>0.25503999999999999</v>
      </c>
      <c r="M7" s="666">
        <v>6.2322000000000004E-5</v>
      </c>
      <c r="N7">
        <v>9.6864000000000006E-2</v>
      </c>
      <c r="O7">
        <v>0.66520000000000001</v>
      </c>
      <c r="P7">
        <v>0.12572</v>
      </c>
      <c r="Q7">
        <v>0.45744000000000001</v>
      </c>
      <c r="R7">
        <v>0.44799</v>
      </c>
      <c r="S7">
        <v>3.3914E-2</v>
      </c>
      <c r="T7">
        <v>0.14402999999999999</v>
      </c>
      <c r="U7" s="666">
        <v>3.1418999999999999E-5</v>
      </c>
      <c r="V7">
        <v>3.0627999999999999E-2</v>
      </c>
      <c r="W7" s="666">
        <v>1.9307999999999998E-6</v>
      </c>
      <c r="X7">
        <v>0.10531</v>
      </c>
      <c r="Y7">
        <v>0.10397000000000001</v>
      </c>
      <c r="Z7">
        <v>0.70174999999999998</v>
      </c>
      <c r="AA7">
        <v>9.0043999999999999E-2</v>
      </c>
      <c r="AB7" s="589">
        <v>3.5766999999999999E-3</v>
      </c>
      <c r="AC7">
        <v>0.10224999999999999</v>
      </c>
      <c r="AD7" s="589">
        <v>3.8563999999999998E-3</v>
      </c>
      <c r="AE7" s="666">
        <v>5.0358999999999997E-5</v>
      </c>
      <c r="AF7" s="666">
        <v>1.5911999999999999E-5</v>
      </c>
      <c r="AG7" s="666">
        <v>7.0810999999999998E-6</v>
      </c>
      <c r="AH7" s="666">
        <v>7.3241999999999999E-7</v>
      </c>
      <c r="AI7">
        <v>0.23538000000000001</v>
      </c>
      <c r="AJ7">
        <v>0.1542</v>
      </c>
    </row>
    <row r="8" spans="1:36" x14ac:dyDescent="0.25">
      <c r="A8" t="s">
        <v>197</v>
      </c>
      <c r="I8">
        <v>0.37947999999999998</v>
      </c>
      <c r="J8">
        <v>0.10668</v>
      </c>
      <c r="K8" s="666">
        <v>1.3956E-6</v>
      </c>
      <c r="L8" s="666">
        <v>1.8823E-9</v>
      </c>
      <c r="M8">
        <v>6.3754000000000005E-2</v>
      </c>
      <c r="N8">
        <v>1.5096999999999999E-2</v>
      </c>
      <c r="O8">
        <v>0.16037999999999999</v>
      </c>
      <c r="P8" s="589">
        <v>6.2437999999999999E-3</v>
      </c>
      <c r="Q8">
        <v>0.19420000000000001</v>
      </c>
      <c r="R8">
        <v>0.20421</v>
      </c>
      <c r="S8">
        <v>0.45637</v>
      </c>
      <c r="T8">
        <v>0.25608999999999998</v>
      </c>
      <c r="U8">
        <v>0.35685</v>
      </c>
      <c r="V8">
        <v>8.3848000000000006E-2</v>
      </c>
      <c r="W8">
        <v>4.1928E-2</v>
      </c>
      <c r="X8">
        <v>0.33307999999999999</v>
      </c>
      <c r="Y8">
        <v>0.33182</v>
      </c>
      <c r="Z8">
        <v>6.2552999999999997E-2</v>
      </c>
      <c r="AA8">
        <v>0.36176000000000003</v>
      </c>
      <c r="AB8">
        <v>0.87802999999999998</v>
      </c>
      <c r="AC8">
        <v>0.33528999999999998</v>
      </c>
      <c r="AD8">
        <v>0.86512999999999995</v>
      </c>
      <c r="AE8">
        <v>0.50834000000000001</v>
      </c>
      <c r="AF8">
        <v>0.48715999999999998</v>
      </c>
      <c r="AG8">
        <v>0.42875000000000002</v>
      </c>
      <c r="AH8">
        <v>0.11516</v>
      </c>
      <c r="AI8">
        <v>0.91876000000000002</v>
      </c>
      <c r="AJ8">
        <v>0.26462999999999998</v>
      </c>
    </row>
    <row r="9" spans="1:36" x14ac:dyDescent="0.25">
      <c r="A9" t="s">
        <v>198</v>
      </c>
      <c r="J9">
        <v>0.51815999999999995</v>
      </c>
      <c r="K9">
        <v>0.51351999999999998</v>
      </c>
      <c r="L9">
        <v>0.51744999999999997</v>
      </c>
      <c r="M9">
        <v>0.33712999999999999</v>
      </c>
      <c r="N9">
        <v>0.45180999999999999</v>
      </c>
      <c r="O9">
        <v>0.39273000000000002</v>
      </c>
      <c r="P9">
        <v>0.41665000000000002</v>
      </c>
      <c r="Q9">
        <v>0.99014999999999997</v>
      </c>
      <c r="R9">
        <v>0.99878</v>
      </c>
      <c r="S9">
        <v>0.35498000000000002</v>
      </c>
      <c r="T9">
        <v>0.60672999999999999</v>
      </c>
      <c r="U9">
        <v>8.8266999999999998E-2</v>
      </c>
      <c r="V9">
        <v>0.22131999999999999</v>
      </c>
      <c r="W9">
        <v>7.7712000000000003E-2</v>
      </c>
      <c r="X9">
        <v>0.58964000000000005</v>
      </c>
      <c r="Y9">
        <v>0.62429000000000001</v>
      </c>
      <c r="Z9">
        <v>0.56016999999999995</v>
      </c>
      <c r="AA9">
        <v>0.58364000000000005</v>
      </c>
      <c r="AB9">
        <v>0.23174</v>
      </c>
      <c r="AC9">
        <v>0.62100999999999995</v>
      </c>
      <c r="AD9">
        <v>0.23718</v>
      </c>
      <c r="AE9">
        <v>7.3789999999999994E-2</v>
      </c>
      <c r="AF9">
        <v>5.4826E-2</v>
      </c>
      <c r="AG9">
        <v>4.5505999999999998E-2</v>
      </c>
      <c r="AH9">
        <v>1.8422000000000001E-2</v>
      </c>
      <c r="AI9">
        <v>0.53527000000000002</v>
      </c>
      <c r="AJ9">
        <v>0.72887999999999997</v>
      </c>
    </row>
    <row r="10" spans="1:36" x14ac:dyDescent="0.25">
      <c r="A10" t="s">
        <v>203</v>
      </c>
      <c r="K10">
        <v>7.9690999999999998E-2</v>
      </c>
      <c r="L10">
        <v>6.2537999999999996E-2</v>
      </c>
      <c r="M10">
        <v>0.47005999999999998</v>
      </c>
      <c r="N10">
        <v>0.22670000000000001</v>
      </c>
      <c r="O10">
        <v>0.38875999999999999</v>
      </c>
      <c r="P10">
        <v>0.15966</v>
      </c>
      <c r="Q10">
        <v>0.44373000000000001</v>
      </c>
      <c r="R10">
        <v>0.43480999999999997</v>
      </c>
      <c r="S10">
        <v>0.47876000000000002</v>
      </c>
      <c r="T10">
        <v>0.43947000000000003</v>
      </c>
      <c r="U10">
        <v>0.22972000000000001</v>
      </c>
      <c r="V10">
        <v>0.21948000000000001</v>
      </c>
      <c r="W10">
        <v>0.97953000000000001</v>
      </c>
      <c r="X10">
        <v>0.58936999999999995</v>
      </c>
      <c r="Y10">
        <v>0.54725999999999997</v>
      </c>
      <c r="Z10">
        <v>0.35679</v>
      </c>
      <c r="AA10">
        <v>0.53785000000000005</v>
      </c>
      <c r="AB10">
        <v>0.33395999999999998</v>
      </c>
      <c r="AC10">
        <v>0.54376999999999998</v>
      </c>
      <c r="AD10">
        <v>0.33704000000000001</v>
      </c>
      <c r="AE10">
        <v>0.29804999999999998</v>
      </c>
      <c r="AF10">
        <v>0.25541999999999998</v>
      </c>
      <c r="AG10">
        <v>0.29232000000000002</v>
      </c>
      <c r="AH10">
        <v>0.22516</v>
      </c>
      <c r="AI10">
        <v>0.54115000000000002</v>
      </c>
      <c r="AJ10">
        <v>0.52495999999999998</v>
      </c>
    </row>
    <row r="11" spans="1:36" x14ac:dyDescent="0.25">
      <c r="A11" t="s">
        <v>204</v>
      </c>
      <c r="L11" s="589">
        <v>3.0532999999999998E-4</v>
      </c>
      <c r="M11">
        <v>2.1558000000000001E-2</v>
      </c>
      <c r="N11" s="589">
        <v>2.5718E-3</v>
      </c>
      <c r="O11">
        <v>0.68423</v>
      </c>
      <c r="P11" s="589">
        <v>1.4189000000000001E-3</v>
      </c>
      <c r="Q11">
        <v>0.78619000000000006</v>
      </c>
      <c r="R11">
        <v>0.81625000000000003</v>
      </c>
      <c r="S11">
        <v>0.92032000000000003</v>
      </c>
      <c r="T11">
        <v>0.80337000000000003</v>
      </c>
      <c r="U11">
        <v>6.5720000000000001E-2</v>
      </c>
      <c r="V11">
        <v>0.13242999999999999</v>
      </c>
      <c r="W11">
        <v>2.9198999999999999E-2</v>
      </c>
      <c r="X11">
        <v>0.90608999999999995</v>
      </c>
      <c r="Y11">
        <v>0.95842000000000005</v>
      </c>
      <c r="Z11">
        <v>0.12817000000000001</v>
      </c>
      <c r="AA11">
        <v>0.99133000000000004</v>
      </c>
      <c r="AB11">
        <v>0.39097999999999999</v>
      </c>
      <c r="AC11">
        <v>0.96431</v>
      </c>
      <c r="AD11">
        <v>0.39978000000000002</v>
      </c>
      <c r="AE11">
        <v>0.11432</v>
      </c>
      <c r="AF11">
        <v>9.7730999999999998E-2</v>
      </c>
      <c r="AG11">
        <v>8.3493999999999999E-2</v>
      </c>
      <c r="AH11">
        <v>1.6241999999999999E-2</v>
      </c>
      <c r="AI11">
        <v>0.79812000000000005</v>
      </c>
      <c r="AJ11">
        <v>0.87353000000000003</v>
      </c>
    </row>
    <row r="12" spans="1:36" x14ac:dyDescent="0.25">
      <c r="A12" t="s">
        <v>205</v>
      </c>
      <c r="M12">
        <v>0.28134999999999999</v>
      </c>
      <c r="N12">
        <v>1.6337000000000001E-2</v>
      </c>
      <c r="O12">
        <v>6.6101999999999994E-2</v>
      </c>
      <c r="P12" s="589">
        <v>8.6835000000000002E-3</v>
      </c>
      <c r="Q12">
        <v>0.22481999999999999</v>
      </c>
      <c r="R12">
        <v>0.23444000000000001</v>
      </c>
      <c r="S12">
        <v>0.38632</v>
      </c>
      <c r="T12">
        <v>0.23830999999999999</v>
      </c>
      <c r="U12">
        <v>0.64227000000000001</v>
      </c>
      <c r="V12">
        <v>0.39040999999999998</v>
      </c>
      <c r="W12">
        <v>0.20143</v>
      </c>
      <c r="X12">
        <v>0.19894999999999999</v>
      </c>
      <c r="Y12">
        <v>0.19871</v>
      </c>
      <c r="Z12">
        <v>7.7189999999999995E-2</v>
      </c>
      <c r="AA12">
        <v>0.21535000000000001</v>
      </c>
      <c r="AB12">
        <v>0.54727000000000003</v>
      </c>
      <c r="AC12">
        <v>0.20086000000000001</v>
      </c>
      <c r="AD12">
        <v>0.53761999999999999</v>
      </c>
      <c r="AE12">
        <v>0.90981999999999996</v>
      </c>
      <c r="AF12">
        <v>0.89114000000000004</v>
      </c>
      <c r="AG12">
        <v>0.83797999999999995</v>
      </c>
      <c r="AH12">
        <v>0.35249000000000003</v>
      </c>
      <c r="AI12">
        <v>0.73077000000000003</v>
      </c>
      <c r="AJ12">
        <v>0.17923</v>
      </c>
    </row>
    <row r="13" spans="1:36" x14ac:dyDescent="0.25">
      <c r="A13" t="s">
        <v>206</v>
      </c>
      <c r="N13">
        <v>0.12156</v>
      </c>
      <c r="O13">
        <v>0.97038999999999997</v>
      </c>
      <c r="P13">
        <v>0.30568000000000001</v>
      </c>
      <c r="Q13">
        <v>0.86953000000000003</v>
      </c>
      <c r="R13">
        <v>0.88344</v>
      </c>
      <c r="S13">
        <v>0.33373999999999998</v>
      </c>
      <c r="T13">
        <v>0.67478000000000005</v>
      </c>
      <c r="U13" s="589">
        <v>7.1964000000000004E-3</v>
      </c>
      <c r="V13">
        <v>1.4571000000000001E-2</v>
      </c>
      <c r="W13" s="589">
        <v>4.5436000000000001E-4</v>
      </c>
      <c r="X13">
        <v>0.69159999999999999</v>
      </c>
      <c r="Y13">
        <v>0.55847999999999998</v>
      </c>
      <c r="Z13">
        <v>1.0109999999999999E-2</v>
      </c>
      <c r="AA13">
        <v>0.56230999999999998</v>
      </c>
      <c r="AB13">
        <v>6.4450999999999994E-2</v>
      </c>
      <c r="AC13">
        <v>0.55357999999999996</v>
      </c>
      <c r="AD13">
        <v>6.6972000000000004E-2</v>
      </c>
      <c r="AE13" s="589">
        <v>8.1545000000000003E-3</v>
      </c>
      <c r="AF13" s="589">
        <v>4.5687000000000002E-3</v>
      </c>
      <c r="AG13" s="589">
        <v>3.3801999999999999E-3</v>
      </c>
      <c r="AH13" s="589">
        <v>5.4609999999999999E-4</v>
      </c>
      <c r="AI13">
        <v>0.79764000000000002</v>
      </c>
      <c r="AJ13">
        <v>0.51558999999999999</v>
      </c>
    </row>
    <row r="14" spans="1:36" x14ac:dyDescent="0.25">
      <c r="A14" t="s">
        <v>207</v>
      </c>
      <c r="O14">
        <v>0.94357000000000002</v>
      </c>
      <c r="P14">
        <v>1.8879E-2</v>
      </c>
      <c r="Q14">
        <v>0.69781000000000004</v>
      </c>
      <c r="R14">
        <v>0.66837999999999997</v>
      </c>
      <c r="S14">
        <v>0.67196</v>
      </c>
      <c r="T14">
        <v>0.76507000000000003</v>
      </c>
      <c r="U14">
        <v>9.8621E-2</v>
      </c>
      <c r="V14">
        <v>0.48748999999999998</v>
      </c>
      <c r="W14">
        <v>0.1704</v>
      </c>
      <c r="X14">
        <v>0.74480999999999997</v>
      </c>
      <c r="Y14">
        <v>0.77766999999999997</v>
      </c>
      <c r="Z14">
        <v>0.26315</v>
      </c>
      <c r="AA14">
        <v>0.73150000000000004</v>
      </c>
      <c r="AB14">
        <v>0.43922</v>
      </c>
      <c r="AC14">
        <v>0.77339000000000002</v>
      </c>
      <c r="AD14">
        <v>0.44785999999999998</v>
      </c>
      <c r="AE14">
        <v>0.16983999999999999</v>
      </c>
      <c r="AF14">
        <v>0.20834</v>
      </c>
      <c r="AG14">
        <v>0.19957</v>
      </c>
      <c r="AH14">
        <v>0.10455</v>
      </c>
      <c r="AI14">
        <v>0.4022</v>
      </c>
      <c r="AJ14">
        <v>0.89661000000000002</v>
      </c>
    </row>
    <row r="15" spans="1:36" x14ac:dyDescent="0.25">
      <c r="A15" t="s">
        <v>208</v>
      </c>
      <c r="P15">
        <v>0.90903999999999996</v>
      </c>
      <c r="Q15">
        <v>0.10755000000000001</v>
      </c>
      <c r="R15">
        <v>0.10685</v>
      </c>
      <c r="S15">
        <v>0.20494999999999999</v>
      </c>
      <c r="T15">
        <v>0.10872999999999999</v>
      </c>
      <c r="U15">
        <v>0.42986999999999997</v>
      </c>
      <c r="V15">
        <v>0.12801999999999999</v>
      </c>
      <c r="W15">
        <v>0.30861</v>
      </c>
      <c r="X15">
        <v>0.18526999999999999</v>
      </c>
      <c r="Y15">
        <v>0.14984</v>
      </c>
      <c r="Z15">
        <v>0.46267000000000003</v>
      </c>
      <c r="AA15">
        <v>0.15751000000000001</v>
      </c>
      <c r="AB15">
        <v>0.15662999999999999</v>
      </c>
      <c r="AC15">
        <v>0.14928</v>
      </c>
      <c r="AD15">
        <v>0.15611</v>
      </c>
      <c r="AE15">
        <v>0.27703</v>
      </c>
      <c r="AF15">
        <v>0.28954999999999997</v>
      </c>
      <c r="AG15">
        <v>0.34738999999999998</v>
      </c>
      <c r="AH15">
        <v>0.53363000000000005</v>
      </c>
      <c r="AI15">
        <v>0.62829999999999997</v>
      </c>
      <c r="AJ15">
        <v>0.12207999999999999</v>
      </c>
    </row>
    <row r="16" spans="1:36" x14ac:dyDescent="0.25">
      <c r="A16" t="s">
        <v>221</v>
      </c>
      <c r="Q16">
        <v>0.48936000000000002</v>
      </c>
      <c r="R16">
        <v>0.4733</v>
      </c>
      <c r="S16">
        <v>0.38901999999999998</v>
      </c>
      <c r="T16">
        <v>0.50936000000000003</v>
      </c>
      <c r="U16">
        <v>2.2964999999999999E-2</v>
      </c>
      <c r="V16">
        <v>0.9093</v>
      </c>
      <c r="W16">
        <v>4.3628E-2</v>
      </c>
      <c r="X16">
        <v>0.51671</v>
      </c>
      <c r="Y16">
        <v>0.49176999999999998</v>
      </c>
      <c r="Z16">
        <v>0.14865999999999999</v>
      </c>
      <c r="AA16">
        <v>0.46067000000000002</v>
      </c>
      <c r="AB16">
        <v>0.14843999999999999</v>
      </c>
      <c r="AC16">
        <v>0.48742999999999997</v>
      </c>
      <c r="AD16">
        <v>0.15307000000000001</v>
      </c>
      <c r="AE16">
        <v>5.4355000000000001E-2</v>
      </c>
      <c r="AF16">
        <v>4.2783000000000002E-2</v>
      </c>
      <c r="AG16">
        <v>4.6823999999999998E-2</v>
      </c>
      <c r="AH16">
        <v>1.6358999999999999E-2</v>
      </c>
      <c r="AI16">
        <v>0.63654999999999995</v>
      </c>
      <c r="AJ16">
        <v>0.54374</v>
      </c>
    </row>
    <row r="17" spans="1:36" x14ac:dyDescent="0.25">
      <c r="A17" s="649"/>
      <c r="B17" s="649"/>
      <c r="C17" s="649"/>
      <c r="D17" s="649"/>
      <c r="E17" s="649"/>
      <c r="F17" s="649"/>
      <c r="G17" s="649"/>
      <c r="H17" s="649"/>
      <c r="I17" s="649"/>
      <c r="J17" s="649"/>
      <c r="K17" s="649"/>
      <c r="L17" s="649"/>
      <c r="M17" s="649"/>
      <c r="N17" s="649"/>
      <c r="O17" s="649"/>
      <c r="P17" s="649"/>
      <c r="Q17" s="649"/>
      <c r="R17" s="667"/>
      <c r="S17" s="667"/>
      <c r="T17" s="667"/>
      <c r="U17" s="649"/>
      <c r="V17" s="649"/>
      <c r="W17" s="649"/>
      <c r="X17" s="667"/>
      <c r="Y17" s="667"/>
      <c r="Z17" s="649"/>
      <c r="AA17" s="667"/>
      <c r="AB17" s="667"/>
      <c r="AC17" s="667"/>
      <c r="AD17" s="667"/>
      <c r="AE17" s="649"/>
      <c r="AF17" s="649"/>
      <c r="AG17" s="649"/>
      <c r="AH17" s="649"/>
      <c r="AI17" s="649"/>
      <c r="AJ17" s="667"/>
    </row>
    <row r="18" spans="1:36" x14ac:dyDescent="0.25">
      <c r="A18" s="649"/>
      <c r="B18" s="649"/>
      <c r="C18" s="649"/>
      <c r="D18" s="649"/>
      <c r="E18" s="649"/>
      <c r="F18" s="649"/>
      <c r="G18" s="649"/>
      <c r="H18" s="649"/>
      <c r="I18" s="649"/>
      <c r="J18" s="649"/>
      <c r="K18" s="649"/>
      <c r="L18" s="649"/>
      <c r="M18" s="649"/>
      <c r="N18" s="649"/>
      <c r="O18" s="649"/>
      <c r="P18" s="649"/>
      <c r="Q18" s="649"/>
      <c r="R18" s="649"/>
      <c r="S18" s="667"/>
      <c r="T18" s="667"/>
      <c r="U18" s="649"/>
      <c r="V18" s="649"/>
      <c r="W18" s="649"/>
      <c r="X18" s="667"/>
      <c r="Y18" s="667"/>
      <c r="Z18" s="649"/>
      <c r="AA18" s="667"/>
      <c r="AB18" s="667"/>
      <c r="AC18" s="667"/>
      <c r="AD18" s="667"/>
      <c r="AE18" s="649"/>
      <c r="AF18" s="649"/>
      <c r="AG18" s="649"/>
      <c r="AH18" s="649"/>
      <c r="AI18" s="649"/>
      <c r="AJ18" s="667"/>
    </row>
    <row r="19" spans="1:36" x14ac:dyDescent="0.25">
      <c r="A19" s="649"/>
      <c r="B19" s="649"/>
      <c r="C19" s="649"/>
      <c r="D19" s="649"/>
      <c r="E19" s="649"/>
      <c r="F19" s="649"/>
      <c r="G19" s="649"/>
      <c r="H19" s="649"/>
      <c r="I19" s="649"/>
      <c r="J19" s="649"/>
      <c r="K19" s="649"/>
      <c r="L19" s="649"/>
      <c r="M19" s="649"/>
      <c r="N19" s="649"/>
      <c r="O19" s="649"/>
      <c r="P19" s="649"/>
      <c r="Q19" s="649"/>
      <c r="R19" s="649"/>
      <c r="S19" s="649"/>
      <c r="T19" s="667"/>
      <c r="U19" s="667"/>
      <c r="V19" s="649"/>
      <c r="W19" s="649"/>
      <c r="X19" s="667"/>
      <c r="Y19" s="667"/>
      <c r="Z19" s="649"/>
      <c r="AA19" s="667"/>
      <c r="AB19" s="667"/>
      <c r="AC19" s="667"/>
      <c r="AD19" s="667"/>
      <c r="AE19" s="667"/>
      <c r="AF19" s="667"/>
      <c r="AG19" s="667"/>
      <c r="AH19" s="649"/>
      <c r="AI19" s="649"/>
      <c r="AJ19" s="667"/>
    </row>
    <row r="20" spans="1:36" x14ac:dyDescent="0.25">
      <c r="A20" s="649"/>
      <c r="B20" s="649"/>
      <c r="C20" s="649"/>
      <c r="D20" s="649"/>
      <c r="E20" s="649"/>
      <c r="F20" s="649"/>
      <c r="G20" s="649"/>
      <c r="H20" s="649"/>
      <c r="I20" s="649"/>
      <c r="J20" s="649"/>
      <c r="K20" s="649"/>
      <c r="L20" s="649"/>
      <c r="M20" s="649"/>
      <c r="N20" s="649"/>
      <c r="O20" s="649"/>
      <c r="P20" s="649"/>
      <c r="Q20" s="649"/>
      <c r="R20" s="649"/>
      <c r="S20" s="649"/>
      <c r="T20" s="649"/>
      <c r="U20" s="649"/>
      <c r="V20" s="649"/>
      <c r="W20" s="649"/>
      <c r="X20" s="667"/>
      <c r="Y20" s="667"/>
      <c r="Z20" s="649"/>
      <c r="AA20" s="667"/>
      <c r="AB20" s="667"/>
      <c r="AC20" s="667"/>
      <c r="AD20" s="667"/>
      <c r="AE20" s="649"/>
      <c r="AF20" s="649"/>
      <c r="AG20" s="649"/>
      <c r="AH20" s="649"/>
      <c r="AI20" s="649"/>
      <c r="AJ20" s="667"/>
    </row>
    <row r="21" spans="1:36" x14ac:dyDescent="0.25">
      <c r="A21" s="649"/>
      <c r="B21" s="649"/>
      <c r="C21" s="649"/>
      <c r="D21" s="649"/>
      <c r="E21" s="649"/>
      <c r="F21" s="649"/>
      <c r="G21" s="649"/>
      <c r="H21" s="649"/>
      <c r="I21" s="649"/>
      <c r="J21" s="649"/>
      <c r="K21" s="649"/>
      <c r="L21" s="649"/>
      <c r="M21" s="649"/>
      <c r="N21" s="649"/>
      <c r="O21" s="649"/>
      <c r="P21" s="649"/>
      <c r="Q21" s="649"/>
      <c r="R21" s="649"/>
      <c r="S21" s="649"/>
      <c r="T21" s="649"/>
      <c r="U21" s="649"/>
      <c r="V21" s="649"/>
      <c r="W21" s="649"/>
      <c r="X21" s="649"/>
      <c r="Y21" s="649"/>
      <c r="Z21" s="649"/>
      <c r="AA21" s="667"/>
      <c r="AB21" s="667"/>
      <c r="AC21" s="649"/>
      <c r="AD21" s="667"/>
      <c r="AE21" s="667"/>
      <c r="AF21" s="667"/>
      <c r="AG21" s="667"/>
      <c r="AH21" s="667"/>
      <c r="AI21" s="649"/>
      <c r="AJ21" s="649"/>
    </row>
    <row r="22" spans="1:36" x14ac:dyDescent="0.25">
      <c r="A22" s="649"/>
      <c r="B22" s="649"/>
      <c r="C22" s="649"/>
      <c r="D22" s="649"/>
      <c r="E22" s="649"/>
      <c r="F22" s="649"/>
      <c r="G22" s="649"/>
      <c r="H22" s="649"/>
      <c r="I22" s="649"/>
      <c r="J22" s="649"/>
      <c r="K22" s="649"/>
      <c r="L22" s="649"/>
      <c r="M22" s="649"/>
      <c r="N22" s="649"/>
      <c r="O22" s="649"/>
      <c r="P22" s="649"/>
      <c r="Q22" s="649"/>
      <c r="R22" s="649"/>
      <c r="S22" s="649"/>
      <c r="T22" s="649"/>
      <c r="U22" s="649"/>
      <c r="V22" s="649"/>
      <c r="W22" s="649"/>
      <c r="X22" s="649"/>
      <c r="Y22" s="649"/>
      <c r="Z22" s="649"/>
      <c r="AA22" s="649"/>
      <c r="AB22" s="649"/>
      <c r="AC22" s="649"/>
      <c r="AD22" s="649"/>
      <c r="AE22" s="649"/>
      <c r="AF22" s="649"/>
      <c r="AG22" s="649"/>
      <c r="AH22" s="649"/>
      <c r="AI22" s="649"/>
      <c r="AJ22" s="649"/>
    </row>
    <row r="23" spans="1:36" x14ac:dyDescent="0.25">
      <c r="A23" s="649"/>
      <c r="B23" s="649"/>
      <c r="C23" s="649"/>
      <c r="D23" s="649"/>
      <c r="E23" s="649"/>
      <c r="F23" s="649"/>
      <c r="G23" s="649"/>
      <c r="H23" s="649"/>
      <c r="I23" s="649"/>
      <c r="J23" s="649"/>
      <c r="K23" s="649"/>
      <c r="L23" s="649"/>
      <c r="M23" s="649"/>
      <c r="N23" s="649"/>
      <c r="O23" s="649"/>
      <c r="P23" s="649"/>
      <c r="Q23" s="649"/>
      <c r="R23" s="649"/>
      <c r="S23" s="649"/>
      <c r="T23" s="649"/>
      <c r="U23" s="649"/>
      <c r="V23" s="649"/>
      <c r="W23" s="649"/>
      <c r="X23" s="649"/>
      <c r="Y23" s="649"/>
      <c r="Z23" s="649"/>
      <c r="AA23" s="649"/>
      <c r="AB23" s="649"/>
      <c r="AC23" s="649"/>
      <c r="AD23" s="649"/>
      <c r="AE23" s="649"/>
      <c r="AF23" s="649"/>
      <c r="AG23" s="649"/>
      <c r="AH23" s="667"/>
      <c r="AI23" s="649"/>
      <c r="AJ23" s="649"/>
    </row>
    <row r="24" spans="1:36" x14ac:dyDescent="0.25">
      <c r="A24" s="649"/>
      <c r="B24" s="649"/>
      <c r="C24" s="649"/>
      <c r="D24" s="649"/>
      <c r="E24" s="649"/>
      <c r="F24" s="649"/>
      <c r="G24" s="649"/>
      <c r="H24" s="649"/>
      <c r="I24" s="649"/>
      <c r="J24" s="649"/>
      <c r="K24" s="649"/>
      <c r="L24" s="649"/>
      <c r="M24" s="649"/>
      <c r="N24" s="649"/>
      <c r="O24" s="649"/>
      <c r="P24" s="649"/>
      <c r="Q24" s="649"/>
      <c r="R24" s="649"/>
      <c r="S24" s="649"/>
      <c r="T24" s="649"/>
      <c r="U24" s="649"/>
      <c r="V24" s="649"/>
      <c r="W24" s="649"/>
      <c r="X24" s="649"/>
      <c r="Y24" s="667"/>
      <c r="Z24" s="649"/>
      <c r="AA24" s="667"/>
      <c r="AB24" s="667"/>
      <c r="AC24" s="667"/>
      <c r="AD24" s="667"/>
      <c r="AE24" s="649"/>
      <c r="AF24" s="649"/>
      <c r="AG24" s="649"/>
      <c r="AH24" s="649"/>
      <c r="AI24" s="649"/>
      <c r="AJ24" s="667"/>
    </row>
    <row r="25" spans="1:36" x14ac:dyDescent="0.25">
      <c r="A25" s="649"/>
      <c r="B25" s="649"/>
      <c r="C25" s="649"/>
      <c r="D25" s="649"/>
      <c r="E25" s="649"/>
      <c r="F25" s="649"/>
      <c r="G25" s="649"/>
      <c r="H25" s="649"/>
      <c r="I25" s="649"/>
      <c r="J25" s="649"/>
      <c r="K25" s="649"/>
      <c r="L25" s="649"/>
      <c r="M25" s="649"/>
      <c r="N25" s="649"/>
      <c r="O25" s="649"/>
      <c r="P25" s="649"/>
      <c r="Q25" s="649"/>
      <c r="R25" s="649"/>
      <c r="S25" s="649"/>
      <c r="T25" s="649"/>
      <c r="U25" s="649"/>
      <c r="V25" s="649"/>
      <c r="W25" s="649"/>
      <c r="X25" s="649"/>
      <c r="Y25" s="649"/>
      <c r="Z25" s="649"/>
      <c r="AA25" s="667"/>
      <c r="AB25" s="667"/>
      <c r="AC25" s="667"/>
      <c r="AD25" s="667"/>
      <c r="AE25" s="649"/>
      <c r="AF25" s="649"/>
      <c r="AG25" s="649"/>
      <c r="AH25" s="649"/>
      <c r="AI25" s="649"/>
      <c r="AJ25" s="667"/>
    </row>
    <row r="26" spans="1:36" x14ac:dyDescent="0.25">
      <c r="A26" s="649"/>
      <c r="B26" s="649"/>
      <c r="C26" s="649"/>
      <c r="D26" s="649"/>
      <c r="E26" s="649"/>
      <c r="F26" s="649"/>
      <c r="G26" s="649"/>
      <c r="H26" s="649"/>
      <c r="I26" s="649"/>
      <c r="J26" s="649"/>
      <c r="K26" s="649"/>
      <c r="L26" s="649"/>
      <c r="M26" s="649"/>
      <c r="N26" s="649"/>
      <c r="O26" s="649"/>
      <c r="P26" s="649"/>
      <c r="Q26" s="649"/>
      <c r="R26" s="649"/>
      <c r="S26" s="649"/>
      <c r="T26" s="649"/>
      <c r="U26" s="649"/>
      <c r="V26" s="649"/>
      <c r="W26" s="649"/>
      <c r="X26" s="649"/>
      <c r="Y26" s="649"/>
      <c r="Z26" s="649"/>
      <c r="AA26" s="649"/>
      <c r="AB26" s="649"/>
      <c r="AC26" s="649"/>
      <c r="AD26" s="649"/>
      <c r="AE26" s="649"/>
      <c r="AF26" s="649"/>
      <c r="AG26" s="649"/>
      <c r="AH26" s="649"/>
      <c r="AI26" s="649"/>
      <c r="AJ26" s="649"/>
    </row>
    <row r="27" spans="1:36" x14ac:dyDescent="0.25">
      <c r="A27" s="649"/>
      <c r="B27" s="649"/>
      <c r="C27" s="649"/>
      <c r="D27" s="649"/>
      <c r="E27" s="649"/>
      <c r="F27" s="649"/>
      <c r="G27" s="649"/>
      <c r="H27" s="649"/>
      <c r="I27" s="649"/>
      <c r="J27" s="649"/>
      <c r="K27" s="649"/>
      <c r="L27" s="649"/>
      <c r="M27" s="649"/>
      <c r="N27" s="649"/>
      <c r="O27" s="649"/>
      <c r="P27" s="649"/>
      <c r="Q27" s="649"/>
      <c r="R27" s="649"/>
      <c r="S27" s="649"/>
      <c r="T27" s="649"/>
      <c r="U27" s="649"/>
      <c r="V27" s="649"/>
      <c r="W27" s="649"/>
      <c r="X27" s="649"/>
      <c r="Y27" s="649"/>
      <c r="Z27" s="649"/>
      <c r="AA27" s="649"/>
      <c r="AB27" s="667"/>
      <c r="AC27" s="667"/>
      <c r="AD27" s="667"/>
      <c r="AE27" s="649"/>
      <c r="AF27" s="649"/>
      <c r="AG27" s="649"/>
      <c r="AH27" s="649"/>
      <c r="AI27" s="649"/>
      <c r="AJ27" s="667"/>
    </row>
    <row r="28" spans="1:36" x14ac:dyDescent="0.25">
      <c r="A28" s="649"/>
      <c r="B28" s="649"/>
      <c r="C28" s="649"/>
      <c r="D28" s="649"/>
      <c r="E28" s="649"/>
      <c r="F28" s="649"/>
      <c r="G28" s="649"/>
      <c r="H28" s="649"/>
      <c r="I28" s="649"/>
      <c r="J28" s="649"/>
      <c r="K28" s="649"/>
      <c r="L28" s="649"/>
      <c r="M28" s="649"/>
      <c r="N28" s="649"/>
      <c r="O28" s="649"/>
      <c r="P28" s="649"/>
      <c r="Q28" s="649"/>
      <c r="R28" s="649"/>
      <c r="S28" s="649"/>
      <c r="T28" s="649"/>
      <c r="U28" s="649"/>
      <c r="V28" s="649"/>
      <c r="W28" s="649"/>
      <c r="X28" s="649"/>
      <c r="Y28" s="649"/>
      <c r="Z28" s="649"/>
      <c r="AA28" s="649"/>
      <c r="AB28" s="649"/>
      <c r="AC28" s="667"/>
      <c r="AD28" s="667"/>
      <c r="AE28" s="667"/>
      <c r="AF28" s="667"/>
      <c r="AG28" s="667"/>
      <c r="AH28" s="649"/>
      <c r="AI28" s="649"/>
      <c r="AJ28" s="667"/>
    </row>
    <row r="29" spans="1:36" x14ac:dyDescent="0.25">
      <c r="A29" s="649"/>
      <c r="B29" s="649"/>
      <c r="C29" s="649"/>
      <c r="D29" s="649"/>
      <c r="E29" s="649"/>
      <c r="F29" s="649"/>
      <c r="G29" s="649"/>
      <c r="H29" s="649"/>
      <c r="I29" s="649"/>
      <c r="J29" s="649"/>
      <c r="K29" s="649"/>
      <c r="L29" s="649"/>
      <c r="M29" s="649"/>
      <c r="N29" s="649"/>
      <c r="O29" s="649"/>
      <c r="P29" s="649"/>
      <c r="Q29" s="649"/>
      <c r="R29" s="649"/>
      <c r="S29" s="649"/>
      <c r="T29" s="649"/>
      <c r="U29" s="649"/>
      <c r="V29" s="649"/>
      <c r="W29" s="649"/>
      <c r="X29" s="649"/>
      <c r="Y29" s="649"/>
      <c r="Z29" s="649"/>
      <c r="AA29" s="649"/>
      <c r="AB29" s="649"/>
      <c r="AC29" s="649"/>
      <c r="AD29" s="667"/>
      <c r="AE29" s="649"/>
      <c r="AF29" s="649"/>
      <c r="AG29" s="649"/>
      <c r="AH29" s="649"/>
      <c r="AI29" s="649"/>
      <c r="AJ29" s="667"/>
    </row>
    <row r="30" spans="1:36" x14ac:dyDescent="0.25">
      <c r="A30" s="649"/>
      <c r="B30" s="649"/>
      <c r="C30" s="649"/>
      <c r="D30" s="649"/>
      <c r="E30" s="649"/>
      <c r="F30" s="649"/>
      <c r="G30" s="649"/>
      <c r="H30" s="649"/>
      <c r="I30" s="649"/>
      <c r="J30" s="649"/>
      <c r="K30" s="649"/>
      <c r="L30" s="649"/>
      <c r="M30" s="649"/>
      <c r="N30" s="649"/>
      <c r="O30" s="649"/>
      <c r="P30" s="649"/>
      <c r="Q30" s="649"/>
      <c r="R30" s="649"/>
      <c r="S30" s="649"/>
      <c r="T30" s="649"/>
      <c r="U30" s="649"/>
      <c r="V30" s="649"/>
      <c r="W30" s="649"/>
      <c r="X30" s="649"/>
      <c r="Y30" s="649"/>
      <c r="Z30" s="649"/>
      <c r="AA30" s="649"/>
      <c r="AB30" s="649"/>
      <c r="AC30" s="649"/>
      <c r="AD30" s="649"/>
      <c r="AE30" s="667"/>
      <c r="AF30" s="667"/>
      <c r="AG30" s="667"/>
      <c r="AH30" s="649"/>
      <c r="AI30" s="649"/>
      <c r="AJ30" s="667"/>
    </row>
    <row r="31" spans="1:36" x14ac:dyDescent="0.25">
      <c r="A31" s="649"/>
      <c r="B31" s="649"/>
      <c r="C31" s="649"/>
      <c r="D31" s="649"/>
      <c r="E31" s="649"/>
      <c r="F31" s="649"/>
      <c r="G31" s="649"/>
      <c r="H31" s="649"/>
      <c r="I31" s="649"/>
      <c r="J31" s="649"/>
      <c r="K31" s="649"/>
      <c r="L31" s="649"/>
      <c r="M31" s="649"/>
      <c r="N31" s="649"/>
      <c r="O31" s="649"/>
      <c r="P31" s="649"/>
      <c r="Q31" s="649"/>
      <c r="R31" s="649"/>
      <c r="S31" s="649"/>
      <c r="T31" s="649"/>
      <c r="U31" s="649"/>
      <c r="V31" s="649"/>
      <c r="W31" s="649"/>
      <c r="X31" s="649"/>
      <c r="Y31" s="649"/>
      <c r="Z31" s="649"/>
      <c r="AA31" s="649"/>
      <c r="AB31" s="649"/>
      <c r="AC31" s="649"/>
      <c r="AD31" s="649"/>
      <c r="AE31" s="649"/>
      <c r="AF31" s="667"/>
      <c r="AG31" s="667"/>
      <c r="AH31" s="667"/>
      <c r="AI31" s="649"/>
      <c r="AJ31" s="649"/>
    </row>
    <row r="32" spans="1:36" x14ac:dyDescent="0.25">
      <c r="A32" s="649"/>
      <c r="B32" s="649"/>
      <c r="C32" s="649"/>
      <c r="D32" s="649"/>
      <c r="E32" s="649"/>
      <c r="F32" s="649"/>
      <c r="G32" s="649"/>
      <c r="H32" s="649"/>
      <c r="I32" s="649"/>
      <c r="J32" s="649"/>
      <c r="K32" s="649"/>
      <c r="L32" s="649"/>
      <c r="M32" s="649"/>
      <c r="N32" s="649"/>
      <c r="O32" s="649"/>
      <c r="P32" s="649"/>
      <c r="Q32" s="649"/>
      <c r="R32" s="649"/>
      <c r="S32" s="649"/>
      <c r="T32" s="649"/>
      <c r="U32" s="649"/>
      <c r="V32" s="649"/>
      <c r="W32" s="649"/>
      <c r="X32" s="649"/>
      <c r="Y32" s="649"/>
      <c r="Z32" s="649"/>
      <c r="AA32" s="649"/>
      <c r="AB32" s="649"/>
      <c r="AC32" s="649"/>
      <c r="AD32" s="649"/>
      <c r="AE32" s="649"/>
      <c r="AF32" s="649"/>
      <c r="AG32" s="667"/>
      <c r="AH32" s="667"/>
      <c r="AI32" s="649"/>
      <c r="AJ32" s="649"/>
    </row>
    <row r="33" spans="1:36" x14ac:dyDescent="0.25">
      <c r="A33" s="649"/>
      <c r="B33" s="649"/>
      <c r="C33" s="649"/>
      <c r="D33" s="649"/>
      <c r="E33" s="649"/>
      <c r="F33" s="649"/>
      <c r="G33" s="649"/>
      <c r="H33" s="649"/>
      <c r="I33" s="649"/>
      <c r="J33" s="649"/>
      <c r="K33" s="649"/>
      <c r="L33" s="649"/>
      <c r="M33" s="649"/>
      <c r="N33" s="649"/>
      <c r="O33" s="649"/>
      <c r="P33" s="649"/>
      <c r="Q33" s="649"/>
      <c r="R33" s="649"/>
      <c r="S33" s="649"/>
      <c r="T33" s="649"/>
      <c r="U33" s="649"/>
      <c r="V33" s="649"/>
      <c r="W33" s="649"/>
      <c r="X33" s="649"/>
      <c r="Y33" s="649"/>
      <c r="Z33" s="649"/>
      <c r="AA33" s="649"/>
      <c r="AB33" s="649"/>
      <c r="AC33" s="649"/>
      <c r="AD33" s="649"/>
      <c r="AE33" s="649"/>
      <c r="AF33" s="649"/>
      <c r="AG33" s="649"/>
      <c r="AH33" s="667"/>
      <c r="AI33" s="649"/>
      <c r="AJ33" s="649"/>
    </row>
    <row r="34" spans="1:36" x14ac:dyDescent="0.25">
      <c r="A34" s="649"/>
      <c r="B34" s="649"/>
      <c r="C34" s="649"/>
      <c r="D34" s="649"/>
      <c r="E34" s="649"/>
      <c r="F34" s="649"/>
      <c r="G34" s="649"/>
      <c r="H34" s="649"/>
      <c r="I34" s="649"/>
      <c r="J34" s="649"/>
      <c r="K34" s="649"/>
      <c r="L34" s="649"/>
      <c r="M34" s="649"/>
      <c r="N34" s="649"/>
      <c r="O34" s="649"/>
      <c r="P34" s="649"/>
      <c r="Q34" s="649"/>
      <c r="R34" s="649"/>
      <c r="S34" s="649"/>
      <c r="T34" s="649"/>
      <c r="U34" s="649"/>
      <c r="V34" s="649"/>
      <c r="W34" s="649"/>
      <c r="X34" s="649"/>
      <c r="Y34" s="649"/>
      <c r="Z34" s="649"/>
      <c r="AA34" s="649"/>
      <c r="AB34" s="649"/>
      <c r="AC34" s="649"/>
      <c r="AD34" s="649"/>
      <c r="AE34" s="649"/>
      <c r="AF34" s="649"/>
      <c r="AG34" s="649"/>
      <c r="AH34" s="649"/>
      <c r="AI34" s="649"/>
      <c r="AJ34" s="649"/>
    </row>
    <row r="35" spans="1:36" x14ac:dyDescent="0.25">
      <c r="A35" s="649"/>
      <c r="B35" s="649"/>
      <c r="C35" s="649"/>
      <c r="D35" s="649"/>
      <c r="E35" s="649"/>
      <c r="F35" s="649"/>
      <c r="G35" s="649"/>
      <c r="H35" s="649"/>
      <c r="I35" s="649"/>
      <c r="J35" s="649"/>
      <c r="K35" s="649"/>
      <c r="L35" s="649"/>
      <c r="M35" s="649"/>
      <c r="N35" s="649"/>
      <c r="O35" s="649"/>
      <c r="P35" s="649"/>
      <c r="Q35" s="649"/>
      <c r="R35" s="649"/>
      <c r="S35" s="649"/>
      <c r="T35" s="649"/>
      <c r="U35" s="649"/>
      <c r="V35" s="649"/>
      <c r="W35" s="649"/>
      <c r="X35" s="649"/>
      <c r="Y35" s="649"/>
      <c r="Z35" s="649"/>
      <c r="AA35" s="649"/>
      <c r="AB35" s="649"/>
      <c r="AC35" s="649"/>
      <c r="AD35" s="649"/>
      <c r="AE35" s="649"/>
      <c r="AF35" s="649"/>
      <c r="AG35" s="649"/>
      <c r="AH35" s="649"/>
      <c r="AI35" s="649"/>
      <c r="AJ35" s="64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46202-0814-4A8B-BE40-748FE9B7AAF2}">
  <dimension ref="A1:Z58"/>
  <sheetViews>
    <sheetView tabSelected="1" topLeftCell="C1" workbookViewId="0">
      <selection activeCell="U2" sqref="U2"/>
    </sheetView>
  </sheetViews>
  <sheetFormatPr defaultRowHeight="15" x14ac:dyDescent="0.25"/>
  <cols>
    <col min="1" max="1" width="24" customWidth="1"/>
  </cols>
  <sheetData>
    <row r="1" spans="1:26" ht="30.75" thickBot="1" x14ac:dyDescent="0.3">
      <c r="A1" s="720"/>
      <c r="B1" s="721"/>
      <c r="C1" s="722" t="s">
        <v>266</v>
      </c>
      <c r="D1" s="723" t="s">
        <v>267</v>
      </c>
      <c r="E1" s="723" t="s">
        <v>268</v>
      </c>
      <c r="F1" s="723" t="s">
        <v>269</v>
      </c>
      <c r="G1" s="723" t="s">
        <v>270</v>
      </c>
      <c r="I1" s="732" t="s">
        <v>146</v>
      </c>
      <c r="J1" s="729"/>
      <c r="K1" s="729" t="s">
        <v>225</v>
      </c>
      <c r="L1" s="729" t="s">
        <v>271</v>
      </c>
      <c r="M1" s="729" t="s">
        <v>224</v>
      </c>
      <c r="N1" s="729" t="s">
        <v>227</v>
      </c>
      <c r="O1" s="733" t="s">
        <v>147</v>
      </c>
      <c r="P1" s="729"/>
      <c r="Q1" s="729" t="s">
        <v>225</v>
      </c>
      <c r="R1" s="729" t="s">
        <v>271</v>
      </c>
      <c r="S1" s="729" t="s">
        <v>224</v>
      </c>
      <c r="T1" s="729" t="s">
        <v>227</v>
      </c>
      <c r="U1" s="733" t="s">
        <v>148</v>
      </c>
      <c r="V1" s="729"/>
      <c r="W1" s="729" t="s">
        <v>225</v>
      </c>
      <c r="X1" s="729" t="s">
        <v>271</v>
      </c>
      <c r="Y1" s="729" t="s">
        <v>224</v>
      </c>
      <c r="Z1" s="729" t="s">
        <v>227</v>
      </c>
    </row>
    <row r="2" spans="1:26" ht="15.75" thickBot="1" x14ac:dyDescent="0.3">
      <c r="A2" s="724" t="s">
        <v>249</v>
      </c>
      <c r="B2" s="725">
        <v>0</v>
      </c>
      <c r="C2" s="719">
        <v>4271.9339500000006</v>
      </c>
      <c r="D2" s="719">
        <v>2220.7121814000002</v>
      </c>
      <c r="E2" s="719">
        <v>143.59670595609757</v>
      </c>
      <c r="F2" s="719">
        <v>1500</v>
      </c>
      <c r="G2" s="719">
        <v>2.5</v>
      </c>
      <c r="J2" s="730">
        <v>0</v>
      </c>
      <c r="K2" s="731"/>
      <c r="L2" s="731">
        <v>38517.984235333301</v>
      </c>
      <c r="M2" s="731">
        <v>4271.9339500000006</v>
      </c>
      <c r="N2" s="731">
        <v>8279.9849959999992</v>
      </c>
      <c r="P2" s="730">
        <v>0</v>
      </c>
      <c r="Q2" s="719">
        <v>260.5103810526316</v>
      </c>
      <c r="R2" s="719">
        <v>9089.7038256857868</v>
      </c>
      <c r="S2" s="719">
        <v>2220.7121814000002</v>
      </c>
      <c r="T2" s="719">
        <v>1763.5635066</v>
      </c>
      <c r="V2" s="730">
        <v>0</v>
      </c>
      <c r="W2" s="719">
        <v>20.081990369127517</v>
      </c>
      <c r="X2" s="719">
        <v>1.5027578152377974</v>
      </c>
      <c r="Y2" s="719">
        <v>143.59670595609757</v>
      </c>
      <c r="Z2" s="719">
        <v>47.577323878847096</v>
      </c>
    </row>
    <row r="3" spans="1:26" ht="15.75" thickBot="1" x14ac:dyDescent="0.3">
      <c r="A3" s="726" t="s">
        <v>249</v>
      </c>
      <c r="B3" s="727">
        <v>8</v>
      </c>
      <c r="C3" s="719">
        <v>4435.1638045833297</v>
      </c>
      <c r="D3" s="719">
        <v>1732.8952116666667</v>
      </c>
      <c r="E3" s="719">
        <v>132.977644</v>
      </c>
      <c r="F3" s="719">
        <v>1520</v>
      </c>
      <c r="G3" s="719">
        <v>2.3000000000000003</v>
      </c>
      <c r="J3" s="730">
        <v>8</v>
      </c>
      <c r="K3" s="731">
        <v>70293.494340000005</v>
      </c>
      <c r="L3" s="731"/>
      <c r="M3" s="731">
        <v>4435.1638045833297</v>
      </c>
      <c r="N3" s="731">
        <v>11085.1989304</v>
      </c>
      <c r="P3" s="730">
        <v>8</v>
      </c>
      <c r="Q3" s="719">
        <v>3823.6156199999996</v>
      </c>
      <c r="R3" s="719"/>
      <c r="S3" s="719">
        <v>1732.8952116666667</v>
      </c>
      <c r="T3" s="719">
        <v>1297.3316364532022</v>
      </c>
      <c r="V3" s="730">
        <v>8</v>
      </c>
      <c r="W3" s="719">
        <v>15.954336299538049</v>
      </c>
      <c r="X3" s="719"/>
      <c r="Y3" s="719">
        <v>132.977644</v>
      </c>
      <c r="Z3" s="719">
        <v>57.233094343006201</v>
      </c>
    </row>
    <row r="4" spans="1:26" ht="15.75" thickBot="1" x14ac:dyDescent="0.3">
      <c r="A4" s="726" t="s">
        <v>249</v>
      </c>
      <c r="B4" s="727">
        <v>15</v>
      </c>
      <c r="C4" s="719">
        <v>4732.6922104265404</v>
      </c>
      <c r="D4" s="719">
        <v>1645.646821421801</v>
      </c>
      <c r="E4" s="719">
        <v>115.0412074120603</v>
      </c>
      <c r="F4" s="719">
        <v>580</v>
      </c>
      <c r="G4" s="719">
        <v>2.3000000000000003</v>
      </c>
      <c r="J4" s="730">
        <v>15</v>
      </c>
      <c r="K4" s="731">
        <v>60801.502659999998</v>
      </c>
      <c r="L4" s="731">
        <v>22576.673459999998</v>
      </c>
      <c r="M4" s="731">
        <v>4732.6922104265404</v>
      </c>
      <c r="N4" s="731">
        <v>7650.3386399999999</v>
      </c>
      <c r="P4" s="730">
        <v>15</v>
      </c>
      <c r="Q4" s="719">
        <v>15898.774675000001</v>
      </c>
      <c r="R4" s="719">
        <v>6280.3988336170196</v>
      </c>
      <c r="S4" s="719">
        <v>1645.646821421801</v>
      </c>
      <c r="T4" s="719">
        <v>1101.7388737864078</v>
      </c>
      <c r="V4" s="730">
        <v>15</v>
      </c>
      <c r="W4" s="719">
        <v>15.207711104150352</v>
      </c>
      <c r="X4" s="719">
        <v>77.897483709198823</v>
      </c>
      <c r="Y4" s="719">
        <v>115.0412074120603</v>
      </c>
      <c r="Z4" s="719">
        <v>52.63666062622309</v>
      </c>
    </row>
    <row r="5" spans="1:26" ht="15.75" thickBot="1" x14ac:dyDescent="0.3">
      <c r="A5" s="726" t="s">
        <v>249</v>
      </c>
      <c r="B5" s="727">
        <v>23</v>
      </c>
      <c r="C5" s="719">
        <v>3901.0574339240497</v>
      </c>
      <c r="D5" s="719">
        <v>2182.9721832911391</v>
      </c>
      <c r="E5" s="719">
        <v>99.807853566958684</v>
      </c>
      <c r="F5" s="719">
        <v>270</v>
      </c>
      <c r="G5" s="719">
        <v>2</v>
      </c>
      <c r="J5" s="730">
        <v>23</v>
      </c>
      <c r="K5" s="731">
        <v>81864.463030000014</v>
      </c>
      <c r="L5" s="731">
        <v>53041.003470666699</v>
      </c>
      <c r="M5" s="731">
        <v>3901.0574339240497</v>
      </c>
      <c r="N5" s="731">
        <v>11684.899829999998</v>
      </c>
      <c r="P5" s="730">
        <v>23</v>
      </c>
      <c r="Q5" s="719">
        <v>1227.5721808695655</v>
      </c>
      <c r="R5" s="719">
        <v>6661.7632459259257</v>
      </c>
      <c r="S5" s="719">
        <v>2182.9721832911391</v>
      </c>
      <c r="T5" s="719">
        <v>1268.2214017841727</v>
      </c>
      <c r="V5" s="730">
        <v>23</v>
      </c>
      <c r="W5" s="719">
        <v>17.34565889206576</v>
      </c>
      <c r="X5" s="719">
        <v>64.003839149293469</v>
      </c>
      <c r="Y5" s="719">
        <v>99.807853566958684</v>
      </c>
      <c r="Z5" s="719">
        <v>62.733695707459773</v>
      </c>
    </row>
    <row r="6" spans="1:26" ht="15.75" thickBot="1" x14ac:dyDescent="0.3">
      <c r="A6" s="726" t="s">
        <v>249</v>
      </c>
      <c r="B6" s="727">
        <v>30</v>
      </c>
      <c r="C6" s="719">
        <v>5551.0453914999998</v>
      </c>
      <c r="D6" s="719">
        <v>2649.3223946236558</v>
      </c>
      <c r="E6" s="719">
        <v>68.013491091091097</v>
      </c>
      <c r="F6" s="719">
        <v>370</v>
      </c>
      <c r="G6" s="719">
        <v>2.1</v>
      </c>
      <c r="J6" s="730">
        <v>30</v>
      </c>
      <c r="K6" s="731">
        <v>81396.122808</v>
      </c>
      <c r="L6" s="731">
        <v>27769.098840000002</v>
      </c>
      <c r="M6" s="731">
        <v>5551.0453914999998</v>
      </c>
      <c r="N6" s="731">
        <v>7366.3849081967201</v>
      </c>
      <c r="P6" s="730">
        <v>30</v>
      </c>
      <c r="Q6" s="719">
        <v>1059.1147421052631</v>
      </c>
      <c r="R6" s="719">
        <v>6930.3435654545447</v>
      </c>
      <c r="S6" s="719">
        <v>2649.3223946236558</v>
      </c>
      <c r="T6" s="719">
        <v>1133.4010101639344</v>
      </c>
      <c r="V6" s="730">
        <v>30</v>
      </c>
      <c r="W6" s="719">
        <v>14.495202034883722</v>
      </c>
      <c r="X6" s="719">
        <v>196.05250000000001</v>
      </c>
      <c r="Y6" s="719">
        <v>68.013491091091097</v>
      </c>
      <c r="Z6" s="719">
        <v>50.731952781456961</v>
      </c>
    </row>
    <row r="7" spans="1:26" ht="15.75" thickBot="1" x14ac:dyDescent="0.3">
      <c r="A7" s="726" t="s">
        <v>227</v>
      </c>
      <c r="B7" s="727">
        <v>0</v>
      </c>
      <c r="C7" s="719">
        <v>8279.9849959999992</v>
      </c>
      <c r="D7" s="719">
        <v>1763.5635066</v>
      </c>
      <c r="E7" s="719">
        <v>47.577323878847096</v>
      </c>
      <c r="F7" s="719">
        <v>2010</v>
      </c>
      <c r="G7" s="719">
        <v>1.7000000000000002</v>
      </c>
    </row>
    <row r="8" spans="1:26" ht="15.75" thickBot="1" x14ac:dyDescent="0.3">
      <c r="A8" s="726" t="s">
        <v>227</v>
      </c>
      <c r="B8" s="727">
        <v>8</v>
      </c>
      <c r="C8" s="719">
        <v>11085.1989304</v>
      </c>
      <c r="D8" s="719">
        <v>1297.3316364532022</v>
      </c>
      <c r="E8" s="719">
        <v>57.233094343006201</v>
      </c>
      <c r="F8" s="719">
        <v>3590</v>
      </c>
      <c r="G8" s="719">
        <v>3.2</v>
      </c>
    </row>
    <row r="9" spans="1:26" ht="15.75" thickBot="1" x14ac:dyDescent="0.3">
      <c r="A9" s="726" t="s">
        <v>227</v>
      </c>
      <c r="B9" s="727">
        <v>15</v>
      </c>
      <c r="C9" s="719">
        <v>7650.3386399999999</v>
      </c>
      <c r="D9" s="719">
        <v>1101.7388737864078</v>
      </c>
      <c r="E9" s="719">
        <v>52.63666062622309</v>
      </c>
      <c r="F9" s="719">
        <v>570</v>
      </c>
      <c r="G9" s="719">
        <v>2.1</v>
      </c>
    </row>
    <row r="10" spans="1:26" ht="15.75" thickBot="1" x14ac:dyDescent="0.3">
      <c r="A10" s="726" t="s">
        <v>227</v>
      </c>
      <c r="B10" s="727">
        <v>23</v>
      </c>
      <c r="C10" s="719">
        <v>11684.899829999998</v>
      </c>
      <c r="D10" s="719">
        <v>1268.2214017841727</v>
      </c>
      <c r="E10" s="719">
        <v>62.733695707459773</v>
      </c>
      <c r="F10" s="719">
        <v>4220</v>
      </c>
      <c r="G10" s="719">
        <v>3.1</v>
      </c>
    </row>
    <row r="11" spans="1:26" ht="15.75" thickBot="1" x14ac:dyDescent="0.3">
      <c r="A11" s="726" t="s">
        <v>227</v>
      </c>
      <c r="B11" s="727">
        <v>30</v>
      </c>
      <c r="C11" s="719">
        <v>7366.3849081967201</v>
      </c>
      <c r="D11" s="719">
        <v>1133.4010101639344</v>
      </c>
      <c r="E11" s="719">
        <v>50.731952781456961</v>
      </c>
      <c r="F11" s="719">
        <v>1540</v>
      </c>
      <c r="G11" s="719">
        <v>2.7</v>
      </c>
    </row>
    <row r="12" spans="1:26" ht="15.75" thickBot="1" x14ac:dyDescent="0.3">
      <c r="A12" s="726" t="s">
        <v>226</v>
      </c>
      <c r="B12" s="727">
        <v>0</v>
      </c>
      <c r="C12" s="719">
        <v>38517.984235333301</v>
      </c>
      <c r="D12" s="719">
        <v>9089.7038256857868</v>
      </c>
      <c r="E12" s="719">
        <v>1.5027578152377974</v>
      </c>
      <c r="F12" s="719">
        <v>33520</v>
      </c>
      <c r="G12" s="719">
        <v>4.6999999999999993</v>
      </c>
    </row>
    <row r="13" spans="1:26" ht="15.75" thickBot="1" x14ac:dyDescent="0.3">
      <c r="A13" s="726" t="s">
        <v>226</v>
      </c>
      <c r="B13" s="727">
        <v>8</v>
      </c>
      <c r="C13" s="719"/>
      <c r="D13" s="719"/>
      <c r="E13" s="719"/>
      <c r="F13" s="719">
        <v>29200</v>
      </c>
      <c r="G13" s="719">
        <v>3.1</v>
      </c>
    </row>
    <row r="14" spans="1:26" ht="15.75" thickBot="1" x14ac:dyDescent="0.3">
      <c r="A14" s="726" t="s">
        <v>226</v>
      </c>
      <c r="B14" s="727">
        <v>15</v>
      </c>
      <c r="C14" s="719">
        <v>22576.673459999998</v>
      </c>
      <c r="D14" s="719">
        <v>6280.3988336170196</v>
      </c>
      <c r="E14" s="719">
        <v>77.897483709198823</v>
      </c>
      <c r="F14" s="719">
        <v>31990</v>
      </c>
      <c r="G14" s="719">
        <v>2.6</v>
      </c>
    </row>
    <row r="15" spans="1:26" ht="15.75" thickBot="1" x14ac:dyDescent="0.3">
      <c r="A15" s="726" t="s">
        <v>226</v>
      </c>
      <c r="B15" s="727">
        <v>23</v>
      </c>
      <c r="C15" s="719">
        <v>53041.003470666699</v>
      </c>
      <c r="D15" s="719">
        <v>6661.7632459259257</v>
      </c>
      <c r="E15" s="719">
        <v>64.003839149293469</v>
      </c>
      <c r="F15" s="719">
        <v>37080</v>
      </c>
      <c r="G15" s="719">
        <v>3.9000000000000004</v>
      </c>
    </row>
    <row r="16" spans="1:26" ht="15.75" thickBot="1" x14ac:dyDescent="0.3">
      <c r="A16" s="726" t="s">
        <v>226</v>
      </c>
      <c r="B16" s="727">
        <v>30</v>
      </c>
      <c r="C16" s="719">
        <v>27769.098840000002</v>
      </c>
      <c r="D16" s="719">
        <v>6930.3435654545447</v>
      </c>
      <c r="E16" s="719">
        <v>196.05250000000001</v>
      </c>
      <c r="F16" s="719">
        <v>25050</v>
      </c>
      <c r="G16" s="719">
        <v>3.1</v>
      </c>
    </row>
    <row r="17" spans="1:20" ht="15.75" thickBot="1" x14ac:dyDescent="0.3">
      <c r="A17" s="726" t="s">
        <v>225</v>
      </c>
      <c r="B17" s="727">
        <v>0</v>
      </c>
      <c r="C17" s="719"/>
      <c r="D17" s="719">
        <v>260.5103810526316</v>
      </c>
      <c r="E17" s="719">
        <v>20.081990369127517</v>
      </c>
      <c r="F17" s="719">
        <v>5582</v>
      </c>
      <c r="G17" s="719">
        <v>2.7</v>
      </c>
    </row>
    <row r="18" spans="1:20" ht="15.75" thickBot="1" x14ac:dyDescent="0.3">
      <c r="A18" s="726" t="s">
        <v>225</v>
      </c>
      <c r="B18" s="727">
        <v>8</v>
      </c>
      <c r="C18" s="719">
        <v>70293.494340000005</v>
      </c>
      <c r="D18" s="719">
        <v>3823.6156199999996</v>
      </c>
      <c r="E18" s="719">
        <v>15.954336299538049</v>
      </c>
      <c r="F18" s="719">
        <v>50690</v>
      </c>
      <c r="G18" s="719">
        <v>4</v>
      </c>
    </row>
    <row r="19" spans="1:20" ht="15.75" thickBot="1" x14ac:dyDescent="0.3">
      <c r="A19" s="726" t="s">
        <v>225</v>
      </c>
      <c r="B19" s="727">
        <v>15</v>
      </c>
      <c r="C19" s="719">
        <v>60801.502659999998</v>
      </c>
      <c r="D19" s="719">
        <v>15898.774675000001</v>
      </c>
      <c r="E19" s="719">
        <v>15.207711104150352</v>
      </c>
      <c r="F19" s="719">
        <v>59510</v>
      </c>
      <c r="G19" s="719">
        <v>3.3000000000000003</v>
      </c>
    </row>
    <row r="20" spans="1:20" ht="15.75" thickBot="1" x14ac:dyDescent="0.3">
      <c r="A20" s="726" t="s">
        <v>225</v>
      </c>
      <c r="B20" s="727">
        <v>23</v>
      </c>
      <c r="C20" s="719">
        <v>81864.463030000014</v>
      </c>
      <c r="D20" s="719">
        <v>1227.5721808695655</v>
      </c>
      <c r="E20" s="719">
        <v>17.34565889206576</v>
      </c>
      <c r="F20" s="719">
        <v>70210</v>
      </c>
      <c r="G20" s="719">
        <v>2.9</v>
      </c>
    </row>
    <row r="21" spans="1:20" x14ac:dyDescent="0.25">
      <c r="A21" s="728" t="s">
        <v>225</v>
      </c>
      <c r="B21" s="727">
        <v>30</v>
      </c>
      <c r="C21" s="719">
        <v>81396.122808</v>
      </c>
      <c r="D21" s="719">
        <v>1059.1147421052631</v>
      </c>
      <c r="E21" s="719">
        <v>14.495202034883722</v>
      </c>
      <c r="F21" s="719">
        <v>77350</v>
      </c>
      <c r="G21" s="719">
        <v>3.7</v>
      </c>
    </row>
    <row r="22" spans="1:20" x14ac:dyDescent="0.25">
      <c r="A22" s="709"/>
      <c r="B22" s="655"/>
      <c r="C22" s="509"/>
      <c r="D22" s="509"/>
      <c r="E22" s="509"/>
      <c r="F22" s="509"/>
    </row>
    <row r="23" spans="1:20" ht="27.75" customHeight="1" thickBot="1" x14ac:dyDescent="0.3">
      <c r="A23" s="709"/>
      <c r="B23" s="655"/>
      <c r="C23" s="509"/>
      <c r="D23" s="509"/>
      <c r="E23" s="509"/>
      <c r="F23" s="509"/>
      <c r="J23" s="729" t="s">
        <v>149</v>
      </c>
      <c r="K23" s="729" t="s">
        <v>225</v>
      </c>
      <c r="L23" s="729" t="s">
        <v>271</v>
      </c>
      <c r="M23" s="729" t="s">
        <v>224</v>
      </c>
      <c r="N23" s="729" t="s">
        <v>227</v>
      </c>
      <c r="P23" s="729" t="s">
        <v>209</v>
      </c>
      <c r="Q23" s="729" t="s">
        <v>225</v>
      </c>
      <c r="R23" s="729" t="s">
        <v>271</v>
      </c>
      <c r="S23" s="729" t="s">
        <v>224</v>
      </c>
      <c r="T23" s="729" t="s">
        <v>227</v>
      </c>
    </row>
    <row r="24" spans="1:20" ht="15.75" thickBot="1" x14ac:dyDescent="0.3">
      <c r="A24" s="709"/>
      <c r="B24" s="716"/>
      <c r="C24" s="716"/>
      <c r="D24" s="717"/>
      <c r="E24" s="509"/>
      <c r="F24" s="509"/>
      <c r="J24" s="730">
        <v>0</v>
      </c>
      <c r="K24" s="719">
        <v>5582</v>
      </c>
      <c r="L24" s="719">
        <v>33520</v>
      </c>
      <c r="M24" s="719">
        <v>1500</v>
      </c>
      <c r="N24" s="719">
        <v>2010</v>
      </c>
      <c r="P24" s="730">
        <v>0</v>
      </c>
      <c r="Q24" s="719">
        <v>2.7</v>
      </c>
      <c r="R24" s="719">
        <v>4.6999999999999993</v>
      </c>
      <c r="S24" s="719">
        <v>2.5</v>
      </c>
      <c r="T24" s="719">
        <v>1.7000000000000002</v>
      </c>
    </row>
    <row r="25" spans="1:20" ht="15.75" thickBot="1" x14ac:dyDescent="0.3">
      <c r="A25" s="709"/>
      <c r="B25" s="655"/>
      <c r="C25" s="716"/>
      <c r="D25" s="717"/>
      <c r="E25" s="509"/>
      <c r="F25" s="509"/>
      <c r="J25" s="730">
        <v>8</v>
      </c>
      <c r="K25" s="719">
        <v>50690</v>
      </c>
      <c r="L25" s="719">
        <v>29200</v>
      </c>
      <c r="M25" s="719">
        <v>1520</v>
      </c>
      <c r="N25" s="719">
        <v>3590</v>
      </c>
      <c r="P25" s="730">
        <v>8</v>
      </c>
      <c r="Q25" s="719">
        <v>4</v>
      </c>
      <c r="R25" s="719">
        <v>3.1</v>
      </c>
      <c r="S25" s="719">
        <v>2.3000000000000003</v>
      </c>
      <c r="T25" s="719">
        <v>3.2</v>
      </c>
    </row>
    <row r="26" spans="1:20" ht="15.75" thickBot="1" x14ac:dyDescent="0.3">
      <c r="A26" s="709"/>
      <c r="B26" s="716"/>
      <c r="C26" s="716"/>
      <c r="D26" s="717"/>
      <c r="E26" s="509"/>
      <c r="F26" s="509"/>
      <c r="J26" s="730">
        <v>15</v>
      </c>
      <c r="K26" s="719">
        <v>59510</v>
      </c>
      <c r="L26" s="719">
        <v>31990</v>
      </c>
      <c r="M26" s="719">
        <v>580</v>
      </c>
      <c r="N26" s="719">
        <v>570</v>
      </c>
      <c r="P26" s="730">
        <v>15</v>
      </c>
      <c r="Q26" s="719">
        <v>3.3000000000000003</v>
      </c>
      <c r="R26" s="719">
        <v>2.6</v>
      </c>
      <c r="S26" s="719">
        <v>2.3000000000000003</v>
      </c>
      <c r="T26" s="719">
        <v>2.1</v>
      </c>
    </row>
    <row r="27" spans="1:20" ht="15.75" thickBot="1" x14ac:dyDescent="0.3">
      <c r="A27" s="709"/>
      <c r="B27" s="655"/>
      <c r="C27" s="716"/>
      <c r="D27" s="717"/>
      <c r="E27" s="509"/>
      <c r="F27" s="509"/>
      <c r="J27" s="730">
        <v>23</v>
      </c>
      <c r="K27" s="719">
        <v>70210</v>
      </c>
      <c r="L27" s="719">
        <v>37080</v>
      </c>
      <c r="M27" s="719">
        <v>270</v>
      </c>
      <c r="N27" s="719">
        <v>4220</v>
      </c>
      <c r="P27" s="730">
        <v>23</v>
      </c>
      <c r="Q27" s="719">
        <v>2.9</v>
      </c>
      <c r="R27" s="719">
        <v>3.9000000000000004</v>
      </c>
      <c r="S27" s="719">
        <v>2</v>
      </c>
      <c r="T27" s="719">
        <v>3.1</v>
      </c>
    </row>
    <row r="28" spans="1:20" x14ac:dyDescent="0.25">
      <c r="A28" s="709"/>
      <c r="B28" s="655"/>
      <c r="C28" s="716"/>
      <c r="D28" s="717"/>
      <c r="E28" s="509"/>
      <c r="F28" s="509"/>
      <c r="J28" s="730">
        <v>30</v>
      </c>
      <c r="K28" s="719">
        <v>77350</v>
      </c>
      <c r="L28" s="719">
        <v>25050</v>
      </c>
      <c r="M28" s="719">
        <v>370</v>
      </c>
      <c r="N28" s="719">
        <v>1540</v>
      </c>
      <c r="P28" s="730">
        <v>30</v>
      </c>
      <c r="Q28" s="719">
        <v>3.7</v>
      </c>
      <c r="R28" s="719">
        <v>3.1</v>
      </c>
      <c r="S28" s="719">
        <v>2.1</v>
      </c>
      <c r="T28" s="719">
        <v>2.7</v>
      </c>
    </row>
    <row r="29" spans="1:20" x14ac:dyDescent="0.25">
      <c r="A29" s="509"/>
      <c r="B29" s="509"/>
      <c r="C29" s="509"/>
      <c r="D29" s="509"/>
      <c r="E29" s="509"/>
      <c r="F29" s="509"/>
    </row>
    <row r="30" spans="1:20" x14ac:dyDescent="0.25">
      <c r="A30" s="509"/>
      <c r="B30" s="509"/>
      <c r="C30" s="509"/>
      <c r="D30" s="509"/>
      <c r="E30" s="509"/>
      <c r="F30" s="509"/>
    </row>
    <row r="31" spans="1:20" x14ac:dyDescent="0.25">
      <c r="B31" s="509"/>
      <c r="C31" s="509"/>
      <c r="D31" s="509"/>
      <c r="E31" s="509"/>
      <c r="F31" s="509"/>
    </row>
    <row r="32" spans="1:20" x14ac:dyDescent="0.25">
      <c r="B32" s="509"/>
      <c r="C32" s="509"/>
      <c r="D32" s="509"/>
      <c r="E32" s="509"/>
      <c r="F32" s="509"/>
    </row>
    <row r="33" spans="2:6" x14ac:dyDescent="0.25">
      <c r="B33" s="509"/>
      <c r="C33" s="655"/>
      <c r="D33" s="655"/>
      <c r="E33" s="509"/>
      <c r="F33" s="509"/>
    </row>
    <row r="34" spans="2:6" x14ac:dyDescent="0.25">
      <c r="B34" s="509"/>
      <c r="C34" s="716"/>
      <c r="D34" s="716"/>
      <c r="E34" s="509"/>
      <c r="F34" s="509"/>
    </row>
    <row r="35" spans="2:6" x14ac:dyDescent="0.25">
      <c r="B35" s="509"/>
      <c r="C35" s="716"/>
      <c r="D35" s="716"/>
      <c r="E35" s="509"/>
      <c r="F35" s="509"/>
    </row>
    <row r="36" spans="2:6" x14ac:dyDescent="0.25">
      <c r="B36" s="509"/>
      <c r="C36" s="716"/>
      <c r="D36" s="716"/>
      <c r="E36" s="509"/>
      <c r="F36" s="509"/>
    </row>
    <row r="37" spans="2:6" x14ac:dyDescent="0.25">
      <c r="B37" s="509"/>
      <c r="C37" s="716"/>
      <c r="D37" s="716"/>
      <c r="E37" s="509"/>
      <c r="F37" s="509"/>
    </row>
    <row r="38" spans="2:6" x14ac:dyDescent="0.25">
      <c r="B38" s="509"/>
      <c r="C38" s="509"/>
      <c r="D38" s="509"/>
      <c r="E38" s="509"/>
      <c r="F38" s="509"/>
    </row>
    <row r="39" spans="2:6" x14ac:dyDescent="0.25">
      <c r="B39" s="509"/>
      <c r="C39" s="509"/>
      <c r="D39" s="509"/>
      <c r="E39" s="509"/>
      <c r="F39" s="509"/>
    </row>
    <row r="40" spans="2:6" x14ac:dyDescent="0.25">
      <c r="B40" s="509"/>
      <c r="C40" s="716"/>
      <c r="D40" s="716"/>
      <c r="E40" s="509"/>
      <c r="F40" s="509"/>
    </row>
    <row r="41" spans="2:6" x14ac:dyDescent="0.25">
      <c r="B41" s="509"/>
      <c r="C41" s="716"/>
      <c r="D41" s="716"/>
      <c r="E41" s="509"/>
      <c r="F41" s="509"/>
    </row>
    <row r="42" spans="2:6" x14ac:dyDescent="0.25">
      <c r="B42" s="509"/>
      <c r="C42" s="716"/>
      <c r="D42" s="716"/>
      <c r="E42" s="509"/>
      <c r="F42" s="509"/>
    </row>
    <row r="43" spans="2:6" x14ac:dyDescent="0.25">
      <c r="B43" s="509"/>
      <c r="C43" s="716"/>
      <c r="D43" s="716"/>
      <c r="E43" s="509"/>
      <c r="F43" s="509"/>
    </row>
    <row r="44" spans="2:6" x14ac:dyDescent="0.25">
      <c r="B44" s="509"/>
      <c r="C44" s="716"/>
      <c r="D44" s="716"/>
      <c r="E44" s="509"/>
      <c r="F44" s="509"/>
    </row>
    <row r="45" spans="2:6" x14ac:dyDescent="0.25">
      <c r="B45" s="509"/>
      <c r="C45" s="509"/>
      <c r="D45" s="509"/>
      <c r="E45" s="509"/>
      <c r="F45" s="509"/>
    </row>
    <row r="46" spans="2:6" x14ac:dyDescent="0.25">
      <c r="B46" s="509"/>
      <c r="C46" s="509"/>
      <c r="D46" s="509"/>
      <c r="E46" s="509"/>
      <c r="F46" s="509"/>
    </row>
    <row r="47" spans="2:6" x14ac:dyDescent="0.25">
      <c r="B47" s="509"/>
      <c r="C47" s="716"/>
      <c r="D47" s="716"/>
      <c r="E47" s="509"/>
      <c r="F47" s="509"/>
    </row>
    <row r="48" spans="2:6" x14ac:dyDescent="0.25">
      <c r="B48" s="509"/>
      <c r="C48" s="718"/>
      <c r="D48" s="718"/>
      <c r="E48" s="509"/>
      <c r="F48" s="509"/>
    </row>
    <row r="49" spans="2:6" x14ac:dyDescent="0.25">
      <c r="B49" s="509"/>
      <c r="C49" s="716"/>
      <c r="D49" s="716"/>
      <c r="E49" s="509"/>
      <c r="F49" s="509"/>
    </row>
    <row r="50" spans="2:6" x14ac:dyDescent="0.25">
      <c r="B50" s="509"/>
      <c r="C50" s="716"/>
      <c r="D50" s="716"/>
      <c r="E50" s="509"/>
      <c r="F50" s="509"/>
    </row>
    <row r="51" spans="2:6" x14ac:dyDescent="0.25">
      <c r="B51" s="509"/>
      <c r="C51" s="716"/>
      <c r="D51" s="716"/>
      <c r="E51" s="509"/>
      <c r="F51" s="509"/>
    </row>
    <row r="52" spans="2:6" x14ac:dyDescent="0.25">
      <c r="B52" s="509"/>
      <c r="C52" s="509"/>
      <c r="D52" s="509"/>
      <c r="E52" s="509"/>
      <c r="F52" s="509"/>
    </row>
    <row r="53" spans="2:6" x14ac:dyDescent="0.25">
      <c r="B53" s="509"/>
      <c r="C53" s="509"/>
      <c r="D53" s="509"/>
      <c r="E53" s="509"/>
      <c r="F53" s="509"/>
    </row>
    <row r="54" spans="2:6" x14ac:dyDescent="0.25">
      <c r="B54" s="509"/>
      <c r="C54" s="716"/>
      <c r="D54" s="716"/>
      <c r="E54" s="509"/>
      <c r="F54" s="509"/>
    </row>
    <row r="55" spans="2:6" x14ac:dyDescent="0.25">
      <c r="B55" s="509"/>
      <c r="C55" s="716"/>
      <c r="D55" s="716"/>
      <c r="E55" s="509"/>
      <c r="F55" s="509"/>
    </row>
    <row r="56" spans="2:6" x14ac:dyDescent="0.25">
      <c r="B56" s="509"/>
      <c r="C56" s="716"/>
      <c r="D56" s="716"/>
      <c r="E56" s="509"/>
      <c r="F56" s="509"/>
    </row>
    <row r="57" spans="2:6" x14ac:dyDescent="0.25">
      <c r="B57" s="509"/>
      <c r="C57" s="716"/>
      <c r="D57" s="716"/>
      <c r="E57" s="509"/>
      <c r="F57" s="509"/>
    </row>
    <row r="58" spans="2:6" x14ac:dyDescent="0.25">
      <c r="B58" s="509"/>
      <c r="C58" s="716"/>
      <c r="D58" s="716"/>
      <c r="E58" s="509"/>
      <c r="F58" s="509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A97D2-3C7E-4751-A932-2C45973D9C01}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22"/>
  <sheetViews>
    <sheetView zoomScale="70" zoomScaleNormal="70" workbookViewId="0">
      <selection activeCell="I3" activeCellId="3" sqref="C3:C7 E3:E7 G3:G7 I3:I7"/>
    </sheetView>
  </sheetViews>
  <sheetFormatPr defaultRowHeight="15" x14ac:dyDescent="0.25"/>
  <cols>
    <col min="1" max="1" width="18.140625" customWidth="1"/>
    <col min="2" max="3" width="24.5703125" customWidth="1"/>
    <col min="4" max="5" width="11.140625" customWidth="1"/>
    <col min="6" max="7" width="10.85546875" customWidth="1"/>
    <col min="8" max="8" width="23.42578125" customWidth="1"/>
  </cols>
  <sheetData>
    <row r="1" spans="1:17" x14ac:dyDescent="0.25">
      <c r="A1" t="s">
        <v>194</v>
      </c>
      <c r="B1" t="s">
        <v>224</v>
      </c>
      <c r="C1" t="s">
        <v>228</v>
      </c>
      <c r="D1" t="s">
        <v>227</v>
      </c>
      <c r="E1" t="s">
        <v>228</v>
      </c>
      <c r="F1" t="s">
        <v>226</v>
      </c>
      <c r="G1" t="s">
        <v>228</v>
      </c>
      <c r="H1" t="s">
        <v>225</v>
      </c>
      <c r="I1" t="s">
        <v>228</v>
      </c>
    </row>
    <row r="2" spans="1:17" x14ac:dyDescent="0.25">
      <c r="A2" t="s">
        <v>195</v>
      </c>
      <c r="B2" t="s">
        <v>230</v>
      </c>
      <c r="C2" t="s">
        <v>221</v>
      </c>
      <c r="D2" t="s">
        <v>230</v>
      </c>
      <c r="E2" t="s">
        <v>221</v>
      </c>
      <c r="F2" t="s">
        <v>230</v>
      </c>
      <c r="G2" t="s">
        <v>221</v>
      </c>
      <c r="H2" t="s">
        <v>230</v>
      </c>
      <c r="I2" t="s">
        <v>221</v>
      </c>
      <c r="N2" s="2" t="s">
        <v>190</v>
      </c>
      <c r="O2" s="2" t="s">
        <v>191</v>
      </c>
      <c r="P2" s="2" t="s">
        <v>192</v>
      </c>
      <c r="Q2" s="2" t="s">
        <v>193</v>
      </c>
    </row>
    <row r="3" spans="1:17" x14ac:dyDescent="0.25">
      <c r="A3">
        <v>0</v>
      </c>
      <c r="B3" s="581">
        <v>502.26807422133862</v>
      </c>
      <c r="C3" s="577">
        <v>3.0479999999999999E-3</v>
      </c>
      <c r="D3" s="581">
        <v>762.78304074145581</v>
      </c>
      <c r="E3" s="598">
        <v>3.0479999999999999E-3</v>
      </c>
      <c r="F3" s="582">
        <v>280</v>
      </c>
      <c r="G3" s="579">
        <v>0.36575999999999997</v>
      </c>
      <c r="H3" s="583">
        <v>518.39910891089119</v>
      </c>
      <c r="I3">
        <v>3.3528000000000002E-2</v>
      </c>
      <c r="N3" s="581">
        <v>502.26807422133862</v>
      </c>
      <c r="O3" s="581">
        <v>762.78304074145581</v>
      </c>
      <c r="P3" s="582">
        <v>280</v>
      </c>
      <c r="Q3" s="583">
        <v>518.39910891089119</v>
      </c>
    </row>
    <row r="4" spans="1:17" x14ac:dyDescent="0.25">
      <c r="A4">
        <v>7.62</v>
      </c>
      <c r="B4" s="581">
        <v>496.75624499900971</v>
      </c>
      <c r="C4" s="577">
        <v>3.0479999999999999E-3</v>
      </c>
      <c r="D4" s="581">
        <v>760.59935335296052</v>
      </c>
      <c r="E4" s="577">
        <v>6.0959999999999999E-3</v>
      </c>
      <c r="F4" s="582">
        <v>363.4535020080321</v>
      </c>
      <c r="G4" s="579">
        <v>0.24384</v>
      </c>
      <c r="H4" s="583">
        <v>441.03764210404347</v>
      </c>
      <c r="I4">
        <v>3.6575999999999997E-2</v>
      </c>
      <c r="N4" s="581">
        <v>496.75624499900971</v>
      </c>
      <c r="O4" s="581">
        <v>760.59935335296052</v>
      </c>
      <c r="P4" s="582">
        <v>363.4535020080321</v>
      </c>
      <c r="Q4" s="583">
        <v>441.03764210404347</v>
      </c>
    </row>
    <row r="5" spans="1:17" x14ac:dyDescent="0.25">
      <c r="A5">
        <v>15.24</v>
      </c>
      <c r="B5" s="581">
        <v>498.50577506613757</v>
      </c>
      <c r="C5" s="577">
        <v>6.0959999999999999E-3</v>
      </c>
      <c r="D5" s="581">
        <v>757.72704062009416</v>
      </c>
      <c r="E5" s="577">
        <v>6.0959999999999999E-3</v>
      </c>
      <c r="F5" s="582">
        <v>389.53770643482</v>
      </c>
      <c r="G5" s="579">
        <v>0.21335999999999999</v>
      </c>
      <c r="H5" s="583">
        <v>682.18329727111256</v>
      </c>
      <c r="I5">
        <v>5.7911999999999998E-2</v>
      </c>
      <c r="N5" s="581">
        <v>498.50577506613757</v>
      </c>
      <c r="O5" s="581">
        <v>757.72704062009416</v>
      </c>
      <c r="P5" s="582">
        <v>389.53770643482</v>
      </c>
      <c r="Q5" s="583">
        <v>682.18329727111256</v>
      </c>
    </row>
    <row r="6" spans="1:17" x14ac:dyDescent="0.25">
      <c r="A6">
        <v>22.86</v>
      </c>
      <c r="B6" s="581">
        <v>495.29925636007829</v>
      </c>
      <c r="C6" s="577">
        <v>9.1439999999999994E-3</v>
      </c>
      <c r="D6" s="581">
        <v>758.95882606988607</v>
      </c>
      <c r="E6" s="577">
        <v>6.0959999999999999E-3</v>
      </c>
      <c r="F6" s="582">
        <v>372.68581467600887</v>
      </c>
      <c r="G6" s="579">
        <v>3.048E-2</v>
      </c>
      <c r="H6" s="583">
        <v>682.85401273885338</v>
      </c>
      <c r="I6">
        <v>7.0104E-2</v>
      </c>
      <c r="N6" s="581">
        <v>495.29925636007829</v>
      </c>
      <c r="O6" s="581">
        <v>758.95882606988607</v>
      </c>
      <c r="P6" s="582">
        <v>372.68581467600887</v>
      </c>
      <c r="Q6" s="583">
        <v>682.85401273885338</v>
      </c>
    </row>
    <row r="7" spans="1:17" x14ac:dyDescent="0.25">
      <c r="A7">
        <v>30.48</v>
      </c>
      <c r="B7" s="581">
        <v>493.56928236614505</v>
      </c>
      <c r="C7" s="578">
        <v>6.0959999999999999E-3</v>
      </c>
      <c r="D7" s="581">
        <v>752.68473707909152</v>
      </c>
      <c r="E7" s="578">
        <v>9.1439999999999994E-3</v>
      </c>
      <c r="F7" s="582">
        <v>315.04432426116841</v>
      </c>
      <c r="G7" s="579">
        <v>0.24384</v>
      </c>
      <c r="H7" s="583">
        <v>644.66597687892579</v>
      </c>
      <c r="I7">
        <v>5.4864000000000003E-2</v>
      </c>
      <c r="N7" s="581">
        <v>493.56928236614505</v>
      </c>
      <c r="O7" s="581">
        <v>752.68473707909152</v>
      </c>
      <c r="P7" s="582">
        <v>315.04432426116841</v>
      </c>
      <c r="Q7" s="583">
        <v>644.66597687892579</v>
      </c>
    </row>
    <row r="8" spans="1:17" x14ac:dyDescent="0.25">
      <c r="A8" s="576"/>
      <c r="B8" s="577"/>
      <c r="C8" s="577"/>
    </row>
    <row r="9" spans="1:17" x14ac:dyDescent="0.25">
      <c r="A9" s="576"/>
      <c r="B9" s="599"/>
      <c r="C9" s="599"/>
    </row>
    <row r="10" spans="1:17" x14ac:dyDescent="0.25">
      <c r="A10" s="576"/>
      <c r="B10" s="599"/>
      <c r="C10" s="599"/>
    </row>
    <row r="11" spans="1:17" x14ac:dyDescent="0.25">
      <c r="A11" s="576"/>
      <c r="B11" s="599"/>
      <c r="C11" s="599"/>
    </row>
    <row r="12" spans="1:17" x14ac:dyDescent="0.25">
      <c r="A12" s="576"/>
      <c r="B12" s="599"/>
      <c r="C12" s="599"/>
    </row>
    <row r="13" spans="1:17" x14ac:dyDescent="0.25">
      <c r="A13" s="576"/>
      <c r="B13" s="599"/>
      <c r="C13" s="599"/>
    </row>
    <row r="14" spans="1:17" x14ac:dyDescent="0.25">
      <c r="A14" s="576"/>
      <c r="B14" s="579"/>
      <c r="C14" s="579"/>
    </row>
    <row r="15" spans="1:17" x14ac:dyDescent="0.25">
      <c r="A15" s="576"/>
      <c r="B15" s="579"/>
      <c r="C15" s="579"/>
    </row>
    <row r="16" spans="1:17" x14ac:dyDescent="0.25">
      <c r="A16" s="576"/>
      <c r="B16" s="579"/>
      <c r="C16" s="579"/>
    </row>
    <row r="17" spans="1:3" x14ac:dyDescent="0.25">
      <c r="A17" s="576"/>
      <c r="B17" s="579"/>
      <c r="C17" s="579"/>
    </row>
    <row r="18" spans="1:3" x14ac:dyDescent="0.25">
      <c r="A18" s="576"/>
      <c r="B18" s="580"/>
      <c r="C18" s="580"/>
    </row>
    <row r="19" spans="1:3" x14ac:dyDescent="0.25">
      <c r="A19" s="576"/>
      <c r="B19" s="580"/>
      <c r="C19" s="580"/>
    </row>
    <row r="20" spans="1:3" x14ac:dyDescent="0.25">
      <c r="A20" s="576"/>
      <c r="B20" s="580"/>
      <c r="C20" s="580"/>
    </row>
    <row r="21" spans="1:3" x14ac:dyDescent="0.25">
      <c r="A21" s="576"/>
      <c r="B21" s="580"/>
      <c r="C21" s="580"/>
    </row>
    <row r="22" spans="1:3" x14ac:dyDescent="0.25">
      <c r="A22" s="576"/>
      <c r="B22" s="579"/>
      <c r="C22" s="57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Thesis results</vt:lpstr>
      <vt:lpstr>-ITER</vt:lpstr>
      <vt:lpstr>PAST ALL</vt:lpstr>
      <vt:lpstr>PAST ALL P Values</vt:lpstr>
      <vt:lpstr>PAST SEDIMENTS</vt:lpstr>
      <vt:lpstr>PAST SEDIMENT P VALUES</vt:lpstr>
      <vt:lpstr>Sediment Conc</vt:lpstr>
      <vt:lpstr>Grain Size</vt:lpstr>
      <vt:lpstr>Variations in SO4 (1)</vt:lpstr>
      <vt:lpstr>Variations in Fe conc</vt:lpstr>
      <vt:lpstr>Variability of PO4</vt:lpstr>
      <vt:lpstr>Variations in PO4(1)</vt:lpstr>
      <vt:lpstr>Variability of No3</vt:lpstr>
      <vt:lpstr>Variations in NO3 (2)</vt:lpstr>
      <vt:lpstr>Discharges</vt:lpstr>
      <vt:lpstr>Variability of Co</vt:lpstr>
      <vt:lpstr>Variability of Cu</vt:lpstr>
      <vt:lpstr>Variability of Zn</vt:lpstr>
      <vt:lpstr>Variations in Ni</vt:lpstr>
      <vt:lpstr>Variations in Na</vt:lpstr>
      <vt:lpstr>Variability in K</vt:lpstr>
      <vt:lpstr>Variability in Cl</vt:lpstr>
      <vt:lpstr>Variability in Ca</vt:lpstr>
      <vt:lpstr>Variability in Mg</vt:lpstr>
      <vt:lpstr>Variability Silica</vt:lpstr>
      <vt:lpstr>Water Total Fe Al Mn SO4 Openin</vt:lpstr>
      <vt:lpstr>Variation in Al conc (1)</vt:lpstr>
      <vt:lpstr>Variations in Al conc</vt:lpstr>
      <vt:lpstr>Variation in Mn conc (2)</vt:lpstr>
      <vt:lpstr>Variations in Mn conc</vt:lpstr>
      <vt:lpstr>Variations in SO4</vt:lpstr>
      <vt:lpstr>PAST ESSEX</vt:lpstr>
      <vt:lpstr>PAST PINE RUN</vt:lpstr>
      <vt:lpstr>PAST YORK CLAY</vt:lpstr>
      <vt:lpstr>PAST SINES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Gladys</dc:creator>
  <cp:lastModifiedBy>Windows 10</cp:lastModifiedBy>
  <dcterms:created xsi:type="dcterms:W3CDTF">2019-12-09T10:04:58Z</dcterms:created>
  <dcterms:modified xsi:type="dcterms:W3CDTF">2020-05-15T09:00:07Z</dcterms:modified>
</cp:coreProperties>
</file>